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mc:AlternateContent xmlns:mc="http://schemas.openxmlformats.org/markup-compatibility/2006">
    <mc:Choice Requires="x15">
      <x15ac:absPath xmlns:x15ac="http://schemas.microsoft.com/office/spreadsheetml/2010/11/ac" url="https://ironsands-my.sharepoint.com/personal/francis_ironsands_ca/Documents/"/>
    </mc:Choice>
  </mc:AlternateContent>
  <xr:revisionPtr revIDLastSave="0" documentId="8_{CE72E5EE-8439-4F64-8CDF-BB3F0ABF5104}" xr6:coauthVersionLast="47" xr6:coauthVersionMax="47" xr10:uidLastSave="{00000000-0000-0000-0000-000000000000}"/>
  <bookViews>
    <workbookView xWindow="-120" yWindow="-120" windowWidth="29040" windowHeight="15840" firstSheet="1" activeTab="6" xr2:uid="{00000000-000D-0000-FFFF-FFFF00000000}"/>
  </bookViews>
  <sheets>
    <sheet name="Cover Page" sheetId="41" r:id="rId1"/>
    <sheet name="Plant model" sheetId="1" r:id="rId2"/>
    <sheet name="Quarterly Plant Model" sheetId="53" r:id="rId3"/>
    <sheet name="CAPEX" sheetId="45" r:id="rId4"/>
    <sheet name="EBITDA Backtest" sheetId="46" state="hidden" r:id="rId5"/>
    <sheet name="CO2 tax" sheetId="51" r:id="rId6"/>
    <sheet name="Returns Summary" sheetId="2" r:id="rId7"/>
    <sheet name="Charts 2" sheetId="3" r:id="rId8"/>
    <sheet name="3 statements (USD)" sheetId="4" r:id="rId9"/>
    <sheet name="3 statements (CAD)" sheetId="49" r:id="rId10"/>
    <sheet name="Labor" sheetId="43" r:id="rId11"/>
    <sheet name="Comparable Companies" sheetId="48" state="hidden" r:id="rId12"/>
    <sheet name="Fe MPI correlation" sheetId="50" r:id="rId13"/>
    <sheet name="Sheet1" sheetId="52" r:id="rId14"/>
  </sheets>
  <definedNames>
    <definedName name="_xlnm.Print_Area" localSheetId="3">CAPEX!$B$4:$N$56</definedName>
    <definedName name="_xlnm.Print_Area" localSheetId="0">'Cover Page'!$B$3:$O$44</definedName>
  </definedNames>
  <calcPr calcId="191029"/>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50" l="1"/>
  <c r="M4" i="50"/>
  <c r="P56" i="1" s="1"/>
  <c r="L4" i="50"/>
  <c r="K4" i="50"/>
  <c r="E122" i="50"/>
  <c r="D122" i="50"/>
  <c r="E121" i="50"/>
  <c r="D121" i="50"/>
  <c r="E120" i="50"/>
  <c r="D120" i="50"/>
  <c r="M22" i="45"/>
  <c r="E21" i="45"/>
  <c r="E20" i="45"/>
  <c r="E19" i="45"/>
  <c r="E17" i="45"/>
  <c r="E16" i="45"/>
  <c r="E15" i="45"/>
  <c r="E14" i="45"/>
  <c r="E13" i="45"/>
  <c r="E12" i="45"/>
  <c r="E11" i="45"/>
  <c r="T56" i="1" l="1"/>
  <c r="I56" i="1"/>
  <c r="X56" i="1"/>
  <c r="L56" i="1"/>
  <c r="AE56" i="1"/>
  <c r="AB56" i="1"/>
  <c r="M56" i="1"/>
  <c r="Q56" i="1"/>
  <c r="U56" i="1"/>
  <c r="Y56" i="1"/>
  <c r="AC56" i="1"/>
  <c r="J56" i="1"/>
  <c r="N56" i="1"/>
  <c r="R56" i="1"/>
  <c r="V56" i="1"/>
  <c r="Z56" i="1"/>
  <c r="AD56" i="1"/>
  <c r="K56" i="1"/>
  <c r="O56" i="1"/>
  <c r="S56" i="1"/>
  <c r="W56" i="1"/>
  <c r="AA56" i="1"/>
  <c r="F116" i="50"/>
  <c r="G116" i="50" s="1"/>
  <c r="H116" i="50" s="1"/>
  <c r="F112" i="50"/>
  <c r="G112" i="50" s="1"/>
  <c r="H112" i="50" s="1"/>
  <c r="F108" i="50"/>
  <c r="G108" i="50" s="1"/>
  <c r="H108" i="50" s="1"/>
  <c r="F104" i="50"/>
  <c r="G104" i="50" s="1"/>
  <c r="H104" i="50" s="1"/>
  <c r="F100" i="50"/>
  <c r="G100" i="50" s="1"/>
  <c r="H100" i="50" s="1"/>
  <c r="F96" i="50"/>
  <c r="G96" i="50" s="1"/>
  <c r="H96" i="50" s="1"/>
  <c r="F92" i="50"/>
  <c r="G92" i="50" s="1"/>
  <c r="H92" i="50" s="1"/>
  <c r="F88" i="50"/>
  <c r="F84" i="50"/>
  <c r="G84" i="50" s="1"/>
  <c r="H84" i="50" s="1"/>
  <c r="F80" i="50"/>
  <c r="G80" i="50" s="1"/>
  <c r="H80" i="50" s="1"/>
  <c r="F76" i="50"/>
  <c r="G76" i="50" s="1"/>
  <c r="H76" i="50" s="1"/>
  <c r="F72" i="50"/>
  <c r="G72" i="50" s="1"/>
  <c r="H72" i="50" s="1"/>
  <c r="F68" i="50"/>
  <c r="G68" i="50" s="1"/>
  <c r="H68" i="50" s="1"/>
  <c r="F64" i="50"/>
  <c r="G64" i="50" s="1"/>
  <c r="H64" i="50" s="1"/>
  <c r="F60" i="50"/>
  <c r="G60" i="50" s="1"/>
  <c r="H60" i="50" s="1"/>
  <c r="F56" i="50"/>
  <c r="G56" i="50" s="1"/>
  <c r="H56" i="50" s="1"/>
  <c r="F52" i="50"/>
  <c r="G52" i="50" s="1"/>
  <c r="H52" i="50" s="1"/>
  <c r="F48" i="50"/>
  <c r="G48" i="50" s="1"/>
  <c r="H48" i="50" s="1"/>
  <c r="F44" i="50"/>
  <c r="G44" i="50" s="1"/>
  <c r="H44" i="50" s="1"/>
  <c r="F40" i="50"/>
  <c r="G40" i="50" s="1"/>
  <c r="H40" i="50" s="1"/>
  <c r="F36" i="50"/>
  <c r="G36" i="50" s="1"/>
  <c r="H36" i="50" s="1"/>
  <c r="F32" i="50"/>
  <c r="G32" i="50" s="1"/>
  <c r="H32" i="50" s="1"/>
  <c r="F117" i="50"/>
  <c r="G117" i="50" s="1"/>
  <c r="H117" i="50" s="1"/>
  <c r="F113" i="50"/>
  <c r="G113" i="50" s="1"/>
  <c r="H113" i="50" s="1"/>
  <c r="F114" i="50"/>
  <c r="G114" i="50" s="1"/>
  <c r="H114" i="50" s="1"/>
  <c r="F110" i="50"/>
  <c r="G110" i="50" s="1"/>
  <c r="H110" i="50" s="1"/>
  <c r="F106" i="50"/>
  <c r="G106" i="50" s="1"/>
  <c r="H106" i="50" s="1"/>
  <c r="F102" i="50"/>
  <c r="G102" i="50" s="1"/>
  <c r="H102" i="50" s="1"/>
  <c r="F98" i="50"/>
  <c r="G98" i="50" s="1"/>
  <c r="H98" i="50" s="1"/>
  <c r="F94" i="50"/>
  <c r="G94" i="50" s="1"/>
  <c r="H94" i="50" s="1"/>
  <c r="F90" i="50"/>
  <c r="G90" i="50" s="1"/>
  <c r="H90" i="50" s="1"/>
  <c r="F86" i="50"/>
  <c r="G86" i="50" s="1"/>
  <c r="H86" i="50" s="1"/>
  <c r="F82" i="50"/>
  <c r="G82" i="50" s="1"/>
  <c r="H82" i="50" s="1"/>
  <c r="F78" i="50"/>
  <c r="G78" i="50" s="1"/>
  <c r="H78" i="50" s="1"/>
  <c r="F74" i="50"/>
  <c r="G74" i="50" s="1"/>
  <c r="H74" i="50" s="1"/>
  <c r="F70" i="50"/>
  <c r="G70" i="50" s="1"/>
  <c r="H70" i="50" s="1"/>
  <c r="F66" i="50"/>
  <c r="G66" i="50" s="1"/>
  <c r="H66" i="50" s="1"/>
  <c r="F62" i="50"/>
  <c r="G62" i="50" s="1"/>
  <c r="H62" i="50" s="1"/>
  <c r="F58" i="50"/>
  <c r="G58" i="50" s="1"/>
  <c r="H58" i="50" s="1"/>
  <c r="F54" i="50"/>
  <c r="G54" i="50" s="1"/>
  <c r="H54" i="50" s="1"/>
  <c r="F50" i="50"/>
  <c r="G50" i="50" s="1"/>
  <c r="H50" i="50" s="1"/>
  <c r="F46" i="50"/>
  <c r="G46" i="50" s="1"/>
  <c r="H46" i="50" s="1"/>
  <c r="F42" i="50"/>
  <c r="G42" i="50" s="1"/>
  <c r="H42" i="50" s="1"/>
  <c r="F38" i="50"/>
  <c r="G38" i="50" s="1"/>
  <c r="H38" i="50" s="1"/>
  <c r="F34" i="50"/>
  <c r="G34" i="50" s="1"/>
  <c r="H34" i="50" s="1"/>
  <c r="F30" i="50"/>
  <c r="G30" i="50" s="1"/>
  <c r="H30" i="50" s="1"/>
  <c r="F26" i="50"/>
  <c r="G26" i="50" s="1"/>
  <c r="H26" i="50" s="1"/>
  <c r="F22" i="50"/>
  <c r="G22" i="50" s="1"/>
  <c r="H22" i="50" s="1"/>
  <c r="F18" i="50"/>
  <c r="G18" i="50" s="1"/>
  <c r="H18" i="50" s="1"/>
  <c r="F14" i="50"/>
  <c r="G14" i="50" s="1"/>
  <c r="H14" i="50" s="1"/>
  <c r="F10" i="50"/>
  <c r="G10" i="50" s="1"/>
  <c r="H10" i="50" s="1"/>
  <c r="F4" i="50"/>
  <c r="G4" i="50" s="1"/>
  <c r="H4" i="50" s="1"/>
  <c r="F8" i="50"/>
  <c r="G8" i="50" s="1"/>
  <c r="H8" i="50" s="1"/>
  <c r="F15" i="50"/>
  <c r="G15" i="50" s="1"/>
  <c r="H15" i="50" s="1"/>
  <c r="F17" i="50"/>
  <c r="G17" i="50" s="1"/>
  <c r="H17" i="50" s="1"/>
  <c r="F24" i="50"/>
  <c r="G24" i="50" s="1"/>
  <c r="H24" i="50" s="1"/>
  <c r="F37" i="50"/>
  <c r="G37" i="50" s="1"/>
  <c r="H37" i="50" s="1"/>
  <c r="F45" i="50"/>
  <c r="G45" i="50" s="1"/>
  <c r="H45" i="50" s="1"/>
  <c r="F53" i="50"/>
  <c r="G53" i="50" s="1"/>
  <c r="H53" i="50" s="1"/>
  <c r="F61" i="50"/>
  <c r="G61" i="50" s="1"/>
  <c r="H61" i="50" s="1"/>
  <c r="F69" i="50"/>
  <c r="G69" i="50" s="1"/>
  <c r="H69" i="50" s="1"/>
  <c r="F77" i="50"/>
  <c r="G77" i="50" s="1"/>
  <c r="H77" i="50" s="1"/>
  <c r="F85" i="50"/>
  <c r="G85" i="50" s="1"/>
  <c r="H85" i="50" s="1"/>
  <c r="F93" i="50"/>
  <c r="G93" i="50" s="1"/>
  <c r="H93" i="50" s="1"/>
  <c r="F101" i="50"/>
  <c r="G101" i="50" s="1"/>
  <c r="H101" i="50" s="1"/>
  <c r="F109" i="50"/>
  <c r="G109" i="50" s="1"/>
  <c r="H109" i="50" s="1"/>
  <c r="F7" i="50"/>
  <c r="G7" i="50" s="1"/>
  <c r="H7" i="50" s="1"/>
  <c r="F12" i="50"/>
  <c r="G12" i="50" s="1"/>
  <c r="H12" i="50" s="1"/>
  <c r="F19" i="50"/>
  <c r="G19" i="50" s="1"/>
  <c r="H19" i="50" s="1"/>
  <c r="F21" i="50"/>
  <c r="G21" i="50" s="1"/>
  <c r="H21" i="50" s="1"/>
  <c r="F28" i="50"/>
  <c r="G28" i="50" s="1"/>
  <c r="H28" i="50" s="1"/>
  <c r="F35" i="50"/>
  <c r="G35" i="50" s="1"/>
  <c r="H35" i="50" s="1"/>
  <c r="F43" i="50"/>
  <c r="G43" i="50" s="1"/>
  <c r="H43" i="50" s="1"/>
  <c r="F51" i="50"/>
  <c r="G51" i="50" s="1"/>
  <c r="H51" i="50" s="1"/>
  <c r="F59" i="50"/>
  <c r="G59" i="50" s="1"/>
  <c r="H59" i="50" s="1"/>
  <c r="F67" i="50"/>
  <c r="G67" i="50" s="1"/>
  <c r="H67" i="50" s="1"/>
  <c r="F75" i="50"/>
  <c r="G75" i="50" s="1"/>
  <c r="H75" i="50" s="1"/>
  <c r="F83" i="50"/>
  <c r="G83" i="50" s="1"/>
  <c r="H83" i="50" s="1"/>
  <c r="F91" i="50"/>
  <c r="G91" i="50" s="1"/>
  <c r="H91" i="50" s="1"/>
  <c r="F99" i="50"/>
  <c r="G99" i="50" s="1"/>
  <c r="H99" i="50" s="1"/>
  <c r="F107" i="50"/>
  <c r="G107" i="50" s="1"/>
  <c r="H107" i="50" s="1"/>
  <c r="F115" i="50"/>
  <c r="G115" i="50" s="1"/>
  <c r="H115" i="50" s="1"/>
  <c r="F6" i="50"/>
  <c r="G6" i="50" s="1"/>
  <c r="H6" i="50" s="1"/>
  <c r="F9" i="50"/>
  <c r="G9" i="50" s="1"/>
  <c r="H9" i="50" s="1"/>
  <c r="F16" i="50"/>
  <c r="G16" i="50" s="1"/>
  <c r="H16" i="50" s="1"/>
  <c r="F23" i="50"/>
  <c r="G23" i="50" s="1"/>
  <c r="H23" i="50" s="1"/>
  <c r="F25" i="50"/>
  <c r="G25" i="50" s="1"/>
  <c r="H25" i="50" s="1"/>
  <c r="F33" i="50"/>
  <c r="G33" i="50" s="1"/>
  <c r="H33" i="50" s="1"/>
  <c r="F41" i="50"/>
  <c r="G41" i="50" s="1"/>
  <c r="H41" i="50" s="1"/>
  <c r="F49" i="50"/>
  <c r="G49" i="50" s="1"/>
  <c r="H49" i="50" s="1"/>
  <c r="F57" i="50"/>
  <c r="G57" i="50" s="1"/>
  <c r="H57" i="50" s="1"/>
  <c r="F65" i="50"/>
  <c r="G65" i="50" s="1"/>
  <c r="H65" i="50" s="1"/>
  <c r="F73" i="50"/>
  <c r="G73" i="50" s="1"/>
  <c r="H73" i="50" s="1"/>
  <c r="F81" i="50"/>
  <c r="G81" i="50" s="1"/>
  <c r="H81" i="50" s="1"/>
  <c r="F89" i="50"/>
  <c r="G89" i="50" s="1"/>
  <c r="H89" i="50" s="1"/>
  <c r="F97" i="50"/>
  <c r="G97" i="50" s="1"/>
  <c r="H97" i="50" s="1"/>
  <c r="F105" i="50"/>
  <c r="G105" i="50" s="1"/>
  <c r="H105" i="50" s="1"/>
  <c r="F111" i="50"/>
  <c r="G111" i="50" s="1"/>
  <c r="H111" i="50" s="1"/>
  <c r="F5" i="50"/>
  <c r="G5" i="50" s="1"/>
  <c r="H5" i="50" s="1"/>
  <c r="F11" i="50"/>
  <c r="G11" i="50" s="1"/>
  <c r="H11" i="50" s="1"/>
  <c r="F13" i="50"/>
  <c r="G13" i="50" s="1"/>
  <c r="H13" i="50" s="1"/>
  <c r="F20" i="50"/>
  <c r="G20" i="50" s="1"/>
  <c r="H20" i="50" s="1"/>
  <c r="F27" i="50"/>
  <c r="G27" i="50" s="1"/>
  <c r="H27" i="50" s="1"/>
  <c r="F29" i="50"/>
  <c r="G29" i="50" s="1"/>
  <c r="H29" i="50" s="1"/>
  <c r="F31" i="50"/>
  <c r="G31" i="50" s="1"/>
  <c r="H31" i="50" s="1"/>
  <c r="F39" i="50"/>
  <c r="G39" i="50" s="1"/>
  <c r="H39" i="50" s="1"/>
  <c r="F47" i="50"/>
  <c r="G47" i="50" s="1"/>
  <c r="H47" i="50" s="1"/>
  <c r="F55" i="50"/>
  <c r="G55" i="50" s="1"/>
  <c r="H55" i="50" s="1"/>
  <c r="F63" i="50"/>
  <c r="G63" i="50" s="1"/>
  <c r="H63" i="50" s="1"/>
  <c r="F71" i="50"/>
  <c r="G71" i="50" s="1"/>
  <c r="H71" i="50" s="1"/>
  <c r="F79" i="50"/>
  <c r="G79" i="50" s="1"/>
  <c r="H79" i="50" s="1"/>
  <c r="F87" i="50"/>
  <c r="G87" i="50" s="1"/>
  <c r="H87" i="50" s="1"/>
  <c r="F95" i="50"/>
  <c r="G95" i="50" s="1"/>
  <c r="H95" i="50" s="1"/>
  <c r="F103" i="50"/>
  <c r="G103" i="50" s="1"/>
  <c r="H103" i="50" s="1"/>
  <c r="G18" i="45"/>
  <c r="B267" i="1"/>
  <c r="E594" i="1"/>
  <c r="K18" i="45"/>
  <c r="M18" i="45"/>
  <c r="E10" i="53"/>
  <c r="G822" i="1"/>
  <c r="G822" i="53"/>
  <c r="E193" i="1"/>
  <c r="C2" i="2"/>
  <c r="D2" i="2" s="1"/>
  <c r="D146" i="1"/>
  <c r="H1453" i="1"/>
  <c r="G827" i="53"/>
  <c r="G816" i="53"/>
  <c r="AE50" i="1"/>
  <c r="AD50" i="1"/>
  <c r="AC50" i="1"/>
  <c r="AB50" i="1"/>
  <c r="Q50" i="1"/>
  <c r="P50" i="1"/>
  <c r="O50" i="1"/>
  <c r="N50" i="1"/>
  <c r="M50" i="1"/>
  <c r="L50" i="1"/>
  <c r="K50" i="1"/>
  <c r="J50" i="1"/>
  <c r="I50" i="1"/>
  <c r="AA50" i="1"/>
  <c r="Z50" i="1"/>
  <c r="Y50" i="1"/>
  <c r="X50" i="1"/>
  <c r="W50" i="1"/>
  <c r="V50" i="1"/>
  <c r="E45" i="1"/>
  <c r="AC45" i="1" s="1"/>
  <c r="U50" i="1"/>
  <c r="T50" i="1"/>
  <c r="S50" i="1"/>
  <c r="R50" i="1"/>
  <c r="P44" i="1"/>
  <c r="O44" i="1"/>
  <c r="N44" i="1"/>
  <c r="M44" i="1"/>
  <c r="L44" i="1"/>
  <c r="K44" i="1"/>
  <c r="J44" i="1"/>
  <c r="I44" i="1"/>
  <c r="AE44" i="1"/>
  <c r="AD44" i="1"/>
  <c r="AC44" i="1"/>
  <c r="AB44" i="1"/>
  <c r="AA44" i="1"/>
  <c r="Z44" i="1"/>
  <c r="Y44" i="1"/>
  <c r="X44" i="1"/>
  <c r="W44" i="1"/>
  <c r="V44" i="1"/>
  <c r="U44" i="1"/>
  <c r="T44" i="1"/>
  <c r="S44" i="1"/>
  <c r="R44" i="1"/>
  <c r="Q44" i="1"/>
  <c r="E38" i="1"/>
  <c r="E31" i="1" s="1"/>
  <c r="E14" i="1"/>
  <c r="E1707" i="53"/>
  <c r="F120" i="50" l="1"/>
  <c r="F122" i="50"/>
  <c r="F121" i="50"/>
  <c r="G88" i="50"/>
  <c r="I45" i="1"/>
  <c r="X45" i="1"/>
  <c r="L45" i="1"/>
  <c r="Z45" i="1"/>
  <c r="K45" i="1"/>
  <c r="T45" i="1"/>
  <c r="AA45" i="1"/>
  <c r="G50" i="1"/>
  <c r="Q45" i="1"/>
  <c r="J45" i="1"/>
  <c r="N45" i="1"/>
  <c r="R45" i="1"/>
  <c r="M45" i="1"/>
  <c r="O45" i="1"/>
  <c r="V45" i="1"/>
  <c r="AD45" i="1"/>
  <c r="AB45" i="1"/>
  <c r="AE45" i="1"/>
  <c r="E46" i="1"/>
  <c r="P45" i="1"/>
  <c r="S45" i="1"/>
  <c r="U45" i="1"/>
  <c r="W45" i="1"/>
  <c r="Y45" i="1"/>
  <c r="B86" i="3"/>
  <c r="B120" i="3" s="1"/>
  <c r="E1781" i="53"/>
  <c r="E1781" i="1" s="1"/>
  <c r="B76" i="3"/>
  <c r="B112" i="3" s="1"/>
  <c r="B75" i="3"/>
  <c r="B111" i="3" s="1"/>
  <c r="B83" i="49"/>
  <c r="B82" i="49"/>
  <c r="B58" i="49"/>
  <c r="B57" i="49"/>
  <c r="B33" i="49"/>
  <c r="B32" i="49"/>
  <c r="B31" i="49"/>
  <c r="B30" i="49"/>
  <c r="B29" i="49"/>
  <c r="B28" i="49"/>
  <c r="B27" i="49"/>
  <c r="B26" i="49"/>
  <c r="B83" i="4"/>
  <c r="B82" i="4"/>
  <c r="B58" i="4"/>
  <c r="B57" i="4"/>
  <c r="B33" i="4"/>
  <c r="B32" i="4"/>
  <c r="B31" i="4"/>
  <c r="B30" i="4"/>
  <c r="B29" i="4"/>
  <c r="B28" i="4"/>
  <c r="B27" i="4"/>
  <c r="B26" i="4"/>
  <c r="V1724" i="53"/>
  <c r="U1724" i="53"/>
  <c r="T1724" i="53"/>
  <c r="S1724" i="53"/>
  <c r="R1724" i="53"/>
  <c r="Q1724" i="53"/>
  <c r="P1724" i="53"/>
  <c r="O1724" i="53"/>
  <c r="N1724" i="53"/>
  <c r="M1724" i="53"/>
  <c r="L1724" i="53"/>
  <c r="AE1724" i="1"/>
  <c r="AE1237" i="1" s="1"/>
  <c r="AE1408" i="1" s="1"/>
  <c r="AD1724" i="1"/>
  <c r="AD1237" i="1" s="1"/>
  <c r="AD1408" i="1" s="1"/>
  <c r="AC1724" i="1"/>
  <c r="AC1237" i="1" s="1"/>
  <c r="AC1408" i="1" s="1"/>
  <c r="AB1724" i="1"/>
  <c r="AB1237" i="1" s="1"/>
  <c r="AB1408" i="1" s="1"/>
  <c r="AA1724" i="1"/>
  <c r="AA1237" i="1" s="1"/>
  <c r="AA1408" i="1" s="1"/>
  <c r="Z1724" i="1"/>
  <c r="Z1237" i="1" s="1"/>
  <c r="Z1408" i="1" s="1"/>
  <c r="Y1724" i="1"/>
  <c r="Y1237" i="1" s="1"/>
  <c r="Y1408" i="1" s="1"/>
  <c r="X1724" i="1"/>
  <c r="X1237" i="1" s="1"/>
  <c r="X1408" i="1" s="1"/>
  <c r="W1724" i="1"/>
  <c r="W1237" i="1" s="1"/>
  <c r="W1408" i="1" s="1"/>
  <c r="V1724" i="1"/>
  <c r="V1237" i="1" s="1"/>
  <c r="V1408" i="1" s="1"/>
  <c r="U1724" i="1"/>
  <c r="U1237" i="1" s="1"/>
  <c r="U1408" i="1" s="1"/>
  <c r="T1724" i="1"/>
  <c r="T1237" i="1" s="1"/>
  <c r="T1408" i="1" s="1"/>
  <c r="S1724" i="1"/>
  <c r="S1237" i="1" s="1"/>
  <c r="S1408" i="1" s="1"/>
  <c r="R1724" i="1"/>
  <c r="R1237" i="1" s="1"/>
  <c r="R1408" i="1" s="1"/>
  <c r="Q1724" i="1"/>
  <c r="Q1237" i="1" s="1"/>
  <c r="Q1408" i="1" s="1"/>
  <c r="P1724" i="1"/>
  <c r="P1237" i="1" s="1"/>
  <c r="P1408" i="1" s="1"/>
  <c r="O1724" i="1"/>
  <c r="O1237" i="1" s="1"/>
  <c r="J33" i="4" s="1"/>
  <c r="N1724" i="1"/>
  <c r="N1237" i="1" s="1"/>
  <c r="I33" i="4" s="1"/>
  <c r="M1724" i="1"/>
  <c r="M1237" i="1" s="1"/>
  <c r="H33" i="4" s="1"/>
  <c r="E1713" i="1"/>
  <c r="E1712" i="1"/>
  <c r="E1709" i="1"/>
  <c r="E1707" i="1"/>
  <c r="E1706" i="1"/>
  <c r="E1705" i="1"/>
  <c r="E1733" i="1" s="1"/>
  <c r="E1704" i="1"/>
  <c r="E1703" i="1"/>
  <c r="V1728" i="53"/>
  <c r="U1728" i="53"/>
  <c r="T1728" i="53"/>
  <c r="S1728" i="53"/>
  <c r="R1728" i="53"/>
  <c r="Q1728" i="53"/>
  <c r="P1728" i="53"/>
  <c r="O1728" i="53"/>
  <c r="N1728" i="53"/>
  <c r="M1728" i="53"/>
  <c r="L1728" i="53"/>
  <c r="V1237" i="53"/>
  <c r="V1408" i="53" s="1"/>
  <c r="U1237" i="53"/>
  <c r="U1408" i="53" s="1"/>
  <c r="T1237" i="53"/>
  <c r="T1408" i="53" s="1"/>
  <c r="S1237" i="53"/>
  <c r="S1408" i="53" s="1"/>
  <c r="R1237" i="53"/>
  <c r="R1408" i="53" s="1"/>
  <c r="Q1237" i="53"/>
  <c r="Q1408" i="53" s="1"/>
  <c r="P1237" i="53"/>
  <c r="P1408" i="53" s="1"/>
  <c r="O1237" i="53"/>
  <c r="O1408" i="53" s="1"/>
  <c r="N1237" i="53"/>
  <c r="N1408" i="53" s="1"/>
  <c r="M1237" i="53"/>
  <c r="M1408" i="53" s="1"/>
  <c r="L1237" i="53"/>
  <c r="L1408" i="53" s="1"/>
  <c r="V1455" i="53"/>
  <c r="U1455" i="53"/>
  <c r="T1455" i="53"/>
  <c r="S1455" i="53"/>
  <c r="R1455" i="53"/>
  <c r="Q1455" i="53"/>
  <c r="P1455" i="53"/>
  <c r="O1455" i="53"/>
  <c r="N1455" i="53"/>
  <c r="M1455" i="53"/>
  <c r="L1455" i="53"/>
  <c r="I1723" i="53"/>
  <c r="G1723" i="53" s="1"/>
  <c r="K1722" i="53"/>
  <c r="K1728" i="53" s="1"/>
  <c r="J1722" i="53"/>
  <c r="J1724" i="53" s="1"/>
  <c r="I1722" i="53"/>
  <c r="I1715" i="53"/>
  <c r="I1717" i="53" s="1"/>
  <c r="I1235" i="53" s="1"/>
  <c r="E1708" i="53"/>
  <c r="E1708" i="1" s="1"/>
  <c r="G122" i="50" l="1"/>
  <c r="G121" i="50"/>
  <c r="H88" i="50"/>
  <c r="G120" i="50"/>
  <c r="K1724" i="53"/>
  <c r="I1455" i="53"/>
  <c r="J1237" i="53"/>
  <c r="J1408" i="53" s="1"/>
  <c r="K1237" i="53"/>
  <c r="K1408" i="53" s="1"/>
  <c r="I1728" i="53"/>
  <c r="M1408" i="1"/>
  <c r="AD46" i="1"/>
  <c r="AA46" i="1"/>
  <c r="M46" i="1"/>
  <c r="Q46" i="1"/>
  <c r="W46" i="1"/>
  <c r="AC46" i="1"/>
  <c r="AB46" i="1"/>
  <c r="Z46" i="1"/>
  <c r="X46" i="1"/>
  <c r="V46" i="1"/>
  <c r="T46" i="1"/>
  <c r="R46" i="1"/>
  <c r="N46" i="1"/>
  <c r="J46" i="1"/>
  <c r="U46" i="1"/>
  <c r="P46" i="1"/>
  <c r="L46" i="1"/>
  <c r="I46" i="1"/>
  <c r="O46" i="1"/>
  <c r="K46" i="1"/>
  <c r="AE46" i="1"/>
  <c r="Y46" i="1"/>
  <c r="S46" i="1"/>
  <c r="J1455" i="53"/>
  <c r="K1455" i="53"/>
  <c r="I1237" i="53"/>
  <c r="I1408" i="53" s="1"/>
  <c r="J1728" i="53"/>
  <c r="I1724" i="53"/>
  <c r="N1408" i="1"/>
  <c r="E1710" i="53"/>
  <c r="E1710" i="1" s="1"/>
  <c r="E1711" i="1" s="1"/>
  <c r="O1408" i="1"/>
  <c r="G1722" i="53"/>
  <c r="I1406" i="53"/>
  <c r="H121" i="50" l="1"/>
  <c r="H120" i="50"/>
  <c r="H122" i="50"/>
  <c r="G1724" i="53"/>
  <c r="G1237" i="53"/>
  <c r="G1728" i="53"/>
  <c r="E1711" i="53"/>
  <c r="G1408" i="53"/>
  <c r="E1521" i="53"/>
  <c r="B13" i="2" l="1"/>
  <c r="B12" i="2"/>
  <c r="B10" i="2"/>
  <c r="L1535" i="53" l="1"/>
  <c r="E16" i="53"/>
  <c r="B74" i="3"/>
  <c r="B110" i="3" s="1"/>
  <c r="B384" i="3"/>
  <c r="B367" i="3"/>
  <c r="B376" i="3"/>
  <c r="B393" i="3" s="1"/>
  <c r="B375" i="3"/>
  <c r="B392" i="3" s="1"/>
  <c r="B373" i="3"/>
  <c r="B390" i="3" s="1"/>
  <c r="B372" i="3"/>
  <c r="B389" i="3" s="1"/>
  <c r="B371" i="3"/>
  <c r="B388" i="3" s="1"/>
  <c r="B370" i="3"/>
  <c r="B387" i="3" s="1"/>
  <c r="B369" i="3"/>
  <c r="B386" i="3" s="1"/>
  <c r="B391" i="3"/>
  <c r="B17" i="2"/>
  <c r="B16" i="2"/>
  <c r="E1652" i="53"/>
  <c r="E1622" i="53"/>
  <c r="E1569" i="53"/>
  <c r="E1563" i="53"/>
  <c r="E1530" i="1" l="1"/>
  <c r="AE828" i="1"/>
  <c r="AD828" i="1"/>
  <c r="AC828" i="1"/>
  <c r="AB828" i="1"/>
  <c r="AA828" i="1"/>
  <c r="Z828" i="1"/>
  <c r="Y828" i="1"/>
  <c r="X828" i="1"/>
  <c r="W828" i="1"/>
  <c r="V828" i="1"/>
  <c r="U828" i="1"/>
  <c r="T828" i="1"/>
  <c r="S828" i="1"/>
  <c r="R828" i="1"/>
  <c r="Q828" i="1"/>
  <c r="P828" i="1"/>
  <c r="O828" i="1"/>
  <c r="N828" i="1"/>
  <c r="M828" i="1"/>
  <c r="N764" i="53"/>
  <c r="E25" i="51"/>
  <c r="D25" i="51" s="1"/>
  <c r="I744" i="1"/>
  <c r="I743" i="1"/>
  <c r="I732" i="1"/>
  <c r="I721" i="1"/>
  <c r="I719" i="1"/>
  <c r="I718" i="1"/>
  <c r="I717" i="1"/>
  <c r="I716" i="1"/>
  <c r="J744" i="1"/>
  <c r="J743" i="1"/>
  <c r="J732" i="1"/>
  <c r="J721" i="1"/>
  <c r="J719" i="1"/>
  <c r="J718" i="1"/>
  <c r="J717" i="1"/>
  <c r="J716" i="1"/>
  <c r="I606" i="1"/>
  <c r="I605" i="1"/>
  <c r="I604" i="1"/>
  <c r="I603" i="1"/>
  <c r="J606" i="1"/>
  <c r="J605" i="1"/>
  <c r="J604" i="1"/>
  <c r="J603" i="1"/>
  <c r="G557" i="53"/>
  <c r="I477" i="1"/>
  <c r="I323" i="1"/>
  <c r="I320" i="1"/>
  <c r="I319" i="1"/>
  <c r="I318" i="1"/>
  <c r="I317" i="1"/>
  <c r="I316" i="1"/>
  <c r="I315" i="1"/>
  <c r="I314" i="1"/>
  <c r="I313" i="1"/>
  <c r="I312" i="1"/>
  <c r="I308" i="1"/>
  <c r="I307" i="1"/>
  <c r="I306" i="1"/>
  <c r="I305" i="1"/>
  <c r="I304" i="1"/>
  <c r="I303" i="1"/>
  <c r="I302" i="1"/>
  <c r="I298" i="1"/>
  <c r="I297" i="1"/>
  <c r="I296" i="1"/>
  <c r="I292" i="1"/>
  <c r="I291" i="1"/>
  <c r="I290" i="1"/>
  <c r="I289" i="1"/>
  <c r="I285" i="1"/>
  <c r="I284" i="1"/>
  <c r="I283" i="1"/>
  <c r="I279" i="1"/>
  <c r="I278" i="1"/>
  <c r="I277" i="1"/>
  <c r="I276" i="1"/>
  <c r="I275" i="1"/>
  <c r="I274" i="1"/>
  <c r="I273" i="1"/>
  <c r="I272" i="1"/>
  <c r="J477" i="1"/>
  <c r="J323" i="1"/>
  <c r="J320" i="1"/>
  <c r="J319" i="1"/>
  <c r="J318" i="1"/>
  <c r="J317" i="1"/>
  <c r="J316" i="1"/>
  <c r="J315" i="1"/>
  <c r="J314" i="1"/>
  <c r="J313" i="1"/>
  <c r="J312" i="1"/>
  <c r="J308" i="1"/>
  <c r="J307" i="1"/>
  <c r="J306" i="1"/>
  <c r="J305" i="1"/>
  <c r="J304" i="1"/>
  <c r="J303" i="1"/>
  <c r="J302" i="1"/>
  <c r="J298" i="1"/>
  <c r="J297" i="1"/>
  <c r="J296" i="1"/>
  <c r="J292" i="1"/>
  <c r="J291" i="1"/>
  <c r="J290" i="1"/>
  <c r="J289" i="1"/>
  <c r="J285" i="1"/>
  <c r="J284" i="1"/>
  <c r="J283" i="1"/>
  <c r="J279" i="1"/>
  <c r="J278" i="1"/>
  <c r="J277" i="1"/>
  <c r="J276" i="1"/>
  <c r="J275" i="1"/>
  <c r="J274" i="1"/>
  <c r="J273" i="1"/>
  <c r="J272" i="1"/>
  <c r="I262" i="1"/>
  <c r="J262" i="1"/>
  <c r="I254" i="1"/>
  <c r="I253" i="1"/>
  <c r="J254" i="1"/>
  <c r="J253" i="1"/>
  <c r="I242" i="1"/>
  <c r="J242" i="1"/>
  <c r="I234" i="1"/>
  <c r="I233" i="1"/>
  <c r="I232" i="1"/>
  <c r="I229" i="1"/>
  <c r="I228" i="1"/>
  <c r="I227" i="1"/>
  <c r="I225" i="1"/>
  <c r="I224" i="1"/>
  <c r="I223" i="1"/>
  <c r="I222" i="1"/>
  <c r="I221" i="1"/>
  <c r="J234" i="1"/>
  <c r="J233" i="1"/>
  <c r="J232" i="1"/>
  <c r="J229" i="1"/>
  <c r="J228" i="1"/>
  <c r="J227" i="1"/>
  <c r="J225" i="1"/>
  <c r="J224" i="1"/>
  <c r="J223" i="1"/>
  <c r="J222" i="1"/>
  <c r="J221" i="1"/>
  <c r="I183" i="1"/>
  <c r="I182" i="1"/>
  <c r="I181" i="1"/>
  <c r="I180" i="1"/>
  <c r="J183" i="1"/>
  <c r="J182" i="1"/>
  <c r="J181" i="1"/>
  <c r="J180" i="1"/>
  <c r="I176" i="1"/>
  <c r="I174" i="1"/>
  <c r="I173" i="1"/>
  <c r="I172" i="1"/>
  <c r="I170" i="1"/>
  <c r="I169" i="1"/>
  <c r="I168" i="1"/>
  <c r="I167" i="1"/>
  <c r="I163" i="1"/>
  <c r="I162" i="1"/>
  <c r="I161" i="1"/>
  <c r="I160" i="1"/>
  <c r="J176" i="1"/>
  <c r="J174" i="1"/>
  <c r="J173" i="1"/>
  <c r="J172" i="1"/>
  <c r="J170" i="1"/>
  <c r="J169" i="1"/>
  <c r="J168" i="1"/>
  <c r="J167" i="1"/>
  <c r="J163" i="1"/>
  <c r="J162" i="1"/>
  <c r="J161" i="1"/>
  <c r="J160" i="1"/>
  <c r="L156" i="1"/>
  <c r="K156" i="1"/>
  <c r="J156" i="1"/>
  <c r="I156" i="1"/>
  <c r="M156" i="1"/>
  <c r="I155" i="1"/>
  <c r="J155" i="1"/>
  <c r="J2" i="1"/>
  <c r="I123" i="1"/>
  <c r="J123" i="1"/>
  <c r="I68" i="1"/>
  <c r="I60" i="1"/>
  <c r="I57" i="1"/>
  <c r="I53" i="1"/>
  <c r="I40" i="1"/>
  <c r="I33" i="1"/>
  <c r="J68" i="1"/>
  <c r="J60" i="1"/>
  <c r="J57" i="1"/>
  <c r="J53" i="1"/>
  <c r="J40" i="1"/>
  <c r="J33" i="1"/>
  <c r="E1001" i="53"/>
  <c r="E998" i="53"/>
  <c r="E997" i="53"/>
  <c r="E996" i="53"/>
  <c r="E989" i="53"/>
  <c r="E988" i="53"/>
  <c r="E985" i="53"/>
  <c r="E984" i="53"/>
  <c r="E983" i="53"/>
  <c r="E981" i="53"/>
  <c r="E979" i="53"/>
  <c r="E978" i="53"/>
  <c r="E975" i="53"/>
  <c r="E972" i="53"/>
  <c r="E971" i="53"/>
  <c r="E970" i="53"/>
  <c r="E967" i="53"/>
  <c r="E966" i="53"/>
  <c r="E965" i="53"/>
  <c r="E964" i="53"/>
  <c r="E963" i="53"/>
  <c r="E960" i="53"/>
  <c r="E944" i="53"/>
  <c r="E942" i="53"/>
  <c r="E909" i="53"/>
  <c r="E908" i="53"/>
  <c r="E907" i="53"/>
  <c r="E906" i="53"/>
  <c r="E905" i="53"/>
  <c r="E904" i="53"/>
  <c r="E893" i="53"/>
  <c r="E888" i="53"/>
  <c r="E887" i="53"/>
  <c r="E886" i="53"/>
  <c r="E885" i="53"/>
  <c r="E884" i="53"/>
  <c r="E883" i="53"/>
  <c r="E882" i="53"/>
  <c r="E881" i="53"/>
  <c r="E880" i="53"/>
  <c r="E879" i="53"/>
  <c r="E878" i="53"/>
  <c r="E877" i="53"/>
  <c r="D803" i="53"/>
  <c r="E744" i="53"/>
  <c r="E743" i="53"/>
  <c r="E732" i="53"/>
  <c r="D728" i="53"/>
  <c r="D727" i="53"/>
  <c r="D726" i="53"/>
  <c r="D725" i="53"/>
  <c r="D724" i="53"/>
  <c r="E721" i="53"/>
  <c r="E719" i="53"/>
  <c r="E718" i="53"/>
  <c r="E717" i="53"/>
  <c r="E716" i="53"/>
  <c r="D712" i="53"/>
  <c r="D711" i="53"/>
  <c r="D603" i="53"/>
  <c r="E606" i="53"/>
  <c r="E605" i="53"/>
  <c r="E604" i="53"/>
  <c r="E603" i="53"/>
  <c r="E597" i="53"/>
  <c r="E477" i="53"/>
  <c r="E424" i="53"/>
  <c r="E422" i="53"/>
  <c r="E421" i="53"/>
  <c r="E420" i="53"/>
  <c r="E419" i="53"/>
  <c r="E418" i="53"/>
  <c r="E417" i="53"/>
  <c r="E416" i="53"/>
  <c r="E415" i="53"/>
  <c r="E414" i="53"/>
  <c r="E411" i="53"/>
  <c r="E410" i="53"/>
  <c r="E409" i="53"/>
  <c r="E408" i="53"/>
  <c r="E407" i="53"/>
  <c r="E406" i="53"/>
  <c r="E405" i="53"/>
  <c r="E402" i="53"/>
  <c r="E401" i="53"/>
  <c r="E400" i="53"/>
  <c r="E397" i="53"/>
  <c r="E396" i="53"/>
  <c r="E395" i="53"/>
  <c r="E394" i="53"/>
  <c r="E391" i="53"/>
  <c r="E390" i="53"/>
  <c r="E389" i="53"/>
  <c r="E386" i="53"/>
  <c r="E385" i="53"/>
  <c r="E384" i="53"/>
  <c r="E383" i="53"/>
  <c r="E382" i="53"/>
  <c r="E381" i="53"/>
  <c r="E380" i="53"/>
  <c r="E323" i="53"/>
  <c r="E320" i="53"/>
  <c r="E319" i="53"/>
  <c r="E318" i="53"/>
  <c r="E317" i="53"/>
  <c r="E316" i="53"/>
  <c r="E315" i="53"/>
  <c r="E314" i="53"/>
  <c r="E313" i="53"/>
  <c r="E312" i="53"/>
  <c r="E308" i="53"/>
  <c r="E307" i="53"/>
  <c r="E306" i="53"/>
  <c r="E305" i="53"/>
  <c r="E304" i="53"/>
  <c r="E303" i="53"/>
  <c r="E302" i="53"/>
  <c r="E298" i="53"/>
  <c r="E297" i="53"/>
  <c r="E296" i="53"/>
  <c r="E292" i="53"/>
  <c r="E291" i="53"/>
  <c r="E290" i="53"/>
  <c r="E289" i="53"/>
  <c r="E285" i="53"/>
  <c r="E284" i="53"/>
  <c r="E283" i="53"/>
  <c r="E279" i="53"/>
  <c r="E278" i="53"/>
  <c r="E277" i="53"/>
  <c r="E276" i="53"/>
  <c r="E275" i="53"/>
  <c r="E274" i="53"/>
  <c r="E273" i="53"/>
  <c r="E272" i="53"/>
  <c r="E262" i="53"/>
  <c r="E254" i="53"/>
  <c r="E253" i="53"/>
  <c r="D243" i="53"/>
  <c r="E242" i="53"/>
  <c r="D241" i="53"/>
  <c r="E234" i="53"/>
  <c r="E233" i="53"/>
  <c r="E232" i="53"/>
  <c r="E229" i="53"/>
  <c r="E228" i="53"/>
  <c r="E227" i="53"/>
  <c r="E225" i="53"/>
  <c r="E224" i="53"/>
  <c r="E223" i="53"/>
  <c r="E222" i="53"/>
  <c r="E221" i="53"/>
  <c r="E219" i="53"/>
  <c r="E218" i="53"/>
  <c r="E217" i="53"/>
  <c r="E212" i="53"/>
  <c r="E210" i="53"/>
  <c r="E209" i="53"/>
  <c r="E205" i="53"/>
  <c r="E203" i="53"/>
  <c r="E202" i="53"/>
  <c r="E183" i="53"/>
  <c r="E182" i="53"/>
  <c r="E181" i="53"/>
  <c r="E174" i="53"/>
  <c r="E173" i="53"/>
  <c r="E172" i="53"/>
  <c r="E170" i="53"/>
  <c r="E169" i="53"/>
  <c r="E168" i="53"/>
  <c r="E167" i="53"/>
  <c r="E163" i="53"/>
  <c r="E161" i="53"/>
  <c r="E160" i="53"/>
  <c r="E155" i="53"/>
  <c r="E147" i="53"/>
  <c r="E146" i="53"/>
  <c r="E123" i="53"/>
  <c r="E112" i="53"/>
  <c r="E108" i="53"/>
  <c r="E103" i="53"/>
  <c r="E102" i="53"/>
  <c r="E101" i="53"/>
  <c r="E77" i="53"/>
  <c r="E76" i="53"/>
  <c r="E73" i="53"/>
  <c r="E68" i="53"/>
  <c r="E60" i="53"/>
  <c r="E57" i="53"/>
  <c r="E53" i="53"/>
  <c r="E50" i="53"/>
  <c r="E44" i="53"/>
  <c r="E40" i="53"/>
  <c r="E37" i="53"/>
  <c r="E36" i="53"/>
  <c r="E33" i="53"/>
  <c r="E30" i="53"/>
  <c r="E1643" i="53"/>
  <c r="E1483" i="53"/>
  <c r="E1526" i="53"/>
  <c r="E1526" i="1" s="1"/>
  <c r="V1467" i="53"/>
  <c r="U1467" i="53"/>
  <c r="T1467" i="53"/>
  <c r="S1467" i="53"/>
  <c r="R1467" i="53"/>
  <c r="Q1467" i="53"/>
  <c r="P1467" i="53"/>
  <c r="O1467" i="53"/>
  <c r="N1467" i="53"/>
  <c r="M1467" i="53"/>
  <c r="L1467" i="53"/>
  <c r="K1467" i="53"/>
  <c r="J1467" i="53"/>
  <c r="I1467" i="53"/>
  <c r="E1473" i="53"/>
  <c r="E1472" i="53"/>
  <c r="E1471" i="53"/>
  <c r="E1525" i="53"/>
  <c r="E1529" i="1"/>
  <c r="V1535" i="53"/>
  <c r="U1535" i="53"/>
  <c r="T1535" i="53"/>
  <c r="S1535" i="53"/>
  <c r="R1535" i="53"/>
  <c r="Q1535" i="53"/>
  <c r="P1535" i="53"/>
  <c r="O1535" i="53"/>
  <c r="N1535" i="53"/>
  <c r="M1535" i="53"/>
  <c r="K1535" i="53"/>
  <c r="J1535" i="53"/>
  <c r="I1535" i="53"/>
  <c r="I2" i="1" l="1"/>
  <c r="L764" i="53"/>
  <c r="J764" i="53"/>
  <c r="J255" i="1"/>
  <c r="I764" i="53"/>
  <c r="M764" i="53"/>
  <c r="J745" i="1"/>
  <c r="I745" i="1"/>
  <c r="K764" i="53"/>
  <c r="I1526" i="1"/>
  <c r="J720" i="1"/>
  <c r="J286" i="1"/>
  <c r="I720" i="1"/>
  <c r="I255" i="1"/>
  <c r="J293" i="1"/>
  <c r="J321" i="1"/>
  <c r="I293" i="1"/>
  <c r="I321" i="1"/>
  <c r="J280" i="1"/>
  <c r="J299" i="1"/>
  <c r="I280" i="1"/>
  <c r="I286" i="1"/>
  <c r="I299" i="1"/>
  <c r="E1467" i="53"/>
  <c r="V1523" i="53"/>
  <c r="U1523" i="53"/>
  <c r="T1523" i="53"/>
  <c r="S1523" i="53"/>
  <c r="R1523" i="53"/>
  <c r="Q1523" i="53"/>
  <c r="P1523" i="53"/>
  <c r="O1523" i="53"/>
  <c r="N1523" i="53"/>
  <c r="M1523" i="53"/>
  <c r="L1523" i="53"/>
  <c r="K1523" i="53"/>
  <c r="J1523" i="53"/>
  <c r="I1523" i="53"/>
  <c r="V1522" i="53"/>
  <c r="U1522" i="53"/>
  <c r="T1522" i="53"/>
  <c r="S1522" i="53"/>
  <c r="R1522" i="53"/>
  <c r="Q1522" i="53"/>
  <c r="P1522" i="53"/>
  <c r="O1522" i="53"/>
  <c r="N1522" i="53"/>
  <c r="M1522" i="53"/>
  <c r="L1522" i="53"/>
  <c r="K1522" i="53"/>
  <c r="J1522" i="53"/>
  <c r="I1522" i="53"/>
  <c r="V1473" i="53"/>
  <c r="U1473" i="53"/>
  <c r="T1473" i="53"/>
  <c r="S1473" i="53"/>
  <c r="R1473" i="53"/>
  <c r="Q1473" i="53"/>
  <c r="P1473" i="53"/>
  <c r="O1473" i="53"/>
  <c r="N1473" i="53"/>
  <c r="M1473" i="53"/>
  <c r="L1473" i="53"/>
  <c r="K1473" i="53"/>
  <c r="J1473" i="53"/>
  <c r="V1472" i="53"/>
  <c r="U1472" i="53"/>
  <c r="T1472" i="53"/>
  <c r="S1472" i="53"/>
  <c r="R1472" i="53"/>
  <c r="Q1472" i="53"/>
  <c r="P1472" i="53"/>
  <c r="O1472" i="53"/>
  <c r="N1472" i="53"/>
  <c r="M1472" i="53"/>
  <c r="L1472" i="53"/>
  <c r="K1472" i="53"/>
  <c r="J1472" i="53"/>
  <c r="V1471" i="53"/>
  <c r="U1471" i="53"/>
  <c r="T1471" i="53"/>
  <c r="S1471" i="53"/>
  <c r="R1471" i="53"/>
  <c r="Q1471" i="53"/>
  <c r="P1471" i="53"/>
  <c r="O1471" i="53"/>
  <c r="N1471" i="53"/>
  <c r="M1471" i="53"/>
  <c r="L1471" i="53"/>
  <c r="K1471" i="53"/>
  <c r="J1471" i="53"/>
  <c r="I1473" i="53"/>
  <c r="I1472" i="53"/>
  <c r="I1471" i="53"/>
  <c r="E1482" i="53"/>
  <c r="E1481" i="53"/>
  <c r="E765" i="53"/>
  <c r="E760" i="53"/>
  <c r="I744" i="53"/>
  <c r="I743" i="53"/>
  <c r="J744" i="53"/>
  <c r="J743" i="53"/>
  <c r="I732" i="53"/>
  <c r="J732" i="53"/>
  <c r="I721" i="53"/>
  <c r="I719" i="53"/>
  <c r="I718" i="53"/>
  <c r="I717" i="53"/>
  <c r="I716" i="53"/>
  <c r="J721" i="53"/>
  <c r="J719" i="53"/>
  <c r="J718" i="53"/>
  <c r="J717" i="53"/>
  <c r="J716" i="53"/>
  <c r="E375" i="53"/>
  <c r="E373" i="53"/>
  <c r="E372" i="53"/>
  <c r="E371" i="53"/>
  <c r="E370" i="53"/>
  <c r="E369" i="53"/>
  <c r="E368" i="53"/>
  <c r="E367" i="53"/>
  <c r="E366" i="53"/>
  <c r="E365" i="53"/>
  <c r="E362" i="53"/>
  <c r="E361" i="53"/>
  <c r="E360" i="53"/>
  <c r="E359" i="53"/>
  <c r="E358" i="53"/>
  <c r="E357" i="53"/>
  <c r="E356" i="53"/>
  <c r="E353" i="53"/>
  <c r="E352" i="53"/>
  <c r="E351" i="53"/>
  <c r="E348" i="53"/>
  <c r="E347" i="53"/>
  <c r="E346" i="53"/>
  <c r="E345" i="53"/>
  <c r="E342" i="53"/>
  <c r="E341" i="53"/>
  <c r="E340" i="53"/>
  <c r="E336" i="53"/>
  <c r="E335" i="53"/>
  <c r="E334" i="53"/>
  <c r="E333" i="53"/>
  <c r="E332" i="53"/>
  <c r="E331" i="53"/>
  <c r="E330" i="53"/>
  <c r="E180" i="53"/>
  <c r="I180" i="53" s="1"/>
  <c r="I648" i="53" s="1"/>
  <c r="E176" i="53"/>
  <c r="I176" i="53" s="1"/>
  <c r="I643" i="53" s="1"/>
  <c r="E162" i="53"/>
  <c r="I162" i="53" s="1"/>
  <c r="I628" i="53" s="1"/>
  <c r="E156" i="53"/>
  <c r="I156" i="53" s="1"/>
  <c r="I621" i="53" s="1"/>
  <c r="I606" i="53"/>
  <c r="I605" i="53"/>
  <c r="I604" i="53"/>
  <c r="I603" i="53"/>
  <c r="J606" i="53"/>
  <c r="J605" i="53"/>
  <c r="J604" i="53"/>
  <c r="J603" i="53"/>
  <c r="I477" i="53"/>
  <c r="J477" i="53"/>
  <c r="I323" i="53"/>
  <c r="J323" i="53"/>
  <c r="V320" i="53"/>
  <c r="U320" i="53"/>
  <c r="T320" i="53"/>
  <c r="S320" i="53"/>
  <c r="R320" i="53"/>
  <c r="Q320" i="53"/>
  <c r="P320" i="53"/>
  <c r="O320" i="53"/>
  <c r="N320" i="53"/>
  <c r="M320" i="53"/>
  <c r="L320" i="53"/>
  <c r="K320" i="53"/>
  <c r="J320" i="53"/>
  <c r="I320" i="53"/>
  <c r="V319" i="53"/>
  <c r="U319" i="53"/>
  <c r="T319" i="53"/>
  <c r="S319" i="53"/>
  <c r="R319" i="53"/>
  <c r="Q319" i="53"/>
  <c r="P319" i="53"/>
  <c r="O319" i="53"/>
  <c r="N319" i="53"/>
  <c r="M319" i="53"/>
  <c r="L319" i="53"/>
  <c r="K319" i="53"/>
  <c r="J319" i="53"/>
  <c r="I319" i="53"/>
  <c r="V318" i="53"/>
  <c r="U318" i="53"/>
  <c r="T318" i="53"/>
  <c r="S318" i="53"/>
  <c r="R318" i="53"/>
  <c r="Q318" i="53"/>
  <c r="P318" i="53"/>
  <c r="O318" i="53"/>
  <c r="N318" i="53"/>
  <c r="M318" i="53"/>
  <c r="L318" i="53"/>
  <c r="K318" i="53"/>
  <c r="J318" i="53"/>
  <c r="I318" i="53"/>
  <c r="V317" i="53"/>
  <c r="U317" i="53"/>
  <c r="T317" i="53"/>
  <c r="S317" i="53"/>
  <c r="R317" i="53"/>
  <c r="Q317" i="53"/>
  <c r="P317" i="53"/>
  <c r="O317" i="53"/>
  <c r="N317" i="53"/>
  <c r="M317" i="53"/>
  <c r="L317" i="53"/>
  <c r="K317" i="53"/>
  <c r="J317" i="53"/>
  <c r="I317" i="53"/>
  <c r="V316" i="53"/>
  <c r="U316" i="53"/>
  <c r="T316" i="53"/>
  <c r="S316" i="53"/>
  <c r="R316" i="53"/>
  <c r="Q316" i="53"/>
  <c r="P316" i="53"/>
  <c r="O316" i="53"/>
  <c r="N316" i="53"/>
  <c r="M316" i="53"/>
  <c r="L316" i="53"/>
  <c r="K316" i="53"/>
  <c r="J316" i="53"/>
  <c r="I316" i="53"/>
  <c r="V315" i="53"/>
  <c r="U315" i="53"/>
  <c r="T315" i="53"/>
  <c r="S315" i="53"/>
  <c r="R315" i="53"/>
  <c r="Q315" i="53"/>
  <c r="P315" i="53"/>
  <c r="O315" i="53"/>
  <c r="N315" i="53"/>
  <c r="M315" i="53"/>
  <c r="L315" i="53"/>
  <c r="K315" i="53"/>
  <c r="J315" i="53"/>
  <c r="I315" i="53"/>
  <c r="V314" i="53"/>
  <c r="U314" i="53"/>
  <c r="T314" i="53"/>
  <c r="S314" i="53"/>
  <c r="R314" i="53"/>
  <c r="Q314" i="53"/>
  <c r="P314" i="53"/>
  <c r="O314" i="53"/>
  <c r="N314" i="53"/>
  <c r="M314" i="53"/>
  <c r="L314" i="53"/>
  <c r="K314" i="53"/>
  <c r="J314" i="53"/>
  <c r="I314" i="53"/>
  <c r="V313" i="53"/>
  <c r="U313" i="53"/>
  <c r="T313" i="53"/>
  <c r="S313" i="53"/>
  <c r="R313" i="53"/>
  <c r="Q313" i="53"/>
  <c r="P313" i="53"/>
  <c r="O313" i="53"/>
  <c r="N313" i="53"/>
  <c r="M313" i="53"/>
  <c r="L313" i="53"/>
  <c r="K313" i="53"/>
  <c r="J313" i="53"/>
  <c r="I313" i="53"/>
  <c r="V312" i="53"/>
  <c r="U312" i="53"/>
  <c r="T312" i="53"/>
  <c r="S312" i="53"/>
  <c r="R312" i="53"/>
  <c r="Q312" i="53"/>
  <c r="P312" i="53"/>
  <c r="O312" i="53"/>
  <c r="N312" i="53"/>
  <c r="M312" i="53"/>
  <c r="L312" i="53"/>
  <c r="K312" i="53"/>
  <c r="J312" i="53"/>
  <c r="I312" i="53"/>
  <c r="V308" i="53"/>
  <c r="U308" i="53"/>
  <c r="T308" i="53"/>
  <c r="S308" i="53"/>
  <c r="R308" i="53"/>
  <c r="Q308" i="53"/>
  <c r="P308" i="53"/>
  <c r="O308" i="53"/>
  <c r="N308" i="53"/>
  <c r="M308" i="53"/>
  <c r="L308" i="53"/>
  <c r="K308" i="53"/>
  <c r="J308" i="53"/>
  <c r="I308" i="53"/>
  <c r="V307" i="53"/>
  <c r="U307" i="53"/>
  <c r="T307" i="53"/>
  <c r="S307" i="53"/>
  <c r="R307" i="53"/>
  <c r="Q307" i="53"/>
  <c r="P307" i="53"/>
  <c r="O307" i="53"/>
  <c r="N307" i="53"/>
  <c r="M307" i="53"/>
  <c r="L307" i="53"/>
  <c r="K307" i="53"/>
  <c r="J307" i="53"/>
  <c r="I307" i="53"/>
  <c r="V306" i="53"/>
  <c r="U306" i="53"/>
  <c r="T306" i="53"/>
  <c r="S306" i="53"/>
  <c r="R306" i="53"/>
  <c r="Q306" i="53"/>
  <c r="P306" i="53"/>
  <c r="O306" i="53"/>
  <c r="N306" i="53"/>
  <c r="M306" i="53"/>
  <c r="L306" i="53"/>
  <c r="K306" i="53"/>
  <c r="J306" i="53"/>
  <c r="I306" i="53"/>
  <c r="V305" i="53"/>
  <c r="U305" i="53"/>
  <c r="T305" i="53"/>
  <c r="S305" i="53"/>
  <c r="R305" i="53"/>
  <c r="Q305" i="53"/>
  <c r="P305" i="53"/>
  <c r="O305" i="53"/>
  <c r="N305" i="53"/>
  <c r="M305" i="53"/>
  <c r="L305" i="53"/>
  <c r="K305" i="53"/>
  <c r="J305" i="53"/>
  <c r="I305" i="53"/>
  <c r="V304" i="53"/>
  <c r="U304" i="53"/>
  <c r="T304" i="53"/>
  <c r="S304" i="53"/>
  <c r="R304" i="53"/>
  <c r="Q304" i="53"/>
  <c r="P304" i="53"/>
  <c r="O304" i="53"/>
  <c r="N304" i="53"/>
  <c r="M304" i="53"/>
  <c r="L304" i="53"/>
  <c r="K304" i="53"/>
  <c r="J304" i="53"/>
  <c r="I304" i="53"/>
  <c r="V303" i="53"/>
  <c r="U303" i="53"/>
  <c r="T303" i="53"/>
  <c r="S303" i="53"/>
  <c r="R303" i="53"/>
  <c r="Q303" i="53"/>
  <c r="P303" i="53"/>
  <c r="O303" i="53"/>
  <c r="N303" i="53"/>
  <c r="M303" i="53"/>
  <c r="L303" i="53"/>
  <c r="K303" i="53"/>
  <c r="J303" i="53"/>
  <c r="I303" i="53"/>
  <c r="V302" i="53"/>
  <c r="U302" i="53"/>
  <c r="T302" i="53"/>
  <c r="S302" i="53"/>
  <c r="R302" i="53"/>
  <c r="Q302" i="53"/>
  <c r="P302" i="53"/>
  <c r="O302" i="53"/>
  <c r="N302" i="53"/>
  <c r="M302" i="53"/>
  <c r="L302" i="53"/>
  <c r="K302" i="53"/>
  <c r="J302" i="53"/>
  <c r="I302" i="53"/>
  <c r="V298" i="53"/>
  <c r="U298" i="53"/>
  <c r="T298" i="53"/>
  <c r="S298" i="53"/>
  <c r="R298" i="53"/>
  <c r="Q298" i="53"/>
  <c r="P298" i="53"/>
  <c r="O298" i="53"/>
  <c r="N298" i="53"/>
  <c r="M298" i="53"/>
  <c r="L298" i="53"/>
  <c r="K298" i="53"/>
  <c r="J298" i="53"/>
  <c r="I298" i="53"/>
  <c r="V297" i="53"/>
  <c r="U297" i="53"/>
  <c r="T297" i="53"/>
  <c r="S297" i="53"/>
  <c r="R297" i="53"/>
  <c r="Q297" i="53"/>
  <c r="P297" i="53"/>
  <c r="O297" i="53"/>
  <c r="N297" i="53"/>
  <c r="M297" i="53"/>
  <c r="L297" i="53"/>
  <c r="K297" i="53"/>
  <c r="J297" i="53"/>
  <c r="I297" i="53"/>
  <c r="V296" i="53"/>
  <c r="U296" i="53"/>
  <c r="T296" i="53"/>
  <c r="S296" i="53"/>
  <c r="R296" i="53"/>
  <c r="Q296" i="53"/>
  <c r="P296" i="53"/>
  <c r="O296" i="53"/>
  <c r="N296" i="53"/>
  <c r="M296" i="53"/>
  <c r="L296" i="53"/>
  <c r="K296" i="53"/>
  <c r="J296" i="53"/>
  <c r="I296" i="53"/>
  <c r="V292" i="53"/>
  <c r="U292" i="53"/>
  <c r="T292" i="53"/>
  <c r="S292" i="53"/>
  <c r="R292" i="53"/>
  <c r="Q292" i="53"/>
  <c r="P292" i="53"/>
  <c r="O292" i="53"/>
  <c r="N292" i="53"/>
  <c r="M292" i="53"/>
  <c r="L292" i="53"/>
  <c r="K292" i="53"/>
  <c r="J292" i="53"/>
  <c r="I292" i="53"/>
  <c r="V291" i="53"/>
  <c r="U291" i="53"/>
  <c r="T291" i="53"/>
  <c r="S291" i="53"/>
  <c r="R291" i="53"/>
  <c r="Q291" i="53"/>
  <c r="P291" i="53"/>
  <c r="O291" i="53"/>
  <c r="N291" i="53"/>
  <c r="M291" i="53"/>
  <c r="L291" i="53"/>
  <c r="K291" i="53"/>
  <c r="J291" i="53"/>
  <c r="I291" i="53"/>
  <c r="V290" i="53"/>
  <c r="U290" i="53"/>
  <c r="T290" i="53"/>
  <c r="S290" i="53"/>
  <c r="R290" i="53"/>
  <c r="Q290" i="53"/>
  <c r="P290" i="53"/>
  <c r="O290" i="53"/>
  <c r="N290" i="53"/>
  <c r="M290" i="53"/>
  <c r="L290" i="53"/>
  <c r="K290" i="53"/>
  <c r="J290" i="53"/>
  <c r="I290" i="53"/>
  <c r="V289" i="53"/>
  <c r="U289" i="53"/>
  <c r="T289" i="53"/>
  <c r="S289" i="53"/>
  <c r="R289" i="53"/>
  <c r="Q289" i="53"/>
  <c r="P289" i="53"/>
  <c r="O289" i="53"/>
  <c r="N289" i="53"/>
  <c r="M289" i="53"/>
  <c r="L289" i="53"/>
  <c r="K289" i="53"/>
  <c r="J289" i="53"/>
  <c r="I289" i="53"/>
  <c r="V285" i="53"/>
  <c r="U285" i="53"/>
  <c r="T285" i="53"/>
  <c r="S285" i="53"/>
  <c r="R285" i="53"/>
  <c r="Q285" i="53"/>
  <c r="P285" i="53"/>
  <c r="O285" i="53"/>
  <c r="N285" i="53"/>
  <c r="M285" i="53"/>
  <c r="L285" i="53"/>
  <c r="K285" i="53"/>
  <c r="J285" i="53"/>
  <c r="I285" i="53"/>
  <c r="V284" i="53"/>
  <c r="U284" i="53"/>
  <c r="T284" i="53"/>
  <c r="S284" i="53"/>
  <c r="R284" i="53"/>
  <c r="Q284" i="53"/>
  <c r="P284" i="53"/>
  <c r="O284" i="53"/>
  <c r="N284" i="53"/>
  <c r="M284" i="53"/>
  <c r="L284" i="53"/>
  <c r="K284" i="53"/>
  <c r="J284" i="53"/>
  <c r="I284" i="53"/>
  <c r="V283" i="53"/>
  <c r="U283" i="53"/>
  <c r="T283" i="53"/>
  <c r="S283" i="53"/>
  <c r="R283" i="53"/>
  <c r="Q283" i="53"/>
  <c r="P283" i="53"/>
  <c r="O283" i="53"/>
  <c r="N283" i="53"/>
  <c r="M283" i="53"/>
  <c r="L283" i="53"/>
  <c r="K283" i="53"/>
  <c r="J283" i="53"/>
  <c r="I283" i="53"/>
  <c r="V279" i="53"/>
  <c r="U279" i="53"/>
  <c r="T279" i="53"/>
  <c r="S279" i="53"/>
  <c r="R279" i="53"/>
  <c r="Q279" i="53"/>
  <c r="P279" i="53"/>
  <c r="O279" i="53"/>
  <c r="N279" i="53"/>
  <c r="M279" i="53"/>
  <c r="L279" i="53"/>
  <c r="K279" i="53"/>
  <c r="J279" i="53"/>
  <c r="I279" i="53"/>
  <c r="V278" i="53"/>
  <c r="U278" i="53"/>
  <c r="T278" i="53"/>
  <c r="S278" i="53"/>
  <c r="R278" i="53"/>
  <c r="Q278" i="53"/>
  <c r="P278" i="53"/>
  <c r="O278" i="53"/>
  <c r="N278" i="53"/>
  <c r="M278" i="53"/>
  <c r="L278" i="53"/>
  <c r="K278" i="53"/>
  <c r="J278" i="53"/>
  <c r="I278" i="53"/>
  <c r="V277" i="53"/>
  <c r="U277" i="53"/>
  <c r="T277" i="53"/>
  <c r="S277" i="53"/>
  <c r="R277" i="53"/>
  <c r="Q277" i="53"/>
  <c r="P277" i="53"/>
  <c r="O277" i="53"/>
  <c r="N277" i="53"/>
  <c r="M277" i="53"/>
  <c r="L277" i="53"/>
  <c r="K277" i="53"/>
  <c r="J277" i="53"/>
  <c r="I277" i="53"/>
  <c r="V276" i="53"/>
  <c r="U276" i="53"/>
  <c r="T276" i="53"/>
  <c r="S276" i="53"/>
  <c r="R276" i="53"/>
  <c r="Q276" i="53"/>
  <c r="P276" i="53"/>
  <c r="O276" i="53"/>
  <c r="N276" i="53"/>
  <c r="M276" i="53"/>
  <c r="L276" i="53"/>
  <c r="K276" i="53"/>
  <c r="J276" i="53"/>
  <c r="I276" i="53"/>
  <c r="V275" i="53"/>
  <c r="U275" i="53"/>
  <c r="T275" i="53"/>
  <c r="S275" i="53"/>
  <c r="R275" i="53"/>
  <c r="Q275" i="53"/>
  <c r="P275" i="53"/>
  <c r="O275" i="53"/>
  <c r="N275" i="53"/>
  <c r="M275" i="53"/>
  <c r="L275" i="53"/>
  <c r="K275" i="53"/>
  <c r="J275" i="53"/>
  <c r="I275" i="53"/>
  <c r="V274" i="53"/>
  <c r="U274" i="53"/>
  <c r="T274" i="53"/>
  <c r="S274" i="53"/>
  <c r="R274" i="53"/>
  <c r="Q274" i="53"/>
  <c r="P274" i="53"/>
  <c r="O274" i="53"/>
  <c r="N274" i="53"/>
  <c r="M274" i="53"/>
  <c r="L274" i="53"/>
  <c r="K274" i="53"/>
  <c r="J274" i="53"/>
  <c r="I274" i="53"/>
  <c r="V273" i="53"/>
  <c r="U273" i="53"/>
  <c r="T273" i="53"/>
  <c r="S273" i="53"/>
  <c r="R273" i="53"/>
  <c r="Q273" i="53"/>
  <c r="P273" i="53"/>
  <c r="O273" i="53"/>
  <c r="N273" i="53"/>
  <c r="M273" i="53"/>
  <c r="L273" i="53"/>
  <c r="K273" i="53"/>
  <c r="J273" i="53"/>
  <c r="I273" i="53"/>
  <c r="V272" i="53"/>
  <c r="U272" i="53"/>
  <c r="T272" i="53"/>
  <c r="S272" i="53"/>
  <c r="R272" i="53"/>
  <c r="Q272" i="53"/>
  <c r="P272" i="53"/>
  <c r="O272" i="53"/>
  <c r="N272" i="53"/>
  <c r="M272" i="53"/>
  <c r="L272" i="53"/>
  <c r="K272" i="53"/>
  <c r="J272" i="53"/>
  <c r="I272" i="53"/>
  <c r="I262" i="53"/>
  <c r="J262" i="53"/>
  <c r="I254" i="53"/>
  <c r="I253" i="53"/>
  <c r="J254" i="53"/>
  <c r="J253" i="53"/>
  <c r="I242" i="53"/>
  <c r="J242" i="53"/>
  <c r="I234" i="53"/>
  <c r="I233" i="53"/>
  <c r="I232" i="53"/>
  <c r="J234" i="53"/>
  <c r="J233" i="53"/>
  <c r="J232" i="53"/>
  <c r="I229" i="53"/>
  <c r="I228" i="53"/>
  <c r="I227" i="53"/>
  <c r="I225" i="53"/>
  <c r="I224" i="53"/>
  <c r="I223" i="53"/>
  <c r="I222" i="53"/>
  <c r="I221" i="53"/>
  <c r="J229" i="53"/>
  <c r="J228" i="53"/>
  <c r="J227" i="53"/>
  <c r="J225" i="53"/>
  <c r="J224" i="53"/>
  <c r="J223" i="53"/>
  <c r="J222" i="53"/>
  <c r="J221" i="53"/>
  <c r="I183" i="53"/>
  <c r="I182" i="53"/>
  <c r="I181" i="53"/>
  <c r="J183" i="53"/>
  <c r="J182" i="53"/>
  <c r="J181" i="53"/>
  <c r="I174" i="53"/>
  <c r="I173" i="53"/>
  <c r="I172" i="53"/>
  <c r="I170" i="53"/>
  <c r="I169" i="53"/>
  <c r="I168" i="53"/>
  <c r="I167" i="53"/>
  <c r="J174" i="53"/>
  <c r="J173" i="53"/>
  <c r="J172" i="53"/>
  <c r="J170" i="53"/>
  <c r="J169" i="53"/>
  <c r="J168" i="53"/>
  <c r="J167" i="53"/>
  <c r="I163" i="53"/>
  <c r="I161" i="53"/>
  <c r="I160" i="53"/>
  <c r="J163" i="53"/>
  <c r="J161" i="53"/>
  <c r="J160" i="53"/>
  <c r="I155" i="53"/>
  <c r="J155" i="53"/>
  <c r="E72" i="53"/>
  <c r="I68" i="53"/>
  <c r="I60" i="53"/>
  <c r="I57" i="53"/>
  <c r="I53" i="53"/>
  <c r="I50" i="53"/>
  <c r="I44" i="53"/>
  <c r="I40" i="53"/>
  <c r="I33" i="53"/>
  <c r="E87" i="53"/>
  <c r="E86" i="53"/>
  <c r="E85" i="53"/>
  <c r="E84" i="53"/>
  <c r="E83" i="53"/>
  <c r="E95" i="53"/>
  <c r="I123" i="53"/>
  <c r="J123" i="53"/>
  <c r="J68" i="53"/>
  <c r="J60" i="53"/>
  <c r="J57" i="53"/>
  <c r="J53" i="53"/>
  <c r="J50" i="53"/>
  <c r="J44" i="53"/>
  <c r="J40" i="53"/>
  <c r="J33" i="53"/>
  <c r="G830" i="53"/>
  <c r="G826" i="53"/>
  <c r="G825" i="53"/>
  <c r="G824" i="53"/>
  <c r="G821" i="53"/>
  <c r="G820" i="53"/>
  <c r="G819" i="53"/>
  <c r="G818" i="53"/>
  <c r="G817" i="53"/>
  <c r="E1527" i="53" l="1"/>
  <c r="E1467" i="1"/>
  <c r="J180" i="53"/>
  <c r="J648" i="53" s="1"/>
  <c r="J162" i="53"/>
  <c r="J628" i="53" s="1"/>
  <c r="L309" i="53"/>
  <c r="P309" i="53"/>
  <c r="T309" i="53"/>
  <c r="J156" i="53"/>
  <c r="J621" i="53" s="1"/>
  <c r="E1522" i="53"/>
  <c r="E1522" i="1" s="1"/>
  <c r="E1523" i="53"/>
  <c r="J309" i="53"/>
  <c r="J176" i="53"/>
  <c r="J643" i="53" s="1"/>
  <c r="I293" i="53"/>
  <c r="I321" i="53"/>
  <c r="J745" i="53"/>
  <c r="J321" i="53"/>
  <c r="N309" i="53"/>
  <c r="U309" i="53"/>
  <c r="R309" i="53"/>
  <c r="V309" i="53"/>
  <c r="I309" i="53"/>
  <c r="M309" i="53"/>
  <c r="Q309" i="53"/>
  <c r="I720" i="53"/>
  <c r="J255" i="53"/>
  <c r="I745" i="53"/>
  <c r="I299" i="53"/>
  <c r="J286" i="53"/>
  <c r="I286" i="53"/>
  <c r="K309" i="53"/>
  <c r="O309" i="53"/>
  <c r="S309" i="53"/>
  <c r="J280" i="53"/>
  <c r="J293" i="53"/>
  <c r="I255" i="53"/>
  <c r="I280" i="53"/>
  <c r="J720" i="53"/>
  <c r="J299" i="53"/>
  <c r="I662" i="53"/>
  <c r="E1527" i="1" l="1"/>
  <c r="I1527" i="1" s="1"/>
  <c r="E1528" i="53"/>
  <c r="E1528" i="1" s="1"/>
  <c r="E1636" i="1" s="1"/>
  <c r="I1522" i="1"/>
  <c r="O1524" i="53"/>
  <c r="O1505" i="53" s="1"/>
  <c r="O1506" i="53" s="1"/>
  <c r="M1524" i="53"/>
  <c r="M1505" i="53" s="1"/>
  <c r="M1506" i="53" s="1"/>
  <c r="S1524" i="53"/>
  <c r="S1505" i="53" s="1"/>
  <c r="S1506" i="53" s="1"/>
  <c r="N1524" i="53"/>
  <c r="N1505" i="53" s="1"/>
  <c r="N1506" i="53" s="1"/>
  <c r="P1524" i="53"/>
  <c r="P1505" i="53" s="1"/>
  <c r="P1506" i="53" s="1"/>
  <c r="J1524" i="53"/>
  <c r="J1505" i="53" s="1"/>
  <c r="J1506" i="53" s="1"/>
  <c r="E1523" i="1"/>
  <c r="L1524" i="53"/>
  <c r="L1505" i="53" s="1"/>
  <c r="L1506" i="53" s="1"/>
  <c r="Q1524" i="53"/>
  <c r="Q1505" i="53" s="1"/>
  <c r="Q1506" i="53" s="1"/>
  <c r="V1524" i="53"/>
  <c r="V1505" i="53" s="1"/>
  <c r="V1506" i="53" s="1"/>
  <c r="I1524" i="53"/>
  <c r="I1505" i="53" s="1"/>
  <c r="I1506" i="53" s="1"/>
  <c r="R1524" i="53"/>
  <c r="R1505" i="53" s="1"/>
  <c r="R1506" i="53" s="1"/>
  <c r="J662" i="53"/>
  <c r="K1524" i="53"/>
  <c r="K1505" i="53" s="1"/>
  <c r="K1506" i="53" s="1"/>
  <c r="T1524" i="53"/>
  <c r="T1505" i="53" s="1"/>
  <c r="T1506" i="53" s="1"/>
  <c r="U1524" i="53"/>
  <c r="U1505" i="53" s="1"/>
  <c r="U1506" i="53" s="1"/>
  <c r="J325" i="53"/>
  <c r="I325" i="53"/>
  <c r="I1528" i="1" l="1"/>
  <c r="E1636" i="53"/>
  <c r="I1523" i="1"/>
  <c r="I1524" i="1"/>
  <c r="C1857" i="53"/>
  <c r="C1845" i="53"/>
  <c r="B1837" i="53"/>
  <c r="C1836" i="53"/>
  <c r="B1802" i="53"/>
  <c r="B1803" i="53" s="1"/>
  <c r="B1804" i="53" s="1"/>
  <c r="E1782" i="53"/>
  <c r="E1635" i="53"/>
  <c r="C1557" i="53"/>
  <c r="V1549" i="53"/>
  <c r="U1549" i="53"/>
  <c r="T1549" i="53"/>
  <c r="S1549" i="53"/>
  <c r="R1549" i="53"/>
  <c r="Q1549" i="53"/>
  <c r="P1549" i="53"/>
  <c r="O1549" i="53"/>
  <c r="N1549" i="53"/>
  <c r="M1549" i="53"/>
  <c r="L1549" i="53"/>
  <c r="K1549" i="53"/>
  <c r="J1549" i="53"/>
  <c r="I1549" i="53"/>
  <c r="I1539" i="53"/>
  <c r="I1534" i="53"/>
  <c r="E1496" i="53"/>
  <c r="E1495" i="53"/>
  <c r="C1473" i="53"/>
  <c r="C1478" i="53" s="1"/>
  <c r="C1487" i="53" s="1"/>
  <c r="C1472" i="53"/>
  <c r="C1477" i="53" s="1"/>
  <c r="C1486" i="53" s="1"/>
  <c r="C1471" i="53"/>
  <c r="C1476" i="53" s="1"/>
  <c r="C1485" i="53" s="1"/>
  <c r="H1454" i="53"/>
  <c r="H1453" i="53"/>
  <c r="E1435" i="53"/>
  <c r="E1428" i="53"/>
  <c r="E1427" i="53"/>
  <c r="I1363" i="53"/>
  <c r="I1356" i="53"/>
  <c r="I1321" i="53"/>
  <c r="I1246" i="53"/>
  <c r="G1241" i="53"/>
  <c r="B1164" i="53"/>
  <c r="B1176" i="53" s="1"/>
  <c r="B1202" i="53" s="1"/>
  <c r="E1002" i="53"/>
  <c r="V942" i="53"/>
  <c r="U942" i="53"/>
  <c r="T942" i="53"/>
  <c r="S942" i="53"/>
  <c r="R942" i="53"/>
  <c r="Q942" i="53"/>
  <c r="P942" i="53"/>
  <c r="O942" i="53"/>
  <c r="N942" i="53"/>
  <c r="M942" i="53"/>
  <c r="L942" i="53"/>
  <c r="K942" i="53"/>
  <c r="J942" i="53"/>
  <c r="I942" i="53"/>
  <c r="J926" i="53"/>
  <c r="I926" i="1" s="1"/>
  <c r="I926" i="53"/>
  <c r="E889" i="53"/>
  <c r="D889" i="53"/>
  <c r="V888" i="53"/>
  <c r="U888" i="53"/>
  <c r="T888" i="53"/>
  <c r="S888" i="53"/>
  <c r="R888" i="53"/>
  <c r="Q888" i="53"/>
  <c r="P888" i="53"/>
  <c r="O888" i="53"/>
  <c r="N888" i="53"/>
  <c r="M888" i="53"/>
  <c r="L888" i="53"/>
  <c r="K888" i="53"/>
  <c r="J888" i="53"/>
  <c r="I888" i="53"/>
  <c r="V887" i="53"/>
  <c r="U887" i="53"/>
  <c r="T887" i="53"/>
  <c r="S887" i="53"/>
  <c r="R887" i="53"/>
  <c r="Q887" i="53"/>
  <c r="P887" i="53"/>
  <c r="O887" i="53"/>
  <c r="N887" i="53"/>
  <c r="M887" i="53"/>
  <c r="L887" i="53"/>
  <c r="K887" i="53"/>
  <c r="J887" i="53"/>
  <c r="I887" i="53"/>
  <c r="V886" i="53"/>
  <c r="U886" i="53"/>
  <c r="T886" i="53"/>
  <c r="S886" i="53"/>
  <c r="R886" i="53"/>
  <c r="Q886" i="53"/>
  <c r="P886" i="53"/>
  <c r="O886" i="53"/>
  <c r="N886" i="53"/>
  <c r="M886" i="53"/>
  <c r="L886" i="53"/>
  <c r="K886" i="53"/>
  <c r="J886" i="53"/>
  <c r="I886" i="53"/>
  <c r="V885" i="53"/>
  <c r="U885" i="53"/>
  <c r="T885" i="53"/>
  <c r="S885" i="53"/>
  <c r="R885" i="53"/>
  <c r="Q885" i="53"/>
  <c r="P885" i="53"/>
  <c r="O885" i="53"/>
  <c r="N885" i="53"/>
  <c r="M885" i="53"/>
  <c r="L885" i="53"/>
  <c r="K885" i="53"/>
  <c r="J885" i="53"/>
  <c r="I885" i="53"/>
  <c r="V884" i="53"/>
  <c r="U884" i="53"/>
  <c r="T884" i="53"/>
  <c r="S884" i="53"/>
  <c r="R884" i="53"/>
  <c r="Q884" i="53"/>
  <c r="P884" i="53"/>
  <c r="O884" i="53"/>
  <c r="N884" i="53"/>
  <c r="M884" i="53"/>
  <c r="L884" i="53"/>
  <c r="K884" i="53"/>
  <c r="J884" i="53"/>
  <c r="I884" i="53"/>
  <c r="V883" i="53"/>
  <c r="U883" i="53"/>
  <c r="T883" i="53"/>
  <c r="S883" i="53"/>
  <c r="R883" i="53"/>
  <c r="Q883" i="53"/>
  <c r="P883" i="53"/>
  <c r="O883" i="53"/>
  <c r="N883" i="53"/>
  <c r="M883" i="53"/>
  <c r="L883" i="53"/>
  <c r="K883" i="53"/>
  <c r="J883" i="53"/>
  <c r="I883" i="53"/>
  <c r="V882" i="53"/>
  <c r="U882" i="53"/>
  <c r="T882" i="53"/>
  <c r="S882" i="53"/>
  <c r="R882" i="53"/>
  <c r="Q882" i="53"/>
  <c r="P882" i="53"/>
  <c r="O882" i="53"/>
  <c r="N882" i="53"/>
  <c r="M882" i="53"/>
  <c r="L882" i="53"/>
  <c r="K882" i="53"/>
  <c r="J882" i="53"/>
  <c r="I882" i="53"/>
  <c r="V881" i="53"/>
  <c r="U881" i="53"/>
  <c r="T881" i="53"/>
  <c r="S881" i="53"/>
  <c r="R881" i="53"/>
  <c r="Q881" i="53"/>
  <c r="P881" i="53"/>
  <c r="O881" i="53"/>
  <c r="N881" i="53"/>
  <c r="M881" i="53"/>
  <c r="L881" i="53"/>
  <c r="K881" i="53"/>
  <c r="J881" i="53"/>
  <c r="I881" i="53"/>
  <c r="V880" i="53"/>
  <c r="U880" i="53"/>
  <c r="T880" i="53"/>
  <c r="S880" i="53"/>
  <c r="R880" i="53"/>
  <c r="Q880" i="53"/>
  <c r="P880" i="53"/>
  <c r="O880" i="53"/>
  <c r="N880" i="53"/>
  <c r="M880" i="53"/>
  <c r="L880" i="53"/>
  <c r="K880" i="53"/>
  <c r="J880" i="53"/>
  <c r="I880" i="53"/>
  <c r="V879" i="53"/>
  <c r="U879" i="53"/>
  <c r="T879" i="53"/>
  <c r="S879" i="53"/>
  <c r="R879" i="53"/>
  <c r="Q879" i="53"/>
  <c r="P879" i="53"/>
  <c r="O879" i="53"/>
  <c r="N879" i="53"/>
  <c r="M879" i="53"/>
  <c r="L879" i="53"/>
  <c r="K879" i="53"/>
  <c r="J879" i="53"/>
  <c r="I879" i="53"/>
  <c r="V878" i="53"/>
  <c r="U878" i="53"/>
  <c r="T878" i="53"/>
  <c r="S878" i="53"/>
  <c r="R878" i="53"/>
  <c r="Q878" i="53"/>
  <c r="P878" i="53"/>
  <c r="O878" i="53"/>
  <c r="N878" i="53"/>
  <c r="M878" i="53"/>
  <c r="L878" i="53"/>
  <c r="K878" i="53"/>
  <c r="J878" i="53"/>
  <c r="I878" i="53"/>
  <c r="V877" i="53"/>
  <c r="U877" i="53"/>
  <c r="T877" i="53"/>
  <c r="S877" i="53"/>
  <c r="R877" i="53"/>
  <c r="Q877" i="53"/>
  <c r="P877" i="53"/>
  <c r="O877" i="53"/>
  <c r="N877" i="53"/>
  <c r="M877" i="53"/>
  <c r="L877" i="53"/>
  <c r="K877" i="53"/>
  <c r="J877" i="53"/>
  <c r="I877" i="53"/>
  <c r="D873" i="53"/>
  <c r="D869" i="53"/>
  <c r="E864" i="53"/>
  <c r="O864" i="53" s="1"/>
  <c r="C864" i="53"/>
  <c r="E863" i="53"/>
  <c r="M863" i="53" s="1"/>
  <c r="C863" i="53"/>
  <c r="E862" i="53"/>
  <c r="C862" i="53"/>
  <c r="E861" i="53"/>
  <c r="M861" i="53" s="1"/>
  <c r="C861" i="53"/>
  <c r="E860" i="53"/>
  <c r="C860" i="53"/>
  <c r="E859" i="53"/>
  <c r="S859" i="53" s="1"/>
  <c r="C859" i="53"/>
  <c r="E858" i="53"/>
  <c r="O858" i="53" s="1"/>
  <c r="C858" i="53"/>
  <c r="E857" i="53"/>
  <c r="O857" i="53" s="1"/>
  <c r="C857" i="53"/>
  <c r="E856" i="53"/>
  <c r="V856" i="53" s="1"/>
  <c r="C856" i="53"/>
  <c r="E855" i="53"/>
  <c r="C855" i="53"/>
  <c r="E854" i="53"/>
  <c r="R854" i="53" s="1"/>
  <c r="C854" i="53"/>
  <c r="E853" i="53"/>
  <c r="S853" i="53" s="1"/>
  <c r="C853" i="53"/>
  <c r="C852" i="53"/>
  <c r="E851" i="53"/>
  <c r="C851" i="53"/>
  <c r="E850" i="53"/>
  <c r="U850" i="53" s="1"/>
  <c r="C850" i="53"/>
  <c r="C849" i="53"/>
  <c r="E844" i="53"/>
  <c r="V844" i="53" s="1"/>
  <c r="E843" i="53"/>
  <c r="S843" i="53" s="1"/>
  <c r="C843" i="53"/>
  <c r="E842" i="53"/>
  <c r="R842" i="53" s="1"/>
  <c r="C842" i="53"/>
  <c r="E841" i="53"/>
  <c r="S841" i="53" s="1"/>
  <c r="C841" i="53"/>
  <c r="E840" i="53"/>
  <c r="V840" i="53" s="1"/>
  <c r="C840" i="53"/>
  <c r="E839" i="53"/>
  <c r="K839" i="53" s="1"/>
  <c r="C839" i="53"/>
  <c r="E838" i="53"/>
  <c r="U838" i="53" s="1"/>
  <c r="C838" i="53"/>
  <c r="E837" i="53"/>
  <c r="S837" i="53" s="1"/>
  <c r="C837" i="53"/>
  <c r="E836" i="53"/>
  <c r="V836" i="53" s="1"/>
  <c r="C836" i="53"/>
  <c r="E835" i="53"/>
  <c r="O835" i="53" s="1"/>
  <c r="C835" i="53"/>
  <c r="E834" i="53"/>
  <c r="V834" i="53" s="1"/>
  <c r="C834" i="53"/>
  <c r="E833" i="53"/>
  <c r="S833" i="53" s="1"/>
  <c r="C833" i="53"/>
  <c r="D804" i="53"/>
  <c r="C797" i="53"/>
  <c r="C796" i="53"/>
  <c r="C795" i="53"/>
  <c r="C794" i="53"/>
  <c r="C793" i="53"/>
  <c r="D791" i="53"/>
  <c r="E745" i="53"/>
  <c r="V744" i="53"/>
  <c r="U744" i="53"/>
  <c r="T744" i="53"/>
  <c r="S744" i="53"/>
  <c r="R744" i="53"/>
  <c r="Q744" i="53"/>
  <c r="P744" i="53"/>
  <c r="O744" i="53"/>
  <c r="N744" i="53"/>
  <c r="M744" i="53"/>
  <c r="L744" i="53"/>
  <c r="K744" i="53"/>
  <c r="V743" i="53"/>
  <c r="U743" i="53"/>
  <c r="T743" i="53"/>
  <c r="S743" i="53"/>
  <c r="R743" i="53"/>
  <c r="Q743" i="53"/>
  <c r="P743" i="53"/>
  <c r="O743" i="53"/>
  <c r="N743" i="53"/>
  <c r="M743" i="53"/>
  <c r="L743" i="53"/>
  <c r="K743" i="53"/>
  <c r="V732" i="53"/>
  <c r="U732" i="53"/>
  <c r="T732" i="53"/>
  <c r="S732" i="53"/>
  <c r="R732" i="53"/>
  <c r="Q732" i="53"/>
  <c r="P732" i="53"/>
  <c r="O732" i="53"/>
  <c r="N732" i="53"/>
  <c r="M732" i="53"/>
  <c r="L732" i="53"/>
  <c r="K732" i="53"/>
  <c r="V721" i="53"/>
  <c r="U721" i="53"/>
  <c r="T721" i="53"/>
  <c r="S721" i="53"/>
  <c r="R721" i="53"/>
  <c r="Q721" i="53"/>
  <c r="P721" i="53"/>
  <c r="O721" i="53"/>
  <c r="N721" i="53"/>
  <c r="M721" i="53"/>
  <c r="L721" i="53"/>
  <c r="K721" i="53"/>
  <c r="E720" i="53"/>
  <c r="V719" i="53"/>
  <c r="U719" i="53"/>
  <c r="T719" i="53"/>
  <c r="S719" i="53"/>
  <c r="R719" i="53"/>
  <c r="Q719" i="53"/>
  <c r="P719" i="53"/>
  <c r="O719" i="53"/>
  <c r="N719" i="53"/>
  <c r="M719" i="53"/>
  <c r="L719" i="53"/>
  <c r="K719" i="53"/>
  <c r="V718" i="53"/>
  <c r="U718" i="53"/>
  <c r="T718" i="53"/>
  <c r="S718" i="53"/>
  <c r="R718" i="53"/>
  <c r="Q718" i="53"/>
  <c r="P718" i="53"/>
  <c r="O718" i="53"/>
  <c r="N718" i="53"/>
  <c r="M718" i="53"/>
  <c r="L718" i="53"/>
  <c r="K718" i="53"/>
  <c r="V717" i="53"/>
  <c r="U717" i="53"/>
  <c r="T717" i="53"/>
  <c r="S717" i="53"/>
  <c r="R717" i="53"/>
  <c r="Q717" i="53"/>
  <c r="P717" i="53"/>
  <c r="O717" i="53"/>
  <c r="N717" i="53"/>
  <c r="M717" i="53"/>
  <c r="L717" i="53"/>
  <c r="K717" i="53"/>
  <c r="V716" i="53"/>
  <c r="U716" i="53"/>
  <c r="T716" i="53"/>
  <c r="S716" i="53"/>
  <c r="R716" i="53"/>
  <c r="Q716" i="53"/>
  <c r="P716" i="53"/>
  <c r="O716" i="53"/>
  <c r="N716" i="53"/>
  <c r="M716" i="53"/>
  <c r="L716" i="53"/>
  <c r="K716" i="53"/>
  <c r="C694" i="53"/>
  <c r="C702" i="53" s="1"/>
  <c r="C689" i="53"/>
  <c r="C697" i="53" s="1"/>
  <c r="C1837" i="53" s="1"/>
  <c r="C686" i="53"/>
  <c r="C685" i="53"/>
  <c r="C1814" i="53" s="1"/>
  <c r="C684" i="53"/>
  <c r="C1813" i="53" s="1"/>
  <c r="C683" i="53"/>
  <c r="C1812" i="53" s="1"/>
  <c r="C682" i="53"/>
  <c r="C1811" i="53" s="1"/>
  <c r="C681" i="53"/>
  <c r="C1810" i="53" s="1"/>
  <c r="C680" i="53"/>
  <c r="C1809" i="53" s="1"/>
  <c r="C679" i="53"/>
  <c r="C1808" i="53" s="1"/>
  <c r="C678" i="53"/>
  <c r="C1807" i="53" s="1"/>
  <c r="C677" i="53"/>
  <c r="C1806" i="53" s="1"/>
  <c r="C676" i="53"/>
  <c r="C1805" i="53" s="1"/>
  <c r="C675" i="53"/>
  <c r="C1804" i="53" s="1"/>
  <c r="C674" i="53"/>
  <c r="C1803" i="53" s="1"/>
  <c r="C672" i="53"/>
  <c r="C1801" i="53" s="1"/>
  <c r="C651" i="53"/>
  <c r="C650" i="53"/>
  <c r="C649" i="53"/>
  <c r="C648" i="53"/>
  <c r="C646" i="53"/>
  <c r="C693" i="53" s="1"/>
  <c r="C701" i="53" s="1"/>
  <c r="C1841" i="53" s="1"/>
  <c r="C643" i="53"/>
  <c r="C642" i="53"/>
  <c r="C641" i="53"/>
  <c r="C640" i="53"/>
  <c r="C639" i="53"/>
  <c r="C638" i="53"/>
  <c r="C637" i="53"/>
  <c r="C636" i="53"/>
  <c r="C635" i="53"/>
  <c r="C634" i="53"/>
  <c r="C632" i="53"/>
  <c r="C692" i="53" s="1"/>
  <c r="C700" i="53" s="1"/>
  <c r="C1840" i="53" s="1"/>
  <c r="C629" i="53"/>
  <c r="C628" i="53"/>
  <c r="C627" i="53"/>
  <c r="C626" i="53"/>
  <c r="C624" i="53"/>
  <c r="C691" i="53" s="1"/>
  <c r="C699" i="53" s="1"/>
  <c r="C1839" i="53" s="1"/>
  <c r="C621" i="53"/>
  <c r="C620" i="53"/>
  <c r="C618" i="53"/>
  <c r="C690" i="53" s="1"/>
  <c r="C698" i="53" s="1"/>
  <c r="C1838" i="53" s="1"/>
  <c r="C614" i="53"/>
  <c r="C613" i="53"/>
  <c r="C657" i="53" s="1"/>
  <c r="C673" i="53" s="1"/>
  <c r="C1802" i="53" s="1"/>
  <c r="V606" i="53"/>
  <c r="U606" i="53"/>
  <c r="T606" i="53"/>
  <c r="S606" i="53"/>
  <c r="R606" i="53"/>
  <c r="Q606" i="53"/>
  <c r="P606" i="53"/>
  <c r="O606" i="53"/>
  <c r="N606" i="53"/>
  <c r="M606" i="53"/>
  <c r="L606" i="53"/>
  <c r="K606" i="53"/>
  <c r="V605" i="53"/>
  <c r="U605" i="53"/>
  <c r="T605" i="53"/>
  <c r="S605" i="53"/>
  <c r="R605" i="53"/>
  <c r="Q605" i="53"/>
  <c r="P605" i="53"/>
  <c r="O605" i="53"/>
  <c r="N605" i="53"/>
  <c r="M605" i="53"/>
  <c r="L605" i="53"/>
  <c r="K605" i="53"/>
  <c r="V604" i="53"/>
  <c r="U604" i="53"/>
  <c r="T604" i="53"/>
  <c r="S604" i="53"/>
  <c r="R604" i="53"/>
  <c r="Q604" i="53"/>
  <c r="P604" i="53"/>
  <c r="O604" i="53"/>
  <c r="N604" i="53"/>
  <c r="M604" i="53"/>
  <c r="L604" i="53"/>
  <c r="K604" i="53"/>
  <c r="V603" i="53"/>
  <c r="U603" i="53"/>
  <c r="T603" i="53"/>
  <c r="S603" i="53"/>
  <c r="R603" i="53"/>
  <c r="Q603" i="53"/>
  <c r="P603" i="53"/>
  <c r="O603" i="53"/>
  <c r="N603" i="53"/>
  <c r="M603" i="53"/>
  <c r="L603" i="53"/>
  <c r="K603" i="53"/>
  <c r="C579" i="53"/>
  <c r="C576" i="53"/>
  <c r="C575" i="53"/>
  <c r="C574" i="53"/>
  <c r="C573" i="53"/>
  <c r="C572" i="53"/>
  <c r="C571" i="53"/>
  <c r="C570" i="53"/>
  <c r="C569" i="53"/>
  <c r="C568" i="53"/>
  <c r="C554" i="53"/>
  <c r="C553" i="53"/>
  <c r="C552" i="53"/>
  <c r="C551" i="53"/>
  <c r="V477" i="53"/>
  <c r="U477" i="53"/>
  <c r="T477" i="53"/>
  <c r="S477" i="53"/>
  <c r="R477" i="53"/>
  <c r="Q477" i="53"/>
  <c r="P477" i="53"/>
  <c r="O477" i="53"/>
  <c r="N477" i="53"/>
  <c r="M477" i="53"/>
  <c r="L477" i="53"/>
  <c r="K477" i="53"/>
  <c r="C424" i="53"/>
  <c r="C473" i="53" s="1"/>
  <c r="C524" i="53" s="1"/>
  <c r="C373" i="53"/>
  <c r="C422" i="53" s="1"/>
  <c r="C471" i="53" s="1"/>
  <c r="C522" i="53" s="1"/>
  <c r="C372" i="53"/>
  <c r="C421" i="53" s="1"/>
  <c r="C470" i="53" s="1"/>
  <c r="C521" i="53" s="1"/>
  <c r="C371" i="53"/>
  <c r="C420" i="53" s="1"/>
  <c r="C469" i="53" s="1"/>
  <c r="C520" i="53" s="1"/>
  <c r="C370" i="53"/>
  <c r="C419" i="53" s="1"/>
  <c r="C468" i="53" s="1"/>
  <c r="C519" i="53" s="1"/>
  <c r="C369" i="53"/>
  <c r="C418" i="53" s="1"/>
  <c r="C467" i="53" s="1"/>
  <c r="C518" i="53" s="1"/>
  <c r="C368" i="53"/>
  <c r="C417" i="53" s="1"/>
  <c r="C466" i="53" s="1"/>
  <c r="C517" i="53" s="1"/>
  <c r="C367" i="53"/>
  <c r="C416" i="53" s="1"/>
  <c r="C465" i="53" s="1"/>
  <c r="C516" i="53" s="1"/>
  <c r="C366" i="53"/>
  <c r="C415" i="53" s="1"/>
  <c r="C464" i="53" s="1"/>
  <c r="C515" i="53" s="1"/>
  <c r="C365" i="53"/>
  <c r="C414" i="53" s="1"/>
  <c r="C463" i="53" s="1"/>
  <c r="C514" i="53" s="1"/>
  <c r="C364" i="53"/>
  <c r="C413" i="53" s="1"/>
  <c r="C462" i="53" s="1"/>
  <c r="C513" i="53" s="1"/>
  <c r="C567" i="53" s="1"/>
  <c r="C362" i="53"/>
  <c r="C411" i="53" s="1"/>
  <c r="C460" i="53" s="1"/>
  <c r="C511" i="53" s="1"/>
  <c r="C564" i="53" s="1"/>
  <c r="C361" i="53"/>
  <c r="C410" i="53" s="1"/>
  <c r="C459" i="53" s="1"/>
  <c r="C510" i="53" s="1"/>
  <c r="C563" i="53" s="1"/>
  <c r="C360" i="53"/>
  <c r="C409" i="53" s="1"/>
  <c r="C458" i="53" s="1"/>
  <c r="C509" i="53" s="1"/>
  <c r="C562" i="53" s="1"/>
  <c r="C359" i="53"/>
  <c r="C408" i="53" s="1"/>
  <c r="C457" i="53" s="1"/>
  <c r="C508" i="53" s="1"/>
  <c r="C561" i="53" s="1"/>
  <c r="C358" i="53"/>
  <c r="C407" i="53" s="1"/>
  <c r="C456" i="53" s="1"/>
  <c r="C507" i="53" s="1"/>
  <c r="C560" i="53" s="1"/>
  <c r="C357" i="53"/>
  <c r="C406" i="53" s="1"/>
  <c r="C455" i="53" s="1"/>
  <c r="C506" i="53" s="1"/>
  <c r="C559" i="53" s="1"/>
  <c r="C356" i="53"/>
  <c r="C405" i="53" s="1"/>
  <c r="C454" i="53" s="1"/>
  <c r="C505" i="53" s="1"/>
  <c r="C558" i="53" s="1"/>
  <c r="C355" i="53"/>
  <c r="C404" i="53" s="1"/>
  <c r="C453" i="53" s="1"/>
  <c r="C504" i="53" s="1"/>
  <c r="C557" i="53" s="1"/>
  <c r="C353" i="53"/>
  <c r="C402" i="53" s="1"/>
  <c r="C451" i="53" s="1"/>
  <c r="C502" i="53" s="1"/>
  <c r="C352" i="53"/>
  <c r="C401" i="53" s="1"/>
  <c r="C450" i="53" s="1"/>
  <c r="C501" i="53" s="1"/>
  <c r="C351" i="53"/>
  <c r="C400" i="53" s="1"/>
  <c r="C449" i="53" s="1"/>
  <c r="C500" i="53" s="1"/>
  <c r="C350" i="53"/>
  <c r="C399" i="53" s="1"/>
  <c r="C448" i="53" s="1"/>
  <c r="C499" i="53" s="1"/>
  <c r="C348" i="53"/>
  <c r="C397" i="53" s="1"/>
  <c r="C446" i="53" s="1"/>
  <c r="C497" i="53" s="1"/>
  <c r="C548" i="53" s="1"/>
  <c r="C347" i="53"/>
  <c r="C396" i="53" s="1"/>
  <c r="C445" i="53" s="1"/>
  <c r="C496" i="53" s="1"/>
  <c r="C547" i="53" s="1"/>
  <c r="C346" i="53"/>
  <c r="C395" i="53" s="1"/>
  <c r="C444" i="53" s="1"/>
  <c r="C495" i="53" s="1"/>
  <c r="C546" i="53" s="1"/>
  <c r="C345" i="53"/>
  <c r="C394" i="53" s="1"/>
  <c r="C443" i="53" s="1"/>
  <c r="C494" i="53" s="1"/>
  <c r="C545" i="53" s="1"/>
  <c r="C344" i="53"/>
  <c r="C393" i="53" s="1"/>
  <c r="C442" i="53" s="1"/>
  <c r="C493" i="53" s="1"/>
  <c r="C544" i="53" s="1"/>
  <c r="C342" i="53"/>
  <c r="C391" i="53" s="1"/>
  <c r="C440" i="53" s="1"/>
  <c r="C491" i="53" s="1"/>
  <c r="C541" i="53" s="1"/>
  <c r="C341" i="53"/>
  <c r="C390" i="53" s="1"/>
  <c r="C439" i="53" s="1"/>
  <c r="C490" i="53" s="1"/>
  <c r="C540" i="53" s="1"/>
  <c r="C340" i="53"/>
  <c r="C389" i="53" s="1"/>
  <c r="C438" i="53" s="1"/>
  <c r="C489" i="53" s="1"/>
  <c r="C539" i="53" s="1"/>
  <c r="C339" i="53"/>
  <c r="C388" i="53" s="1"/>
  <c r="C437" i="53" s="1"/>
  <c r="C488" i="53" s="1"/>
  <c r="C538" i="53" s="1"/>
  <c r="C336" i="53"/>
  <c r="C386" i="53" s="1"/>
  <c r="C435" i="53" s="1"/>
  <c r="C486" i="53" s="1"/>
  <c r="C535" i="53" s="1"/>
  <c r="C335" i="53"/>
  <c r="C385" i="53" s="1"/>
  <c r="C434" i="53" s="1"/>
  <c r="C485" i="53" s="1"/>
  <c r="C534" i="53" s="1"/>
  <c r="C334" i="53"/>
  <c r="C384" i="53" s="1"/>
  <c r="C433" i="53" s="1"/>
  <c r="C484" i="53" s="1"/>
  <c r="C533" i="53" s="1"/>
  <c r="C333" i="53"/>
  <c r="C383" i="53" s="1"/>
  <c r="C432" i="53" s="1"/>
  <c r="C483" i="53" s="1"/>
  <c r="C532" i="53" s="1"/>
  <c r="C332" i="53"/>
  <c r="C382" i="53" s="1"/>
  <c r="C431" i="53" s="1"/>
  <c r="C482" i="53" s="1"/>
  <c r="C531" i="53" s="1"/>
  <c r="C331" i="53"/>
  <c r="C381" i="53" s="1"/>
  <c r="C430" i="53" s="1"/>
  <c r="C481" i="53" s="1"/>
  <c r="C530" i="53" s="1"/>
  <c r="C330" i="53"/>
  <c r="C380" i="53" s="1"/>
  <c r="C429" i="53" s="1"/>
  <c r="C480" i="53" s="1"/>
  <c r="C529" i="53" s="1"/>
  <c r="C329" i="53"/>
  <c r="C379" i="53" s="1"/>
  <c r="C428" i="53" s="1"/>
  <c r="C479" i="53" s="1"/>
  <c r="C528" i="53" s="1"/>
  <c r="V323" i="53"/>
  <c r="U323" i="53"/>
  <c r="T323" i="53"/>
  <c r="S323" i="53"/>
  <c r="R323" i="53"/>
  <c r="Q323" i="53"/>
  <c r="P323" i="53"/>
  <c r="O323" i="53"/>
  <c r="N323" i="53"/>
  <c r="M323" i="53"/>
  <c r="L323" i="53"/>
  <c r="K323" i="53"/>
  <c r="E321" i="53"/>
  <c r="E309" i="53"/>
  <c r="E299" i="53"/>
  <c r="E293" i="53"/>
  <c r="E286" i="53"/>
  <c r="E280" i="53"/>
  <c r="V262" i="53"/>
  <c r="U262" i="53"/>
  <c r="T262" i="53"/>
  <c r="S262" i="53"/>
  <c r="R262" i="53"/>
  <c r="Q262" i="53"/>
  <c r="P262" i="53"/>
  <c r="O262" i="53"/>
  <c r="N262" i="53"/>
  <c r="M262" i="53"/>
  <c r="L262" i="53"/>
  <c r="K262" i="53"/>
  <c r="E255" i="53"/>
  <c r="V254" i="53"/>
  <c r="U254" i="53"/>
  <c r="T254" i="53"/>
  <c r="S254" i="53"/>
  <c r="R254" i="53"/>
  <c r="Q254" i="53"/>
  <c r="P254" i="53"/>
  <c r="O254" i="53"/>
  <c r="N254" i="53"/>
  <c r="M254" i="53"/>
  <c r="L254" i="53"/>
  <c r="K254" i="53"/>
  <c r="V253" i="53"/>
  <c r="U253" i="53"/>
  <c r="T253" i="53"/>
  <c r="S253" i="53"/>
  <c r="R253" i="53"/>
  <c r="Q253" i="53"/>
  <c r="P253" i="53"/>
  <c r="O253" i="53"/>
  <c r="N253" i="53"/>
  <c r="M253" i="53"/>
  <c r="L253" i="53"/>
  <c r="K253" i="53"/>
  <c r="V242" i="53"/>
  <c r="U242" i="53"/>
  <c r="T242" i="53"/>
  <c r="S242" i="53"/>
  <c r="R242" i="53"/>
  <c r="Q242" i="53"/>
  <c r="P242" i="53"/>
  <c r="O242" i="53"/>
  <c r="N242" i="53"/>
  <c r="M242" i="53"/>
  <c r="L242" i="53"/>
  <c r="K242" i="53"/>
  <c r="V234" i="53"/>
  <c r="U234" i="53"/>
  <c r="T234" i="53"/>
  <c r="S234" i="53"/>
  <c r="R234" i="53"/>
  <c r="Q234" i="53"/>
  <c r="P234" i="53"/>
  <c r="O234" i="53"/>
  <c r="N234" i="53"/>
  <c r="M234" i="53"/>
  <c r="L234" i="53"/>
  <c r="K234" i="53"/>
  <c r="V233" i="53"/>
  <c r="U233" i="53"/>
  <c r="T233" i="53"/>
  <c r="S233" i="53"/>
  <c r="R233" i="53"/>
  <c r="Q233" i="53"/>
  <c r="P233" i="53"/>
  <c r="O233" i="53"/>
  <c r="N233" i="53"/>
  <c r="M233" i="53"/>
  <c r="L233" i="53"/>
  <c r="K233" i="53"/>
  <c r="V232" i="53"/>
  <c r="U232" i="53"/>
  <c r="T232" i="53"/>
  <c r="S232" i="53"/>
  <c r="R232" i="53"/>
  <c r="Q232" i="53"/>
  <c r="P232" i="53"/>
  <c r="O232" i="53"/>
  <c r="N232" i="53"/>
  <c r="M232" i="53"/>
  <c r="L232" i="53"/>
  <c r="K232" i="53"/>
  <c r="V229" i="53"/>
  <c r="U229" i="53"/>
  <c r="T229" i="53"/>
  <c r="S229" i="53"/>
  <c r="R229" i="53"/>
  <c r="Q229" i="53"/>
  <c r="P229" i="53"/>
  <c r="O229" i="53"/>
  <c r="N229" i="53"/>
  <c r="M229" i="53"/>
  <c r="L229" i="53"/>
  <c r="K229" i="53"/>
  <c r="V228" i="53"/>
  <c r="U228" i="53"/>
  <c r="T228" i="53"/>
  <c r="S228" i="53"/>
  <c r="R228" i="53"/>
  <c r="Q228" i="53"/>
  <c r="P228" i="53"/>
  <c r="O228" i="53"/>
  <c r="N228" i="53"/>
  <c r="M228" i="53"/>
  <c r="L228" i="53"/>
  <c r="K228" i="53"/>
  <c r="V227" i="53"/>
  <c r="U227" i="53"/>
  <c r="T227" i="53"/>
  <c r="S227" i="53"/>
  <c r="R227" i="53"/>
  <c r="Q227" i="53"/>
  <c r="P227" i="53"/>
  <c r="O227" i="53"/>
  <c r="N227" i="53"/>
  <c r="M227" i="53"/>
  <c r="L227" i="53"/>
  <c r="K227" i="53"/>
  <c r="V225" i="53"/>
  <c r="U225" i="53"/>
  <c r="T225" i="53"/>
  <c r="S225" i="53"/>
  <c r="R225" i="53"/>
  <c r="Q225" i="53"/>
  <c r="P225" i="53"/>
  <c r="O225" i="53"/>
  <c r="N225" i="53"/>
  <c r="M225" i="53"/>
  <c r="L225" i="53"/>
  <c r="K225" i="53"/>
  <c r="V224" i="53"/>
  <c r="U224" i="53"/>
  <c r="T224" i="53"/>
  <c r="S224" i="53"/>
  <c r="R224" i="53"/>
  <c r="Q224" i="53"/>
  <c r="P224" i="53"/>
  <c r="O224" i="53"/>
  <c r="N224" i="53"/>
  <c r="M224" i="53"/>
  <c r="L224" i="53"/>
  <c r="K224" i="53"/>
  <c r="V223" i="53"/>
  <c r="U223" i="53"/>
  <c r="T223" i="53"/>
  <c r="S223" i="53"/>
  <c r="R223" i="53"/>
  <c r="Q223" i="53"/>
  <c r="P223" i="53"/>
  <c r="O223" i="53"/>
  <c r="N223" i="53"/>
  <c r="M223" i="53"/>
  <c r="L223" i="53"/>
  <c r="K223" i="53"/>
  <c r="V222" i="53"/>
  <c r="U222" i="53"/>
  <c r="T222" i="53"/>
  <c r="S222" i="53"/>
  <c r="R222" i="53"/>
  <c r="Q222" i="53"/>
  <c r="P222" i="53"/>
  <c r="O222" i="53"/>
  <c r="N222" i="53"/>
  <c r="M222" i="53"/>
  <c r="L222" i="53"/>
  <c r="K222" i="53"/>
  <c r="V221" i="53"/>
  <c r="U221" i="53"/>
  <c r="T221" i="53"/>
  <c r="S221" i="53"/>
  <c r="R221" i="53"/>
  <c r="Q221" i="53"/>
  <c r="P221" i="53"/>
  <c r="O221" i="53"/>
  <c r="N221" i="53"/>
  <c r="M221" i="53"/>
  <c r="L221" i="53"/>
  <c r="K221" i="53"/>
  <c r="E220" i="53"/>
  <c r="D212" i="53"/>
  <c r="E211" i="53"/>
  <c r="E213" i="53" s="1"/>
  <c r="D210" i="53"/>
  <c r="D209" i="53"/>
  <c r="D205" i="53"/>
  <c r="E204" i="53"/>
  <c r="E206" i="53" s="1"/>
  <c r="D203" i="53"/>
  <c r="D202" i="53"/>
  <c r="D198" i="53"/>
  <c r="D197" i="53"/>
  <c r="C195" i="53"/>
  <c r="V183" i="53"/>
  <c r="U183" i="53"/>
  <c r="T183" i="53"/>
  <c r="S183" i="53"/>
  <c r="R183" i="53"/>
  <c r="Q183" i="53"/>
  <c r="P183" i="53"/>
  <c r="O183" i="53"/>
  <c r="N183" i="53"/>
  <c r="M183" i="53"/>
  <c r="L183" i="53"/>
  <c r="K183" i="53"/>
  <c r="V182" i="53"/>
  <c r="U182" i="53"/>
  <c r="T182" i="53"/>
  <c r="S182" i="53"/>
  <c r="R182" i="53"/>
  <c r="Q182" i="53"/>
  <c r="P182" i="53"/>
  <c r="O182" i="53"/>
  <c r="N182" i="53"/>
  <c r="M182" i="53"/>
  <c r="L182" i="53"/>
  <c r="K182" i="53"/>
  <c r="V181" i="53"/>
  <c r="U181" i="53"/>
  <c r="T181" i="53"/>
  <c r="S181" i="53"/>
  <c r="R181" i="53"/>
  <c r="Q181" i="53"/>
  <c r="P181" i="53"/>
  <c r="O181" i="53"/>
  <c r="N181" i="53"/>
  <c r="M181" i="53"/>
  <c r="L181" i="53"/>
  <c r="K181" i="53"/>
  <c r="V180" i="53"/>
  <c r="V648" i="53" s="1"/>
  <c r="U180" i="53"/>
  <c r="U648" i="53" s="1"/>
  <c r="T180" i="53"/>
  <c r="T648" i="53" s="1"/>
  <c r="S180" i="53"/>
  <c r="S648" i="53" s="1"/>
  <c r="R180" i="53"/>
  <c r="R648" i="53" s="1"/>
  <c r="Q180" i="53"/>
  <c r="Q648" i="53" s="1"/>
  <c r="P180" i="53"/>
  <c r="P648" i="53" s="1"/>
  <c r="O180" i="53"/>
  <c r="O648" i="53" s="1"/>
  <c r="N180" i="53"/>
  <c r="N648" i="53" s="1"/>
  <c r="M180" i="53"/>
  <c r="M648" i="53" s="1"/>
  <c r="L180" i="53"/>
  <c r="L648" i="53" s="1"/>
  <c r="K180" i="53"/>
  <c r="K648" i="53" s="1"/>
  <c r="V176" i="53"/>
  <c r="V643" i="53" s="1"/>
  <c r="U176" i="53"/>
  <c r="U643" i="53" s="1"/>
  <c r="T176" i="53"/>
  <c r="T643" i="53" s="1"/>
  <c r="S176" i="53"/>
  <c r="S643" i="53" s="1"/>
  <c r="R176" i="53"/>
  <c r="R643" i="53" s="1"/>
  <c r="Q176" i="53"/>
  <c r="Q643" i="53" s="1"/>
  <c r="P176" i="53"/>
  <c r="P643" i="53" s="1"/>
  <c r="O176" i="53"/>
  <c r="O643" i="53" s="1"/>
  <c r="N176" i="53"/>
  <c r="N643" i="53" s="1"/>
  <c r="M176" i="53"/>
  <c r="M643" i="53" s="1"/>
  <c r="L176" i="53"/>
  <c r="L643" i="53" s="1"/>
  <c r="K176" i="53"/>
  <c r="K643" i="53" s="1"/>
  <c r="V174" i="53"/>
  <c r="U174" i="53"/>
  <c r="T174" i="53"/>
  <c r="S174" i="53"/>
  <c r="R174" i="53"/>
  <c r="Q174" i="53"/>
  <c r="P174" i="53"/>
  <c r="O174" i="53"/>
  <c r="N174" i="53"/>
  <c r="M174" i="53"/>
  <c r="L174" i="53"/>
  <c r="K174" i="53"/>
  <c r="V173" i="53"/>
  <c r="U173" i="53"/>
  <c r="T173" i="53"/>
  <c r="S173" i="53"/>
  <c r="R173" i="53"/>
  <c r="Q173" i="53"/>
  <c r="P173" i="53"/>
  <c r="O173" i="53"/>
  <c r="N173" i="53"/>
  <c r="M173" i="53"/>
  <c r="L173" i="53"/>
  <c r="K173" i="53"/>
  <c r="V172" i="53"/>
  <c r="U172" i="53"/>
  <c r="T172" i="53"/>
  <c r="S172" i="53"/>
  <c r="R172" i="53"/>
  <c r="Q172" i="53"/>
  <c r="P172" i="53"/>
  <c r="O172" i="53"/>
  <c r="N172" i="53"/>
  <c r="M172" i="53"/>
  <c r="L172" i="53"/>
  <c r="K172" i="53"/>
  <c r="V170" i="53"/>
  <c r="U170" i="53"/>
  <c r="T170" i="53"/>
  <c r="S170" i="53"/>
  <c r="R170" i="53"/>
  <c r="Q170" i="53"/>
  <c r="P170" i="53"/>
  <c r="O170" i="53"/>
  <c r="N170" i="53"/>
  <c r="M170" i="53"/>
  <c r="L170" i="53"/>
  <c r="K170" i="53"/>
  <c r="V169" i="53"/>
  <c r="U169" i="53"/>
  <c r="T169" i="53"/>
  <c r="S169" i="53"/>
  <c r="R169" i="53"/>
  <c r="Q169" i="53"/>
  <c r="P169" i="53"/>
  <c r="O169" i="53"/>
  <c r="N169" i="53"/>
  <c r="M169" i="53"/>
  <c r="L169" i="53"/>
  <c r="K169" i="53"/>
  <c r="V168" i="53"/>
  <c r="U168" i="53"/>
  <c r="T168" i="53"/>
  <c r="S168" i="53"/>
  <c r="R168" i="53"/>
  <c r="Q168" i="53"/>
  <c r="P168" i="53"/>
  <c r="O168" i="53"/>
  <c r="N168" i="53"/>
  <c r="M168" i="53"/>
  <c r="L168" i="53"/>
  <c r="K168" i="53"/>
  <c r="V167" i="53"/>
  <c r="U167" i="53"/>
  <c r="T167" i="53"/>
  <c r="S167" i="53"/>
  <c r="R167" i="53"/>
  <c r="Q167" i="53"/>
  <c r="P167" i="53"/>
  <c r="O167" i="53"/>
  <c r="N167" i="53"/>
  <c r="M167" i="53"/>
  <c r="L167" i="53"/>
  <c r="K167" i="53"/>
  <c r="V163" i="53"/>
  <c r="U163" i="53"/>
  <c r="T163" i="53"/>
  <c r="S163" i="53"/>
  <c r="R163" i="53"/>
  <c r="Q163" i="53"/>
  <c r="P163" i="53"/>
  <c r="O163" i="53"/>
  <c r="N163" i="53"/>
  <c r="M163" i="53"/>
  <c r="L163" i="53"/>
  <c r="K163" i="53"/>
  <c r="V162" i="53"/>
  <c r="V628" i="53" s="1"/>
  <c r="U162" i="53"/>
  <c r="U628" i="53" s="1"/>
  <c r="T162" i="53"/>
  <c r="T628" i="53" s="1"/>
  <c r="S162" i="53"/>
  <c r="S628" i="53" s="1"/>
  <c r="R162" i="53"/>
  <c r="R628" i="53" s="1"/>
  <c r="Q162" i="53"/>
  <c r="Q628" i="53" s="1"/>
  <c r="P162" i="53"/>
  <c r="P628" i="53" s="1"/>
  <c r="O162" i="53"/>
  <c r="O628" i="53" s="1"/>
  <c r="N162" i="53"/>
  <c r="N628" i="53" s="1"/>
  <c r="M162" i="53"/>
  <c r="M628" i="53" s="1"/>
  <c r="L162" i="53"/>
  <c r="L628" i="53" s="1"/>
  <c r="K162" i="53"/>
  <c r="K628" i="53" s="1"/>
  <c r="V161" i="53"/>
  <c r="U161" i="53"/>
  <c r="T161" i="53"/>
  <c r="S161" i="53"/>
  <c r="R161" i="53"/>
  <c r="Q161" i="53"/>
  <c r="P161" i="53"/>
  <c r="O161" i="53"/>
  <c r="N161" i="53"/>
  <c r="M161" i="53"/>
  <c r="L161" i="53"/>
  <c r="K161" i="53"/>
  <c r="V160" i="53"/>
  <c r="U160" i="53"/>
  <c r="T160" i="53"/>
  <c r="S160" i="53"/>
  <c r="R160" i="53"/>
  <c r="Q160" i="53"/>
  <c r="P160" i="53"/>
  <c r="O160" i="53"/>
  <c r="N160" i="53"/>
  <c r="M160" i="53"/>
  <c r="L160" i="53"/>
  <c r="K160" i="53"/>
  <c r="V156" i="53"/>
  <c r="V621" i="53" s="1"/>
  <c r="U156" i="53"/>
  <c r="U621" i="53" s="1"/>
  <c r="T156" i="53"/>
  <c r="T621" i="53" s="1"/>
  <c r="S156" i="53"/>
  <c r="S621" i="53" s="1"/>
  <c r="R156" i="53"/>
  <c r="R621" i="53" s="1"/>
  <c r="Q156" i="53"/>
  <c r="Q621" i="53" s="1"/>
  <c r="P156" i="53"/>
  <c r="P621" i="53" s="1"/>
  <c r="O156" i="53"/>
  <c r="O621" i="53" s="1"/>
  <c r="N156" i="53"/>
  <c r="N621" i="53" s="1"/>
  <c r="M156" i="53"/>
  <c r="M621" i="53" s="1"/>
  <c r="L156" i="53"/>
  <c r="L621" i="53" s="1"/>
  <c r="K156" i="53"/>
  <c r="K621" i="53" s="1"/>
  <c r="V155" i="53"/>
  <c r="U155" i="53"/>
  <c r="T155" i="53"/>
  <c r="S155" i="53"/>
  <c r="R155" i="53"/>
  <c r="Q155" i="53"/>
  <c r="P155" i="53"/>
  <c r="O155" i="53"/>
  <c r="N155" i="53"/>
  <c r="M155" i="53"/>
  <c r="L155" i="53"/>
  <c r="K155" i="53"/>
  <c r="C137" i="53"/>
  <c r="C135" i="53"/>
  <c r="C134" i="53"/>
  <c r="V123" i="53"/>
  <c r="U123" i="53"/>
  <c r="T123" i="53"/>
  <c r="S123" i="53"/>
  <c r="R123" i="53"/>
  <c r="Q123" i="53"/>
  <c r="P123" i="53"/>
  <c r="O123" i="53"/>
  <c r="N123" i="53"/>
  <c r="M123" i="53"/>
  <c r="L123" i="53"/>
  <c r="K123" i="53"/>
  <c r="E113" i="53"/>
  <c r="E109" i="53"/>
  <c r="E100" i="53"/>
  <c r="E104" i="53" s="1"/>
  <c r="E96" i="53"/>
  <c r="D96" i="53"/>
  <c r="B91" i="53"/>
  <c r="B93" i="53" s="1"/>
  <c r="E78" i="53"/>
  <c r="V68" i="53"/>
  <c r="U68" i="53"/>
  <c r="T68" i="53"/>
  <c r="S68" i="53"/>
  <c r="R68" i="53"/>
  <c r="Q68" i="53"/>
  <c r="P68" i="53"/>
  <c r="O68" i="53"/>
  <c r="N68" i="53"/>
  <c r="M68" i="53"/>
  <c r="L68" i="53"/>
  <c r="K68" i="53"/>
  <c r="E65" i="53"/>
  <c r="V60" i="53"/>
  <c r="U60" i="53"/>
  <c r="T60" i="53"/>
  <c r="S60" i="53"/>
  <c r="R60" i="53"/>
  <c r="Q60" i="53"/>
  <c r="P60" i="53"/>
  <c r="O60" i="53"/>
  <c r="N60" i="53"/>
  <c r="M60" i="53"/>
  <c r="L60" i="53"/>
  <c r="K60" i="53"/>
  <c r="V57" i="53"/>
  <c r="U57" i="53"/>
  <c r="T57" i="53"/>
  <c r="S57" i="53"/>
  <c r="R57" i="53"/>
  <c r="Q57" i="53"/>
  <c r="P57" i="53"/>
  <c r="O57" i="53"/>
  <c r="N57" i="53"/>
  <c r="M57" i="53"/>
  <c r="L57" i="53"/>
  <c r="K57" i="53"/>
  <c r="V53" i="53"/>
  <c r="U53" i="53"/>
  <c r="T53" i="53"/>
  <c r="S53" i="53"/>
  <c r="R53" i="53"/>
  <c r="Q53" i="53"/>
  <c r="P53" i="53"/>
  <c r="O53" i="53"/>
  <c r="N53" i="53"/>
  <c r="M53" i="53"/>
  <c r="L53" i="53"/>
  <c r="K53" i="53"/>
  <c r="V50" i="53"/>
  <c r="U50" i="53"/>
  <c r="T50" i="53"/>
  <c r="S50" i="53"/>
  <c r="R50" i="53"/>
  <c r="Q50" i="53"/>
  <c r="P50" i="53"/>
  <c r="O50" i="53"/>
  <c r="N50" i="53"/>
  <c r="M50" i="53"/>
  <c r="L50" i="53"/>
  <c r="K50" i="53"/>
  <c r="E45" i="53"/>
  <c r="V44" i="53"/>
  <c r="U44" i="53"/>
  <c r="T44" i="53"/>
  <c r="S44" i="53"/>
  <c r="R44" i="53"/>
  <c r="Q44" i="53"/>
  <c r="P44" i="53"/>
  <c r="O44" i="53"/>
  <c r="N44" i="53"/>
  <c r="M44" i="53"/>
  <c r="L44" i="53"/>
  <c r="K44" i="53"/>
  <c r="V40" i="53"/>
  <c r="U40" i="53"/>
  <c r="T40" i="53"/>
  <c r="S40" i="53"/>
  <c r="R40" i="53"/>
  <c r="Q40" i="53"/>
  <c r="P40" i="53"/>
  <c r="O40" i="53"/>
  <c r="N40" i="53"/>
  <c r="M40" i="53"/>
  <c r="L40" i="53"/>
  <c r="K40" i="53"/>
  <c r="E38" i="53"/>
  <c r="E41" i="53" s="1"/>
  <c r="V33" i="53"/>
  <c r="U33" i="53"/>
  <c r="T33" i="53"/>
  <c r="S33" i="53"/>
  <c r="R33" i="53"/>
  <c r="Q33" i="53"/>
  <c r="P33" i="53"/>
  <c r="O33" i="53"/>
  <c r="N33" i="53"/>
  <c r="M33" i="53"/>
  <c r="L33" i="53"/>
  <c r="K33" i="53"/>
  <c r="D14" i="53"/>
  <c r="B8" i="53"/>
  <c r="B12" i="53" s="1"/>
  <c r="B19" i="53" s="1"/>
  <c r="J1" i="53"/>
  <c r="I1539" i="1"/>
  <c r="I1534" i="1"/>
  <c r="H1457" i="53" l="1"/>
  <c r="E1782" i="1"/>
  <c r="G33" i="53"/>
  <c r="G40" i="53"/>
  <c r="E46" i="53"/>
  <c r="Q46" i="53" s="1"/>
  <c r="I45" i="53"/>
  <c r="J45" i="53"/>
  <c r="G50" i="53"/>
  <c r="G53" i="53"/>
  <c r="G57" i="53"/>
  <c r="G60" i="53"/>
  <c r="R65" i="53"/>
  <c r="J65" i="53"/>
  <c r="I65" i="53"/>
  <c r="Q220" i="53"/>
  <c r="J220" i="53"/>
  <c r="I220" i="53"/>
  <c r="G68" i="53"/>
  <c r="H1540" i="53"/>
  <c r="G44" i="53"/>
  <c r="I202" i="53"/>
  <c r="J202" i="53"/>
  <c r="T209" i="53"/>
  <c r="J209" i="53"/>
  <c r="I209" i="53"/>
  <c r="S205" i="53"/>
  <c r="J205" i="53"/>
  <c r="I205" i="53"/>
  <c r="S96" i="53"/>
  <c r="S103" i="53" s="1"/>
  <c r="S117" i="53" s="1"/>
  <c r="O96" i="53"/>
  <c r="O103" i="53" s="1"/>
  <c r="O117" i="53" s="1"/>
  <c r="K96" i="53"/>
  <c r="K100" i="53" s="1"/>
  <c r="V96" i="53"/>
  <c r="R96" i="53"/>
  <c r="N96" i="53"/>
  <c r="J96" i="53"/>
  <c r="P96" i="53"/>
  <c r="M96" i="53"/>
  <c r="M102" i="53" s="1"/>
  <c r="M112" i="53" s="1"/>
  <c r="U96" i="53"/>
  <c r="U102" i="53" s="1"/>
  <c r="U112" i="53" s="1"/>
  <c r="Q96" i="53"/>
  <c r="Q102" i="53" s="1"/>
  <c r="T96" i="53"/>
  <c r="L96" i="53"/>
  <c r="I96" i="53"/>
  <c r="S203" i="53"/>
  <c r="J203" i="53"/>
  <c r="I203" i="53"/>
  <c r="M210" i="53"/>
  <c r="I210" i="53"/>
  <c r="J210" i="53"/>
  <c r="U212" i="53"/>
  <c r="I212" i="53"/>
  <c r="J212" i="53"/>
  <c r="Q210" i="53"/>
  <c r="M220" i="53"/>
  <c r="L65" i="53"/>
  <c r="K209" i="53"/>
  <c r="U209" i="53"/>
  <c r="E325" i="53"/>
  <c r="R836" i="53"/>
  <c r="V65" i="53"/>
  <c r="M212" i="53"/>
  <c r="K843" i="53"/>
  <c r="Q212" i="53"/>
  <c r="O843" i="53"/>
  <c r="P209" i="53"/>
  <c r="S863" i="53"/>
  <c r="N65" i="53"/>
  <c r="L209" i="53"/>
  <c r="U210" i="53"/>
  <c r="T220" i="53"/>
  <c r="L255" i="53"/>
  <c r="L926" i="53" s="1"/>
  <c r="M854" i="53"/>
  <c r="P65" i="53"/>
  <c r="U220" i="53"/>
  <c r="I836" i="53"/>
  <c r="I840" i="53"/>
  <c r="T65" i="53"/>
  <c r="Q209" i="53"/>
  <c r="L220" i="53"/>
  <c r="G604" i="53"/>
  <c r="N745" i="53"/>
  <c r="R745" i="53"/>
  <c r="V745" i="53"/>
  <c r="M836" i="53"/>
  <c r="O839" i="53"/>
  <c r="U842" i="53"/>
  <c r="Q856" i="53"/>
  <c r="O203" i="53"/>
  <c r="T205" i="53"/>
  <c r="P203" i="53"/>
  <c r="Q202" i="53"/>
  <c r="T203" i="53"/>
  <c r="O205" i="53"/>
  <c r="K202" i="53"/>
  <c r="K203" i="53"/>
  <c r="U203" i="53"/>
  <c r="K205" i="53"/>
  <c r="P205" i="53"/>
  <c r="U205" i="53"/>
  <c r="Q321" i="53"/>
  <c r="K833" i="53"/>
  <c r="I834" i="53"/>
  <c r="E31" i="53"/>
  <c r="E34" i="53" s="1"/>
  <c r="M202" i="53"/>
  <c r="U202" i="53"/>
  <c r="L203" i="53"/>
  <c r="Q203" i="53"/>
  <c r="L205" i="53"/>
  <c r="Q205" i="53"/>
  <c r="M209" i="53"/>
  <c r="S209" i="53"/>
  <c r="P220" i="53"/>
  <c r="M286" i="53"/>
  <c r="Q286" i="53"/>
  <c r="U286" i="53"/>
  <c r="K720" i="53"/>
  <c r="L745" i="53"/>
  <c r="P745" i="53"/>
  <c r="T745" i="53"/>
  <c r="J834" i="53"/>
  <c r="J844" i="53"/>
  <c r="I856" i="53"/>
  <c r="G879" i="53"/>
  <c r="G883" i="53"/>
  <c r="S202" i="53"/>
  <c r="O202" i="53"/>
  <c r="M203" i="53"/>
  <c r="M205" i="53"/>
  <c r="O209" i="53"/>
  <c r="P255" i="53"/>
  <c r="P926" i="53" s="1"/>
  <c r="T255" i="53"/>
  <c r="T926" i="53" s="1"/>
  <c r="N844" i="53"/>
  <c r="J856" i="53"/>
  <c r="N280" i="53"/>
  <c r="R280" i="53"/>
  <c r="V280" i="53"/>
  <c r="M280" i="53"/>
  <c r="Q280" i="53"/>
  <c r="U280" i="53"/>
  <c r="L720" i="53"/>
  <c r="P720" i="53"/>
  <c r="T720" i="53"/>
  <c r="N720" i="53"/>
  <c r="Q834" i="53"/>
  <c r="S835" i="53"/>
  <c r="J836" i="53"/>
  <c r="U836" i="53"/>
  <c r="S839" i="53"/>
  <c r="J840" i="53"/>
  <c r="U854" i="53"/>
  <c r="K861" i="53"/>
  <c r="J889" i="53"/>
  <c r="N889" i="53"/>
  <c r="R889" i="53"/>
  <c r="V889" i="53"/>
  <c r="G878" i="53"/>
  <c r="G882" i="53"/>
  <c r="G886" i="53"/>
  <c r="G888" i="53"/>
  <c r="M299" i="53"/>
  <c r="Q299" i="53"/>
  <c r="U299" i="53"/>
  <c r="G744" i="53"/>
  <c r="R834" i="53"/>
  <c r="Q840" i="53"/>
  <c r="R856" i="53"/>
  <c r="S861" i="53"/>
  <c r="K889" i="53"/>
  <c r="O889" i="53"/>
  <c r="S889" i="53"/>
  <c r="G881" i="53"/>
  <c r="G885" i="53"/>
  <c r="M255" i="53"/>
  <c r="M926" i="53" s="1"/>
  <c r="Q255" i="53"/>
  <c r="Q926" i="53" s="1"/>
  <c r="U255" i="53"/>
  <c r="U926" i="53" s="1"/>
  <c r="R720" i="53"/>
  <c r="V720" i="53"/>
  <c r="O745" i="53"/>
  <c r="S745" i="53"/>
  <c r="Q836" i="53"/>
  <c r="M842" i="53"/>
  <c r="K863" i="53"/>
  <c r="G880" i="53"/>
  <c r="G884" i="53"/>
  <c r="V838" i="53"/>
  <c r="K321" i="53"/>
  <c r="O321" i="53"/>
  <c r="S321" i="53"/>
  <c r="N321" i="53"/>
  <c r="R321" i="53"/>
  <c r="V321" i="53"/>
  <c r="M321" i="53"/>
  <c r="U321" i="53"/>
  <c r="M720" i="53"/>
  <c r="Q720" i="53"/>
  <c r="U720" i="53"/>
  <c r="K837" i="53"/>
  <c r="I838" i="53"/>
  <c r="Q838" i="53"/>
  <c r="R840" i="53"/>
  <c r="N842" i="53"/>
  <c r="V842" i="53"/>
  <c r="I850" i="53"/>
  <c r="Q850" i="53"/>
  <c r="N854" i="53"/>
  <c r="V854" i="53"/>
  <c r="M856" i="53"/>
  <c r="U856" i="53"/>
  <c r="I857" i="53"/>
  <c r="T857" i="53"/>
  <c r="J858" i="53"/>
  <c r="U858" i="53"/>
  <c r="K859" i="53"/>
  <c r="U861" i="53"/>
  <c r="U863" i="53"/>
  <c r="G877" i="53"/>
  <c r="L889" i="53"/>
  <c r="P889" i="53"/>
  <c r="T889" i="53"/>
  <c r="N838" i="53"/>
  <c r="N850" i="53"/>
  <c r="V850" i="53"/>
  <c r="P857" i="53"/>
  <c r="Q858" i="53"/>
  <c r="U859" i="53"/>
  <c r="G643" i="53"/>
  <c r="K293" i="53"/>
  <c r="O293" i="53"/>
  <c r="S293" i="53"/>
  <c r="N293" i="53"/>
  <c r="R293" i="53"/>
  <c r="V293" i="53"/>
  <c r="N299" i="53"/>
  <c r="R299" i="53"/>
  <c r="V299" i="53"/>
  <c r="L321" i="53"/>
  <c r="P321" i="53"/>
  <c r="T321" i="53"/>
  <c r="M834" i="53"/>
  <c r="U834" i="53"/>
  <c r="K835" i="53"/>
  <c r="N836" i="53"/>
  <c r="J838" i="53"/>
  <c r="R838" i="53"/>
  <c r="M840" i="53"/>
  <c r="U840" i="53"/>
  <c r="K841" i="53"/>
  <c r="I842" i="53"/>
  <c r="Q842" i="53"/>
  <c r="R844" i="53"/>
  <c r="J850" i="53"/>
  <c r="R850" i="53"/>
  <c r="I854" i="53"/>
  <c r="Q854" i="53"/>
  <c r="N856" i="53"/>
  <c r="K857" i="53"/>
  <c r="U857" i="53"/>
  <c r="K858" i="53"/>
  <c r="V858" i="53"/>
  <c r="M859" i="53"/>
  <c r="I889" i="53"/>
  <c r="M889" i="53"/>
  <c r="Q889" i="53"/>
  <c r="U889" i="53"/>
  <c r="L662" i="53"/>
  <c r="P662" i="53"/>
  <c r="T662" i="53"/>
  <c r="N255" i="53"/>
  <c r="N926" i="53" s="1"/>
  <c r="R255" i="53"/>
  <c r="R926" i="53" s="1"/>
  <c r="V255" i="53"/>
  <c r="V926" i="53" s="1"/>
  <c r="L286" i="53"/>
  <c r="P286" i="53"/>
  <c r="T286" i="53"/>
  <c r="G606" i="53"/>
  <c r="O720" i="53"/>
  <c r="S720" i="53"/>
  <c r="N834" i="53"/>
  <c r="M838" i="53"/>
  <c r="N840" i="53"/>
  <c r="J842" i="53"/>
  <c r="M850" i="53"/>
  <c r="O853" i="53"/>
  <c r="J854" i="53"/>
  <c r="O860" i="53"/>
  <c r="G887" i="53"/>
  <c r="B28" i="53"/>
  <c r="B48" i="53" s="1"/>
  <c r="B68" i="53" s="1"/>
  <c r="B70" i="53"/>
  <c r="B80" i="53" s="1"/>
  <c r="V662" i="53"/>
  <c r="B128" i="53"/>
  <c r="B143" i="53"/>
  <c r="B151" i="53" s="1"/>
  <c r="N45" i="53"/>
  <c r="R45" i="53"/>
  <c r="V45" i="53"/>
  <c r="M65" i="53"/>
  <c r="Q65" i="53"/>
  <c r="U65" i="53"/>
  <c r="M662" i="53"/>
  <c r="Q662" i="53"/>
  <c r="U662" i="53"/>
  <c r="G648" i="53"/>
  <c r="B187" i="53"/>
  <c r="K255" i="53"/>
  <c r="O255" i="53"/>
  <c r="O926" i="53" s="1"/>
  <c r="S255" i="53"/>
  <c r="S926" i="53" s="1"/>
  <c r="K280" i="53"/>
  <c r="O280" i="53"/>
  <c r="S280" i="53"/>
  <c r="L293" i="53"/>
  <c r="P293" i="53"/>
  <c r="T293" i="53"/>
  <c r="Q45" i="53"/>
  <c r="K45" i="53"/>
  <c r="S45" i="53"/>
  <c r="N662" i="53"/>
  <c r="R662" i="53"/>
  <c r="G628" i="53"/>
  <c r="L280" i="53"/>
  <c r="P280" i="53"/>
  <c r="T280" i="53"/>
  <c r="N286" i="53"/>
  <c r="R286" i="53"/>
  <c r="V286" i="53"/>
  <c r="M293" i="53"/>
  <c r="Q293" i="53"/>
  <c r="U293" i="53"/>
  <c r="K299" i="53"/>
  <c r="O299" i="53"/>
  <c r="S299" i="53"/>
  <c r="M45" i="53"/>
  <c r="U45" i="53"/>
  <c r="O45" i="53"/>
  <c r="K1" i="53"/>
  <c r="L45" i="53"/>
  <c r="P45" i="53"/>
  <c r="T45" i="53"/>
  <c r="K65" i="53"/>
  <c r="O65" i="53"/>
  <c r="S65" i="53"/>
  <c r="G621" i="53"/>
  <c r="K662" i="53"/>
  <c r="O662" i="53"/>
  <c r="S662" i="53"/>
  <c r="K286" i="53"/>
  <c r="O286" i="53"/>
  <c r="S286" i="53"/>
  <c r="L299" i="53"/>
  <c r="P299" i="53"/>
  <c r="T299" i="53"/>
  <c r="N202" i="53"/>
  <c r="R202" i="53"/>
  <c r="V202" i="53"/>
  <c r="N210" i="53"/>
  <c r="R210" i="53"/>
  <c r="V210" i="53"/>
  <c r="N212" i="53"/>
  <c r="R212" i="53"/>
  <c r="V212" i="53"/>
  <c r="V855" i="53"/>
  <c r="R855" i="53"/>
  <c r="N855" i="53"/>
  <c r="J855" i="53"/>
  <c r="U855" i="53"/>
  <c r="Q855" i="53"/>
  <c r="M855" i="53"/>
  <c r="I855" i="53"/>
  <c r="T855" i="53"/>
  <c r="P855" i="53"/>
  <c r="L855" i="53"/>
  <c r="S855" i="53"/>
  <c r="O855" i="53"/>
  <c r="K855" i="53"/>
  <c r="K210" i="53"/>
  <c r="O210" i="53"/>
  <c r="S210" i="53"/>
  <c r="K212" i="53"/>
  <c r="O212" i="53"/>
  <c r="S212" i="53"/>
  <c r="N220" i="53"/>
  <c r="R220" i="53"/>
  <c r="V220" i="53"/>
  <c r="G605" i="53"/>
  <c r="V851" i="53"/>
  <c r="R851" i="53"/>
  <c r="N851" i="53"/>
  <c r="J851" i="53"/>
  <c r="U851" i="53"/>
  <c r="Q851" i="53"/>
  <c r="M851" i="53"/>
  <c r="I851" i="53"/>
  <c r="T851" i="53"/>
  <c r="P851" i="53"/>
  <c r="L851" i="53"/>
  <c r="S851" i="53"/>
  <c r="O851" i="53"/>
  <c r="K851" i="53"/>
  <c r="L202" i="53"/>
  <c r="P202" i="53"/>
  <c r="T202" i="53"/>
  <c r="N203" i="53"/>
  <c r="R203" i="53"/>
  <c r="V203" i="53"/>
  <c r="N205" i="53"/>
  <c r="R205" i="53"/>
  <c r="V205" i="53"/>
  <c r="N209" i="53"/>
  <c r="R209" i="53"/>
  <c r="V209" i="53"/>
  <c r="L210" i="53"/>
  <c r="P210" i="53"/>
  <c r="T210" i="53"/>
  <c r="L212" i="53"/>
  <c r="P212" i="53"/>
  <c r="T212" i="53"/>
  <c r="K220" i="53"/>
  <c r="O220" i="53"/>
  <c r="S220" i="53"/>
  <c r="G603" i="53"/>
  <c r="V862" i="53"/>
  <c r="R862" i="53"/>
  <c r="N862" i="53"/>
  <c r="J862" i="53"/>
  <c r="T862" i="53"/>
  <c r="P862" i="53"/>
  <c r="L862" i="53"/>
  <c r="U862" i="53"/>
  <c r="M862" i="53"/>
  <c r="S862" i="53"/>
  <c r="K862" i="53"/>
  <c r="Q862" i="53"/>
  <c r="I862" i="53"/>
  <c r="O862" i="53"/>
  <c r="M745" i="53"/>
  <c r="Q745" i="53"/>
  <c r="U745" i="53"/>
  <c r="O833" i="53"/>
  <c r="V835" i="53"/>
  <c r="R835" i="53"/>
  <c r="N835" i="53"/>
  <c r="J835" i="53"/>
  <c r="U835" i="53"/>
  <c r="Q835" i="53"/>
  <c r="M835" i="53"/>
  <c r="I835" i="53"/>
  <c r="T835" i="53"/>
  <c r="P835" i="53"/>
  <c r="L835" i="53"/>
  <c r="O837" i="53"/>
  <c r="V839" i="53"/>
  <c r="R839" i="53"/>
  <c r="N839" i="53"/>
  <c r="J839" i="53"/>
  <c r="U839" i="53"/>
  <c r="Q839" i="53"/>
  <c r="M839" i="53"/>
  <c r="I839" i="53"/>
  <c r="T839" i="53"/>
  <c r="P839" i="53"/>
  <c r="L839" i="53"/>
  <c r="O841" i="53"/>
  <c r="V843" i="53"/>
  <c r="R843" i="53"/>
  <c r="N843" i="53"/>
  <c r="J843" i="53"/>
  <c r="U843" i="53"/>
  <c r="Q843" i="53"/>
  <c r="M843" i="53"/>
  <c r="I843" i="53"/>
  <c r="T843" i="53"/>
  <c r="P843" i="53"/>
  <c r="L843" i="53"/>
  <c r="V864" i="53"/>
  <c r="R864" i="53"/>
  <c r="N864" i="53"/>
  <c r="J864" i="53"/>
  <c r="T864" i="53"/>
  <c r="P864" i="53"/>
  <c r="L864" i="53"/>
  <c r="U864" i="53"/>
  <c r="M864" i="53"/>
  <c r="S864" i="53"/>
  <c r="K864" i="53"/>
  <c r="Q864" i="53"/>
  <c r="I864" i="53"/>
  <c r="V853" i="53"/>
  <c r="R853" i="53"/>
  <c r="N853" i="53"/>
  <c r="J853" i="53"/>
  <c r="U853" i="53"/>
  <c r="Q853" i="53"/>
  <c r="M853" i="53"/>
  <c r="I853" i="53"/>
  <c r="T853" i="53"/>
  <c r="P853" i="53"/>
  <c r="L853" i="53"/>
  <c r="G743" i="53"/>
  <c r="K745" i="53"/>
  <c r="V833" i="53"/>
  <c r="R833" i="53"/>
  <c r="N833" i="53"/>
  <c r="J833" i="53"/>
  <c r="E845" i="53"/>
  <c r="U833" i="53"/>
  <c r="Q833" i="53"/>
  <c r="M833" i="53"/>
  <c r="I833" i="53"/>
  <c r="T833" i="53"/>
  <c r="P833" i="53"/>
  <c r="L833" i="53"/>
  <c r="V837" i="53"/>
  <c r="R837" i="53"/>
  <c r="N837" i="53"/>
  <c r="J837" i="53"/>
  <c r="U837" i="53"/>
  <c r="Q837" i="53"/>
  <c r="M837" i="53"/>
  <c r="I837" i="53"/>
  <c r="T837" i="53"/>
  <c r="P837" i="53"/>
  <c r="L837" i="53"/>
  <c r="V841" i="53"/>
  <c r="R841" i="53"/>
  <c r="N841" i="53"/>
  <c r="J841" i="53"/>
  <c r="U841" i="53"/>
  <c r="Q841" i="53"/>
  <c r="M841" i="53"/>
  <c r="I841" i="53"/>
  <c r="T841" i="53"/>
  <c r="P841" i="53"/>
  <c r="L841" i="53"/>
  <c r="K853" i="53"/>
  <c r="V860" i="53"/>
  <c r="R860" i="53"/>
  <c r="N860" i="53"/>
  <c r="J860" i="53"/>
  <c r="T860" i="53"/>
  <c r="P860" i="53"/>
  <c r="L860" i="53"/>
  <c r="U860" i="53"/>
  <c r="M860" i="53"/>
  <c r="S860" i="53"/>
  <c r="K860" i="53"/>
  <c r="Q860" i="53"/>
  <c r="I860" i="53"/>
  <c r="K844" i="53"/>
  <c r="O844" i="53"/>
  <c r="S844" i="53"/>
  <c r="K834" i="53"/>
  <c r="O834" i="53"/>
  <c r="S834" i="53"/>
  <c r="K836" i="53"/>
  <c r="O836" i="53"/>
  <c r="S836" i="53"/>
  <c r="K838" i="53"/>
  <c r="O838" i="53"/>
  <c r="S838" i="53"/>
  <c r="K840" i="53"/>
  <c r="O840" i="53"/>
  <c r="S840" i="53"/>
  <c r="K842" i="53"/>
  <c r="O842" i="53"/>
  <c r="S842" i="53"/>
  <c r="L844" i="53"/>
  <c r="P844" i="53"/>
  <c r="T844" i="53"/>
  <c r="K850" i="53"/>
  <c r="O850" i="53"/>
  <c r="S850" i="53"/>
  <c r="K854" i="53"/>
  <c r="O854" i="53"/>
  <c r="S854" i="53"/>
  <c r="K856" i="53"/>
  <c r="O856" i="53"/>
  <c r="S856" i="53"/>
  <c r="V857" i="53"/>
  <c r="R857" i="53"/>
  <c r="N857" i="53"/>
  <c r="J857" i="53"/>
  <c r="L857" i="53"/>
  <c r="Q857" i="53"/>
  <c r="T858" i="53"/>
  <c r="P858" i="53"/>
  <c r="L858" i="53"/>
  <c r="M858" i="53"/>
  <c r="R858" i="53"/>
  <c r="T859" i="53"/>
  <c r="P859" i="53"/>
  <c r="L859" i="53"/>
  <c r="V859" i="53"/>
  <c r="R859" i="53"/>
  <c r="N859" i="53"/>
  <c r="J859" i="53"/>
  <c r="O859" i="53"/>
  <c r="T861" i="53"/>
  <c r="P861" i="53"/>
  <c r="L861" i="53"/>
  <c r="V861" i="53"/>
  <c r="R861" i="53"/>
  <c r="N861" i="53"/>
  <c r="J861" i="53"/>
  <c r="O861" i="53"/>
  <c r="T863" i="53"/>
  <c r="P863" i="53"/>
  <c r="L863" i="53"/>
  <c r="V863" i="53"/>
  <c r="R863" i="53"/>
  <c r="N863" i="53"/>
  <c r="J863" i="53"/>
  <c r="O863" i="53"/>
  <c r="L834" i="53"/>
  <c r="P834" i="53"/>
  <c r="T834" i="53"/>
  <c r="L836" i="53"/>
  <c r="P836" i="53"/>
  <c r="T836" i="53"/>
  <c r="L838" i="53"/>
  <c r="P838" i="53"/>
  <c r="T838" i="53"/>
  <c r="L840" i="53"/>
  <c r="P840" i="53"/>
  <c r="T840" i="53"/>
  <c r="L842" i="53"/>
  <c r="P842" i="53"/>
  <c r="T842" i="53"/>
  <c r="I844" i="53"/>
  <c r="M844" i="53"/>
  <c r="Q844" i="53"/>
  <c r="U844" i="53"/>
  <c r="L850" i="53"/>
  <c r="P850" i="53"/>
  <c r="T850" i="53"/>
  <c r="L854" i="53"/>
  <c r="P854" i="53"/>
  <c r="T854" i="53"/>
  <c r="L856" i="53"/>
  <c r="P856" i="53"/>
  <c r="T856" i="53"/>
  <c r="M857" i="53"/>
  <c r="S857" i="53"/>
  <c r="I858" i="53"/>
  <c r="N858" i="53"/>
  <c r="S858" i="53"/>
  <c r="I859" i="53"/>
  <c r="Q859" i="53"/>
  <c r="I861" i="53"/>
  <c r="Q861" i="53"/>
  <c r="I863" i="53"/>
  <c r="Q863" i="53"/>
  <c r="B1805" i="53"/>
  <c r="B1838" i="53"/>
  <c r="J211" i="53" l="1"/>
  <c r="J213" i="53" s="1"/>
  <c r="I204" i="53"/>
  <c r="I206" i="53" s="1"/>
  <c r="U204" i="53"/>
  <c r="U206" i="53" s="1"/>
  <c r="S46" i="53"/>
  <c r="P46" i="53"/>
  <c r="Q101" i="53"/>
  <c r="Q116" i="53" s="1"/>
  <c r="V46" i="53"/>
  <c r="M46" i="53"/>
  <c r="N46" i="53"/>
  <c r="L46" i="53"/>
  <c r="U46" i="53"/>
  <c r="K46" i="53"/>
  <c r="R46" i="53"/>
  <c r="S100" i="53"/>
  <c r="S109" i="53" s="1"/>
  <c r="S101" i="53"/>
  <c r="S116" i="53" s="1"/>
  <c r="O46" i="53"/>
  <c r="T46" i="53"/>
  <c r="L211" i="53"/>
  <c r="L213" i="53" s="1"/>
  <c r="M211" i="53"/>
  <c r="M213" i="53" s="1"/>
  <c r="J204" i="53"/>
  <c r="J206" i="53" s="1"/>
  <c r="T204" i="53"/>
  <c r="T206" i="53" s="1"/>
  <c r="T211" i="53"/>
  <c r="T213" i="53" s="1"/>
  <c r="S204" i="53"/>
  <c r="S206" i="53" s="1"/>
  <c r="K103" i="53"/>
  <c r="K117" i="53" s="1"/>
  <c r="Q211" i="53"/>
  <c r="Q213" i="53" s="1"/>
  <c r="Q100" i="53"/>
  <c r="Q109" i="53" s="1"/>
  <c r="Q103" i="53"/>
  <c r="Q117" i="53" s="1"/>
  <c r="Q112" i="53"/>
  <c r="Q113" i="53"/>
  <c r="G65" i="53"/>
  <c r="S102" i="53"/>
  <c r="J46" i="53"/>
  <c r="I46" i="53"/>
  <c r="K211" i="53"/>
  <c r="K213" i="53" s="1"/>
  <c r="G45" i="53"/>
  <c r="I211" i="53"/>
  <c r="I213" i="53" s="1"/>
  <c r="O204" i="53"/>
  <c r="O206" i="53" s="1"/>
  <c r="J103" i="53"/>
  <c r="J100" i="53"/>
  <c r="J102" i="53"/>
  <c r="J101" i="53"/>
  <c r="I100" i="53"/>
  <c r="I103" i="53"/>
  <c r="I117" i="53" s="1"/>
  <c r="I102" i="53"/>
  <c r="I101" i="53"/>
  <c r="I116" i="53" s="1"/>
  <c r="O102" i="53"/>
  <c r="O112" i="53" s="1"/>
  <c r="O101" i="53"/>
  <c r="O116" i="53" s="1"/>
  <c r="M100" i="53"/>
  <c r="M108" i="53" s="1"/>
  <c r="M101" i="53"/>
  <c r="M116" i="53" s="1"/>
  <c r="L204" i="53"/>
  <c r="L206" i="53" s="1"/>
  <c r="U113" i="53"/>
  <c r="K101" i="53"/>
  <c r="K116" i="53" s="1"/>
  <c r="K102" i="53"/>
  <c r="K113" i="53" s="1"/>
  <c r="M113" i="53"/>
  <c r="U103" i="53"/>
  <c r="U117" i="53" s="1"/>
  <c r="P211" i="53"/>
  <c r="P213" i="53" s="1"/>
  <c r="U100" i="53"/>
  <c r="U109" i="53" s="1"/>
  <c r="M103" i="53"/>
  <c r="U101" i="53"/>
  <c r="U116" i="53" s="1"/>
  <c r="O100" i="53"/>
  <c r="O109" i="53" s="1"/>
  <c r="P204" i="53"/>
  <c r="P206" i="53" s="1"/>
  <c r="Q325" i="53"/>
  <c r="U211" i="53"/>
  <c r="U213" i="53" s="1"/>
  <c r="G745" i="53"/>
  <c r="S211" i="53"/>
  <c r="S213" i="53" s="1"/>
  <c r="K204" i="53"/>
  <c r="K206" i="53" s="1"/>
  <c r="Q204" i="53"/>
  <c r="Q206" i="53" s="1"/>
  <c r="O211" i="53"/>
  <c r="O213" i="53" s="1"/>
  <c r="G889" i="53"/>
  <c r="N325" i="53"/>
  <c r="M204" i="53"/>
  <c r="M206" i="53" s="1"/>
  <c r="M325" i="53"/>
  <c r="G862" i="53"/>
  <c r="V325" i="53"/>
  <c r="G857" i="53"/>
  <c r="R204" i="53"/>
  <c r="R206" i="53" s="1"/>
  <c r="S845" i="53"/>
  <c r="G855" i="53"/>
  <c r="U325" i="53"/>
  <c r="R325" i="53"/>
  <c r="R845" i="53"/>
  <c r="G840" i="53"/>
  <c r="G836" i="53"/>
  <c r="G839" i="53"/>
  <c r="G863" i="53"/>
  <c r="G842" i="53"/>
  <c r="G838" i="53"/>
  <c r="T845" i="53"/>
  <c r="M845" i="53"/>
  <c r="G844" i="53"/>
  <c r="G834" i="53"/>
  <c r="G856" i="53"/>
  <c r="G854" i="53"/>
  <c r="G850" i="53"/>
  <c r="V211" i="53"/>
  <c r="V213" i="53" s="1"/>
  <c r="K845" i="53"/>
  <c r="G859" i="53"/>
  <c r="G837" i="53"/>
  <c r="Q845" i="53"/>
  <c r="V845" i="53"/>
  <c r="G864" i="53"/>
  <c r="G843" i="53"/>
  <c r="R211" i="53"/>
  <c r="R213" i="53" s="1"/>
  <c r="N204" i="53"/>
  <c r="N206" i="53" s="1"/>
  <c r="I1528" i="53"/>
  <c r="P325" i="53"/>
  <c r="O325" i="53"/>
  <c r="G662" i="53"/>
  <c r="L102" i="53"/>
  <c r="L100" i="53"/>
  <c r="L101" i="53"/>
  <c r="L103" i="53"/>
  <c r="B1839" i="53"/>
  <c r="B1806" i="53"/>
  <c r="G861" i="53"/>
  <c r="G858" i="53"/>
  <c r="L845" i="53"/>
  <c r="U845" i="53"/>
  <c r="J845" i="53"/>
  <c r="N211" i="53"/>
  <c r="N213" i="53" s="1"/>
  <c r="T100" i="53"/>
  <c r="T102" i="53"/>
  <c r="T103" i="53"/>
  <c r="T101" i="53"/>
  <c r="L325" i="53"/>
  <c r="K325" i="53"/>
  <c r="B706" i="53"/>
  <c r="B189" i="53"/>
  <c r="V103" i="53"/>
  <c r="V101" i="53"/>
  <c r="V102" i="53"/>
  <c r="V100" i="53"/>
  <c r="G860" i="53"/>
  <c r="G841" i="53"/>
  <c r="P845" i="53"/>
  <c r="G833" i="53"/>
  <c r="I845" i="53"/>
  <c r="N845" i="53"/>
  <c r="G853" i="53"/>
  <c r="G835" i="53"/>
  <c r="O845" i="53"/>
  <c r="G851" i="53"/>
  <c r="V204" i="53"/>
  <c r="V206" i="53" s="1"/>
  <c r="P102" i="53"/>
  <c r="P100" i="53"/>
  <c r="P101" i="53"/>
  <c r="P103" i="53"/>
  <c r="L1" i="53"/>
  <c r="J1528" i="53"/>
  <c r="K109" i="53"/>
  <c r="K108" i="53"/>
  <c r="R101" i="53"/>
  <c r="R100" i="53"/>
  <c r="R103" i="53"/>
  <c r="R102" i="53"/>
  <c r="T325" i="53"/>
  <c r="S325" i="53"/>
  <c r="K926" i="53"/>
  <c r="G255" i="53"/>
  <c r="N103" i="53"/>
  <c r="N101" i="53"/>
  <c r="N100" i="53"/>
  <c r="N102" i="53"/>
  <c r="AE603" i="1"/>
  <c r="AD603" i="1"/>
  <c r="AC603" i="1"/>
  <c r="AB603" i="1"/>
  <c r="AA603" i="1"/>
  <c r="Z603" i="1"/>
  <c r="Y603" i="1"/>
  <c r="X603" i="1"/>
  <c r="W603" i="1"/>
  <c r="V603" i="1"/>
  <c r="U603" i="1"/>
  <c r="T603" i="1"/>
  <c r="S603" i="1"/>
  <c r="R603" i="1"/>
  <c r="Q603" i="1"/>
  <c r="P603" i="1"/>
  <c r="O603" i="1"/>
  <c r="N603" i="1"/>
  <c r="M603" i="1"/>
  <c r="L603" i="1"/>
  <c r="K603" i="1"/>
  <c r="I196" i="53" l="1"/>
  <c r="Q108" i="53"/>
  <c r="Q119" i="53" s="1"/>
  <c r="O113" i="53"/>
  <c r="O120" i="53" s="1"/>
  <c r="O748" i="53" s="1"/>
  <c r="O751" i="53" s="1"/>
  <c r="S108" i="53"/>
  <c r="S104" i="53"/>
  <c r="S914" i="53" s="1"/>
  <c r="G46" i="53"/>
  <c r="S113" i="53"/>
  <c r="S112" i="53"/>
  <c r="S196" i="53"/>
  <c r="O196" i="53"/>
  <c r="U196" i="53"/>
  <c r="J196" i="53"/>
  <c r="Q104" i="53"/>
  <c r="Q914" i="53" s="1"/>
  <c r="Q915" i="53" s="1"/>
  <c r="P196" i="53"/>
  <c r="G102" i="53"/>
  <c r="G100" i="53"/>
  <c r="U108" i="53"/>
  <c r="U119" i="53" s="1"/>
  <c r="Q196" i="53"/>
  <c r="J117" i="53"/>
  <c r="G103" i="53"/>
  <c r="J116" i="53"/>
  <c r="G101" i="53"/>
  <c r="I112" i="53"/>
  <c r="I113" i="53"/>
  <c r="J113" i="53"/>
  <c r="J112" i="53"/>
  <c r="J109" i="53"/>
  <c r="J108" i="53"/>
  <c r="J104" i="53"/>
  <c r="I109" i="53"/>
  <c r="I108" i="53"/>
  <c r="I104" i="53"/>
  <c r="M109" i="53"/>
  <c r="R196" i="53"/>
  <c r="L196" i="53"/>
  <c r="M104" i="53"/>
  <c r="O108" i="53"/>
  <c r="O119" i="53" s="1"/>
  <c r="K196" i="53"/>
  <c r="T196" i="53"/>
  <c r="K112" i="53"/>
  <c r="K119" i="53" s="1"/>
  <c r="U104" i="53"/>
  <c r="M196" i="53"/>
  <c r="M117" i="53"/>
  <c r="M119" i="53" s="1"/>
  <c r="K104" i="53"/>
  <c r="V196" i="53"/>
  <c r="O104" i="53"/>
  <c r="K1528" i="53"/>
  <c r="K1636" i="53" s="1"/>
  <c r="N116" i="53"/>
  <c r="N117" i="53"/>
  <c r="R108" i="53"/>
  <c r="R109" i="53"/>
  <c r="R104" i="53"/>
  <c r="P112" i="53"/>
  <c r="P113" i="53"/>
  <c r="G845" i="53"/>
  <c r="V108" i="53"/>
  <c r="V109" i="53"/>
  <c r="V104" i="53"/>
  <c r="B249" i="53"/>
  <c r="B259" i="53" s="1"/>
  <c r="B267" i="53" s="1"/>
  <c r="B215" i="53"/>
  <c r="B239" i="53" s="1"/>
  <c r="T112" i="53"/>
  <c r="T113" i="53"/>
  <c r="L112" i="53"/>
  <c r="L113" i="53"/>
  <c r="I1636" i="53"/>
  <c r="I1566" i="53"/>
  <c r="N113" i="53"/>
  <c r="N112" i="53"/>
  <c r="R116" i="53"/>
  <c r="K120" i="53"/>
  <c r="P117" i="53"/>
  <c r="Q120" i="53"/>
  <c r="Q748" i="53" s="1"/>
  <c r="Q751" i="53" s="1"/>
  <c r="V113" i="53"/>
  <c r="V112" i="53"/>
  <c r="B785" i="53"/>
  <c r="B801" i="53" s="1"/>
  <c r="B809" i="53" s="1"/>
  <c r="B708" i="53"/>
  <c r="T104" i="53"/>
  <c r="T108" i="53"/>
  <c r="T109" i="53"/>
  <c r="B1840" i="53"/>
  <c r="L117" i="53"/>
  <c r="N108" i="53"/>
  <c r="N109" i="53"/>
  <c r="N104" i="53"/>
  <c r="R113" i="53"/>
  <c r="R112" i="53"/>
  <c r="M1" i="53"/>
  <c r="P116" i="53"/>
  <c r="V116" i="53"/>
  <c r="T116" i="53"/>
  <c r="L116" i="53"/>
  <c r="N196" i="53"/>
  <c r="R117" i="53"/>
  <c r="J1636" i="53"/>
  <c r="P104" i="53"/>
  <c r="P108" i="53"/>
  <c r="P109" i="53"/>
  <c r="V117" i="53"/>
  <c r="T117" i="53"/>
  <c r="U120" i="53"/>
  <c r="U748" i="53" s="1"/>
  <c r="U751" i="53" s="1"/>
  <c r="B1807" i="53"/>
  <c r="L104" i="53"/>
  <c r="L109" i="53"/>
  <c r="L108" i="53"/>
  <c r="D53" i="45"/>
  <c r="D52" i="45"/>
  <c r="S636" i="53" l="1"/>
  <c r="S146" i="53"/>
  <c r="S251" i="53" s="1"/>
  <c r="S614" i="53" s="1"/>
  <c r="S658" i="53" s="1"/>
  <c r="S674" i="53" s="1"/>
  <c r="S635" i="53"/>
  <c r="S634" i="53"/>
  <c r="S663" i="53" s="1"/>
  <c r="S679" i="53" s="1"/>
  <c r="S124" i="53"/>
  <c r="S136" i="53" s="1"/>
  <c r="S119" i="53"/>
  <c r="S737" i="53" s="1"/>
  <c r="S641" i="53"/>
  <c r="S665" i="53" s="1"/>
  <c r="S681" i="53" s="1"/>
  <c r="S637" i="53"/>
  <c r="S147" i="53"/>
  <c r="S261" i="53" s="1"/>
  <c r="S615" i="53" s="1"/>
  <c r="S659" i="53" s="1"/>
  <c r="S675" i="53" s="1"/>
  <c r="S678" i="53"/>
  <c r="S649" i="53"/>
  <c r="S667" i="53" s="1"/>
  <c r="S683" i="53" s="1"/>
  <c r="S629" i="53"/>
  <c r="S669" i="53" s="1"/>
  <c r="S685" i="53" s="1"/>
  <c r="S120" i="53"/>
  <c r="S748" i="53" s="1"/>
  <c r="S751" i="53" s="1"/>
  <c r="M120" i="53"/>
  <c r="M748" i="53" s="1"/>
  <c r="M751" i="53" s="1"/>
  <c r="Q635" i="53"/>
  <c r="Q124" i="53"/>
  <c r="Q136" i="53" s="1"/>
  <c r="Q637" i="53"/>
  <c r="Q146" i="53"/>
  <c r="Q251" i="53" s="1"/>
  <c r="Q614" i="53" s="1"/>
  <c r="Q658" i="53" s="1"/>
  <c r="Q674" i="53" s="1"/>
  <c r="Q641" i="53"/>
  <c r="Q665" i="53" s="1"/>
  <c r="Q681" i="53" s="1"/>
  <c r="Q634" i="53"/>
  <c r="Q663" i="53" s="1"/>
  <c r="Q679" i="53" s="1"/>
  <c r="Q147" i="53"/>
  <c r="Q261" i="53" s="1"/>
  <c r="Q615" i="53" s="1"/>
  <c r="Q659" i="53" s="1"/>
  <c r="Q675" i="53" s="1"/>
  <c r="Q629" i="53"/>
  <c r="Q669" i="53" s="1"/>
  <c r="Q685" i="53" s="1"/>
  <c r="Q636" i="53"/>
  <c r="Q649" i="53"/>
  <c r="Q667" i="53" s="1"/>
  <c r="Q683" i="53" s="1"/>
  <c r="Q678" i="53"/>
  <c r="P914" i="53"/>
  <c r="P915" i="53" s="1"/>
  <c r="P678" i="53"/>
  <c r="N914" i="53"/>
  <c r="N915" i="53" s="1"/>
  <c r="N678" i="53"/>
  <c r="L914" i="53"/>
  <c r="L915" i="53" s="1"/>
  <c r="L678" i="53"/>
  <c r="I124" i="53"/>
  <c r="I136" i="53" s="1"/>
  <c r="I914" i="53"/>
  <c r="I915" i="53" s="1"/>
  <c r="I629" i="53"/>
  <c r="I669" i="53" s="1"/>
  <c r="I685" i="53" s="1"/>
  <c r="I649" i="53"/>
  <c r="I146" i="53"/>
  <c r="I636" i="53"/>
  <c r="I147" i="53"/>
  <c r="I641" i="53"/>
  <c r="I665" i="53" s="1"/>
  <c r="I681" i="53" s="1"/>
  <c r="I635" i="53"/>
  <c r="I637" i="53"/>
  <c r="I634" i="53"/>
  <c r="I663" i="53" s="1"/>
  <c r="I679" i="53" s="1"/>
  <c r="I678" i="53"/>
  <c r="T914" i="53"/>
  <c r="T915" i="53" s="1"/>
  <c r="T678" i="53"/>
  <c r="K914" i="53"/>
  <c r="K915" i="53" s="1"/>
  <c r="K678" i="53"/>
  <c r="K637" i="53"/>
  <c r="R914" i="53"/>
  <c r="R915" i="53" s="1"/>
  <c r="R678" i="53"/>
  <c r="U914" i="53"/>
  <c r="U915" i="53" s="1"/>
  <c r="U678" i="53"/>
  <c r="M914" i="53"/>
  <c r="M915" i="53" s="1"/>
  <c r="M678" i="53"/>
  <c r="J119" i="53"/>
  <c r="J737" i="53" s="1"/>
  <c r="V914" i="53"/>
  <c r="V915" i="53" s="1"/>
  <c r="V678" i="53"/>
  <c r="O914" i="53"/>
  <c r="O915" i="53" s="1"/>
  <c r="O678" i="53"/>
  <c r="J124" i="53"/>
  <c r="J136" i="53" s="1"/>
  <c r="J914" i="53"/>
  <c r="J915" i="53" s="1"/>
  <c r="I915" i="1" s="1"/>
  <c r="G104" i="53"/>
  <c r="G678" i="53" s="1"/>
  <c r="G1807" i="53" s="1"/>
  <c r="J147" i="53"/>
  <c r="J261" i="53" s="1"/>
  <c r="J615" i="53" s="1"/>
  <c r="J659" i="53" s="1"/>
  <c r="J675" i="53" s="1"/>
  <c r="J649" i="53"/>
  <c r="J667" i="53" s="1"/>
  <c r="J683" i="53" s="1"/>
  <c r="J641" i="53"/>
  <c r="J665" i="53" s="1"/>
  <c r="J681" i="53" s="1"/>
  <c r="J146" i="53"/>
  <c r="J251" i="53" s="1"/>
  <c r="J629" i="53"/>
  <c r="J669" i="53" s="1"/>
  <c r="J685" i="53" s="1"/>
  <c r="J637" i="53"/>
  <c r="J635" i="53"/>
  <c r="J636" i="53"/>
  <c r="J634" i="53"/>
  <c r="J663" i="53" s="1"/>
  <c r="J679" i="53" s="1"/>
  <c r="J678" i="53"/>
  <c r="U637" i="53"/>
  <c r="M635" i="53"/>
  <c r="M637" i="53"/>
  <c r="J120" i="53"/>
  <c r="I120" i="53"/>
  <c r="I748" i="53" s="1"/>
  <c r="I119" i="53"/>
  <c r="I737" i="53" s="1"/>
  <c r="K641" i="53"/>
  <c r="K665" i="53" s="1"/>
  <c r="K681" i="53" s="1"/>
  <c r="U634" i="53"/>
  <c r="U663" i="53" s="1"/>
  <c r="U679" i="53" s="1"/>
  <c r="M629" i="53"/>
  <c r="M669" i="53" s="1"/>
  <c r="M685" i="53" s="1"/>
  <c r="M634" i="53"/>
  <c r="M663" i="53" s="1"/>
  <c r="M679" i="53" s="1"/>
  <c r="M146" i="53"/>
  <c r="M251" i="53" s="1"/>
  <c r="M614" i="53" s="1"/>
  <c r="M658" i="53" s="1"/>
  <c r="M674" i="53" s="1"/>
  <c r="O636" i="53"/>
  <c r="U629" i="53"/>
  <c r="U669" i="53" s="1"/>
  <c r="U685" i="53" s="1"/>
  <c r="M636" i="53"/>
  <c r="M649" i="53"/>
  <c r="M667" i="53" s="1"/>
  <c r="M683" i="53" s="1"/>
  <c r="M147" i="53"/>
  <c r="M261" i="53" s="1"/>
  <c r="M615" i="53" s="1"/>
  <c r="M659" i="53" s="1"/>
  <c r="M675" i="53" s="1"/>
  <c r="O634" i="53"/>
  <c r="O663" i="53" s="1"/>
  <c r="O679" i="53" s="1"/>
  <c r="S915" i="53"/>
  <c r="M641" i="53"/>
  <c r="M665" i="53" s="1"/>
  <c r="M681" i="53" s="1"/>
  <c r="M124" i="53"/>
  <c r="M136" i="53" s="1"/>
  <c r="O146" i="53"/>
  <c r="O251" i="53" s="1"/>
  <c r="O924" i="53" s="1"/>
  <c r="O925" i="53" s="1"/>
  <c r="O927" i="53" s="1"/>
  <c r="U636" i="53"/>
  <c r="U124" i="53"/>
  <c r="U136" i="53" s="1"/>
  <c r="U146" i="53"/>
  <c r="U251" i="53" s="1"/>
  <c r="U924" i="53" s="1"/>
  <c r="U925" i="53" s="1"/>
  <c r="U927" i="53" s="1"/>
  <c r="U649" i="53"/>
  <c r="U667" i="53" s="1"/>
  <c r="U683" i="53" s="1"/>
  <c r="U641" i="53"/>
  <c r="U665" i="53" s="1"/>
  <c r="U681" i="53" s="1"/>
  <c r="U635" i="53"/>
  <c r="U147" i="53"/>
  <c r="U261" i="53" s="1"/>
  <c r="U615" i="53" s="1"/>
  <c r="U659" i="53" s="1"/>
  <c r="U675" i="53" s="1"/>
  <c r="O635" i="53"/>
  <c r="O637" i="53"/>
  <c r="O124" i="53"/>
  <c r="O136" i="53" s="1"/>
  <c r="O629" i="53"/>
  <c r="O669" i="53" s="1"/>
  <c r="O685" i="53" s="1"/>
  <c r="O641" i="53"/>
  <c r="O665" i="53" s="1"/>
  <c r="O681" i="53" s="1"/>
  <c r="O147" i="53"/>
  <c r="O261" i="53" s="1"/>
  <c r="O615" i="53" s="1"/>
  <c r="O659" i="53" s="1"/>
  <c r="O675" i="53" s="1"/>
  <c r="O649" i="53"/>
  <c r="O667" i="53" s="1"/>
  <c r="O683" i="53" s="1"/>
  <c r="K629" i="53"/>
  <c r="K669" i="53" s="1"/>
  <c r="K685" i="53" s="1"/>
  <c r="K634" i="53"/>
  <c r="K663" i="53" s="1"/>
  <c r="K679" i="53" s="1"/>
  <c r="K146" i="53"/>
  <c r="K251" i="53" s="1"/>
  <c r="K614" i="53" s="1"/>
  <c r="K635" i="53"/>
  <c r="K124" i="53"/>
  <c r="K136" i="53" s="1"/>
  <c r="K649" i="53"/>
  <c r="K667" i="53" s="1"/>
  <c r="K683" i="53" s="1"/>
  <c r="K636" i="53"/>
  <c r="K147" i="53"/>
  <c r="K261" i="53" s="1"/>
  <c r="K615" i="53" s="1"/>
  <c r="K659" i="53" s="1"/>
  <c r="K675" i="53" s="1"/>
  <c r="G196" i="53"/>
  <c r="G116" i="53"/>
  <c r="G109" i="53"/>
  <c r="B1808" i="53"/>
  <c r="L119" i="53"/>
  <c r="P120" i="53"/>
  <c r="P748" i="53" s="1"/>
  <c r="P751" i="53" s="1"/>
  <c r="N120" i="53"/>
  <c r="N748" i="53" s="1"/>
  <c r="N751" i="53" s="1"/>
  <c r="T147" i="53"/>
  <c r="T261" i="53" s="1"/>
  <c r="T615" i="53" s="1"/>
  <c r="T659" i="53" s="1"/>
  <c r="T675" i="53" s="1"/>
  <c r="T146" i="53"/>
  <c r="T251" i="53" s="1"/>
  <c r="T634" i="53"/>
  <c r="T124" i="53"/>
  <c r="T136" i="53" s="1"/>
  <c r="T641" i="53"/>
  <c r="T665" i="53" s="1"/>
  <c r="T681" i="53" s="1"/>
  <c r="T637" i="53"/>
  <c r="T649" i="53"/>
  <c r="T629" i="53"/>
  <c r="T669" i="53" s="1"/>
  <c r="T685" i="53" s="1"/>
  <c r="T635" i="53"/>
  <c r="T636" i="53"/>
  <c r="U737" i="53"/>
  <c r="U121" i="53"/>
  <c r="V120" i="53"/>
  <c r="V748" i="53" s="1"/>
  <c r="V751" i="53" s="1"/>
  <c r="R147" i="53"/>
  <c r="R261" i="53" s="1"/>
  <c r="R615" i="53" s="1"/>
  <c r="R659" i="53" s="1"/>
  <c r="R675" i="53" s="1"/>
  <c r="R146" i="53"/>
  <c r="R251" i="53" s="1"/>
  <c r="R124" i="53"/>
  <c r="R136" i="53" s="1"/>
  <c r="R635" i="53"/>
  <c r="R636" i="53"/>
  <c r="R649" i="53"/>
  <c r="R629" i="53"/>
  <c r="R669" i="53" s="1"/>
  <c r="R685" i="53" s="1"/>
  <c r="R637" i="53"/>
  <c r="R641" i="53"/>
  <c r="R665" i="53" s="1"/>
  <c r="R681" i="53" s="1"/>
  <c r="R634" i="53"/>
  <c r="P119" i="53"/>
  <c r="Q737" i="53"/>
  <c r="Q121" i="53"/>
  <c r="N1" i="53"/>
  <c r="N119" i="53"/>
  <c r="B1841" i="53"/>
  <c r="B591" i="53"/>
  <c r="B610" i="53" s="1"/>
  <c r="B612" i="53" s="1"/>
  <c r="B618" i="53" s="1"/>
  <c r="B624" i="53" s="1"/>
  <c r="B632" i="53" s="1"/>
  <c r="B646" i="53" s="1"/>
  <c r="B654" i="53" s="1"/>
  <c r="B269" i="53"/>
  <c r="B327" i="53" s="1"/>
  <c r="V119" i="53"/>
  <c r="R120" i="53"/>
  <c r="R748" i="53" s="1"/>
  <c r="R751" i="53" s="1"/>
  <c r="L120" i="53"/>
  <c r="L748" i="53" s="1"/>
  <c r="L751" i="53" s="1"/>
  <c r="M737" i="53"/>
  <c r="L147" i="53"/>
  <c r="L261" i="53" s="1"/>
  <c r="L615" i="53" s="1"/>
  <c r="L659" i="53" s="1"/>
  <c r="L675" i="53" s="1"/>
  <c r="L146" i="53"/>
  <c r="L251" i="53" s="1"/>
  <c r="L637" i="53"/>
  <c r="L635" i="53"/>
  <c r="L629" i="53"/>
  <c r="L669" i="53" s="1"/>
  <c r="L685" i="53" s="1"/>
  <c r="L636" i="53"/>
  <c r="L649" i="53"/>
  <c r="L124" i="53"/>
  <c r="L136" i="53" s="1"/>
  <c r="L634" i="53"/>
  <c r="L641" i="53"/>
  <c r="L665" i="53" s="1"/>
  <c r="L681" i="53" s="1"/>
  <c r="P147" i="53"/>
  <c r="P261" i="53" s="1"/>
  <c r="P615" i="53" s="1"/>
  <c r="P659" i="53" s="1"/>
  <c r="P675" i="53" s="1"/>
  <c r="P146" i="53"/>
  <c r="P251" i="53" s="1"/>
  <c r="P124" i="53"/>
  <c r="P136" i="53" s="1"/>
  <c r="P634" i="53"/>
  <c r="P637" i="53"/>
  <c r="P635" i="53"/>
  <c r="P629" i="53"/>
  <c r="P669" i="53" s="1"/>
  <c r="P685" i="53" s="1"/>
  <c r="P636" i="53"/>
  <c r="P649" i="53"/>
  <c r="P641" i="53"/>
  <c r="P665" i="53" s="1"/>
  <c r="P681" i="53" s="1"/>
  <c r="G112" i="53"/>
  <c r="G117" i="53"/>
  <c r="T120" i="53"/>
  <c r="T748" i="53" s="1"/>
  <c r="T751" i="53" s="1"/>
  <c r="B714" i="53"/>
  <c r="B742" i="53" s="1"/>
  <c r="B758" i="53"/>
  <c r="G113" i="53"/>
  <c r="O737" i="53"/>
  <c r="O121" i="53"/>
  <c r="K737" i="53"/>
  <c r="K121" i="53"/>
  <c r="R119" i="53"/>
  <c r="L1528" i="53"/>
  <c r="N147" i="53"/>
  <c r="N261" i="53" s="1"/>
  <c r="N615" i="53" s="1"/>
  <c r="N659" i="53" s="1"/>
  <c r="N675" i="53" s="1"/>
  <c r="N146" i="53"/>
  <c r="N251" i="53" s="1"/>
  <c r="N124" i="53"/>
  <c r="N136" i="53" s="1"/>
  <c r="N635" i="53"/>
  <c r="N649" i="53"/>
  <c r="N629" i="53"/>
  <c r="N669" i="53" s="1"/>
  <c r="N685" i="53" s="1"/>
  <c r="N637" i="53"/>
  <c r="N641" i="53"/>
  <c r="N665" i="53" s="1"/>
  <c r="N681" i="53" s="1"/>
  <c r="N634" i="53"/>
  <c r="N636" i="53"/>
  <c r="T119" i="53"/>
  <c r="B901" i="53"/>
  <c r="B811" i="53"/>
  <c r="B813" i="53" s="1"/>
  <c r="B875" i="53" s="1"/>
  <c r="B891" i="53" s="1"/>
  <c r="B895" i="53" s="1"/>
  <c r="K748" i="53"/>
  <c r="K751" i="53" s="1"/>
  <c r="V147" i="53"/>
  <c r="V261" i="53" s="1"/>
  <c r="V615" i="53" s="1"/>
  <c r="V659" i="53" s="1"/>
  <c r="V675" i="53" s="1"/>
  <c r="V146" i="53"/>
  <c r="V251" i="53" s="1"/>
  <c r="V636" i="53"/>
  <c r="V124" i="53"/>
  <c r="V136" i="53" s="1"/>
  <c r="V629" i="53"/>
  <c r="V669" i="53" s="1"/>
  <c r="V685" i="53" s="1"/>
  <c r="V635" i="53"/>
  <c r="V637" i="53"/>
  <c r="V649" i="53"/>
  <c r="V641" i="53"/>
  <c r="V665" i="53" s="1"/>
  <c r="V681" i="53" s="1"/>
  <c r="V634" i="53"/>
  <c r="G108" i="53"/>
  <c r="S121" i="53" l="1"/>
  <c r="M121" i="53"/>
  <c r="I251" i="53"/>
  <c r="I614" i="53" s="1"/>
  <c r="I658" i="53" s="1"/>
  <c r="I674" i="53" s="1"/>
  <c r="G146" i="53"/>
  <c r="I751" i="53"/>
  <c r="I261" i="53"/>
  <c r="I615" i="53" s="1"/>
  <c r="I659" i="53" s="1"/>
  <c r="I675" i="53" s="1"/>
  <c r="G147" i="53"/>
  <c r="S924" i="53"/>
  <c r="S925" i="53" s="1"/>
  <c r="S927" i="53" s="1"/>
  <c r="K924" i="53"/>
  <c r="K925" i="53" s="1"/>
  <c r="K927" i="53" s="1"/>
  <c r="Q924" i="53"/>
  <c r="Q925" i="53" s="1"/>
  <c r="Q927" i="53" s="1"/>
  <c r="M924" i="53"/>
  <c r="M925" i="53" s="1"/>
  <c r="M927" i="53" s="1"/>
  <c r="J121" i="53"/>
  <c r="J748" i="53"/>
  <c r="J751" i="53" s="1"/>
  <c r="J614" i="53"/>
  <c r="J658" i="53" s="1"/>
  <c r="J674" i="53" s="1"/>
  <c r="J924" i="53"/>
  <c r="J925" i="53" s="1"/>
  <c r="I667" i="53"/>
  <c r="I683" i="53" s="1"/>
  <c r="I121" i="53"/>
  <c r="U614" i="53"/>
  <c r="U658" i="53" s="1"/>
  <c r="U674" i="53" s="1"/>
  <c r="O614" i="53"/>
  <c r="O658" i="53" s="1"/>
  <c r="O674" i="53" s="1"/>
  <c r="G649" i="53"/>
  <c r="G635" i="53"/>
  <c r="G637" i="53"/>
  <c r="G119" i="53"/>
  <c r="G659" i="53"/>
  <c r="G675" i="53" s="1"/>
  <c r="G1804" i="53" s="1"/>
  <c r="L663" i="53"/>
  <c r="L679" i="53" s="1"/>
  <c r="B1842" i="53"/>
  <c r="O1" i="53"/>
  <c r="R924" i="53"/>
  <c r="R925" i="53" s="1"/>
  <c r="R614" i="53"/>
  <c r="R658" i="53" s="1"/>
  <c r="R674" i="53" s="1"/>
  <c r="G634" i="53"/>
  <c r="B1809" i="53"/>
  <c r="L1636" i="53"/>
  <c r="G665" i="53"/>
  <c r="G681" i="53" s="1"/>
  <c r="G1810" i="53" s="1"/>
  <c r="V667" i="53"/>
  <c r="V683" i="53" s="1"/>
  <c r="G120" i="53"/>
  <c r="B955" i="53"/>
  <c r="B939" i="53"/>
  <c r="T737" i="53"/>
  <c r="T121" i="53"/>
  <c r="K658" i="53"/>
  <c r="K674" i="53" s="1"/>
  <c r="G636" i="53"/>
  <c r="P663" i="53"/>
  <c r="P679" i="53" s="1"/>
  <c r="N737" i="53"/>
  <c r="N121" i="53"/>
  <c r="T663" i="53"/>
  <c r="T679" i="53" s="1"/>
  <c r="L737" i="53"/>
  <c r="L121" i="53"/>
  <c r="V924" i="53"/>
  <c r="V925" i="53" s="1"/>
  <c r="V614" i="53"/>
  <c r="V658" i="53" s="1"/>
  <c r="V674" i="53" s="1"/>
  <c r="N663" i="53"/>
  <c r="N679" i="53" s="1"/>
  <c r="B763" i="53"/>
  <c r="B768" i="53" s="1"/>
  <c r="B775" i="53"/>
  <c r="P667" i="53"/>
  <c r="P683" i="53" s="1"/>
  <c r="L924" i="53"/>
  <c r="L925" i="53" s="1"/>
  <c r="L927" i="53" s="1"/>
  <c r="L614" i="53"/>
  <c r="L658" i="53" s="1"/>
  <c r="L674" i="53" s="1"/>
  <c r="B475" i="53"/>
  <c r="B526" i="53" s="1"/>
  <c r="B377" i="53"/>
  <c r="B426" i="53" s="1"/>
  <c r="G124" i="53"/>
  <c r="P737" i="53"/>
  <c r="P121" i="53"/>
  <c r="R663" i="53"/>
  <c r="R679" i="53" s="1"/>
  <c r="R667" i="53"/>
  <c r="R683" i="53" s="1"/>
  <c r="T667" i="53"/>
  <c r="T683" i="53" s="1"/>
  <c r="T924" i="53"/>
  <c r="T925" i="53" s="1"/>
  <c r="T927" i="53" s="1"/>
  <c r="T614" i="53"/>
  <c r="T658" i="53" s="1"/>
  <c r="T674" i="53" s="1"/>
  <c r="G629" i="53"/>
  <c r="N667" i="53"/>
  <c r="N683" i="53" s="1"/>
  <c r="V663" i="53"/>
  <c r="V679" i="53" s="1"/>
  <c r="N924" i="53"/>
  <c r="N925" i="53" s="1"/>
  <c r="N614" i="53"/>
  <c r="N658" i="53" s="1"/>
  <c r="N674" i="53" s="1"/>
  <c r="G641" i="53"/>
  <c r="R737" i="53"/>
  <c r="R121" i="53"/>
  <c r="G615" i="53"/>
  <c r="P924" i="53"/>
  <c r="P925" i="53" s="1"/>
  <c r="P927" i="53" s="1"/>
  <c r="P614" i="53"/>
  <c r="P658" i="53" s="1"/>
  <c r="P674" i="53" s="1"/>
  <c r="L667" i="53"/>
  <c r="L683" i="53" s="1"/>
  <c r="V737" i="53"/>
  <c r="V121" i="53"/>
  <c r="M1528" i="53"/>
  <c r="G136" i="53"/>
  <c r="G669" i="53"/>
  <c r="G685" i="53" s="1"/>
  <c r="G1814" i="53" s="1"/>
  <c r="I924" i="53" l="1"/>
  <c r="I925" i="53" s="1"/>
  <c r="I927" i="53" s="1"/>
  <c r="R927" i="53"/>
  <c r="V927" i="53"/>
  <c r="J927" i="53"/>
  <c r="I925" i="1"/>
  <c r="N927" i="53"/>
  <c r="E594" i="53"/>
  <c r="G748" i="53"/>
  <c r="G751" i="53"/>
  <c r="G121" i="53"/>
  <c r="G737" i="53"/>
  <c r="B1211" i="53"/>
  <c r="B1252" i="53" s="1"/>
  <c r="B957" i="53"/>
  <c r="B1006" i="53" s="1"/>
  <c r="B1012" i="53" s="1"/>
  <c r="B1025" i="53" s="1"/>
  <c r="B1037" i="53" s="1"/>
  <c r="B1090" i="53" s="1"/>
  <c r="B1099" i="53" s="1"/>
  <c r="B1108" i="53" s="1"/>
  <c r="B1133" i="53" s="1"/>
  <c r="N1528" i="53"/>
  <c r="B1843" i="53"/>
  <c r="M1636" i="53"/>
  <c r="G663" i="53"/>
  <c r="G679" i="53" s="1"/>
  <c r="G1808" i="53" s="1"/>
  <c r="G614" i="53"/>
  <c r="G658" i="53"/>
  <c r="G674" i="53" s="1"/>
  <c r="G1803" i="53" s="1"/>
  <c r="G667" i="53"/>
  <c r="G683" i="53" s="1"/>
  <c r="G1812" i="53" s="1"/>
  <c r="B1810" i="53"/>
  <c r="P1" i="53"/>
  <c r="K56" i="53" l="1"/>
  <c r="O56" i="53"/>
  <c r="M56" i="53"/>
  <c r="V56" i="53"/>
  <c r="L56" i="53"/>
  <c r="Q56" i="53"/>
  <c r="I56" i="53"/>
  <c r="S56" i="53"/>
  <c r="J56" i="53"/>
  <c r="U56" i="53"/>
  <c r="R56" i="53"/>
  <c r="P56" i="53"/>
  <c r="N56" i="53"/>
  <c r="T56" i="53"/>
  <c r="N1636" i="53"/>
  <c r="B1811" i="53"/>
  <c r="B1844" i="53"/>
  <c r="B1293" i="53"/>
  <c r="B1272" i="53"/>
  <c r="Q1" i="53"/>
  <c r="O1528" i="53"/>
  <c r="AE744" i="1"/>
  <c r="AD744" i="1"/>
  <c r="AC744" i="1"/>
  <c r="AB744" i="1"/>
  <c r="AA744" i="1"/>
  <c r="Z744" i="1"/>
  <c r="Y744" i="1"/>
  <c r="X744" i="1"/>
  <c r="W744" i="1"/>
  <c r="V744" i="1"/>
  <c r="U744" i="1"/>
  <c r="T744" i="1"/>
  <c r="S744" i="1"/>
  <c r="R744" i="1"/>
  <c r="Q744" i="1"/>
  <c r="P744" i="1"/>
  <c r="O744" i="1"/>
  <c r="N744" i="1"/>
  <c r="M744" i="1"/>
  <c r="L744" i="1"/>
  <c r="K744" i="1"/>
  <c r="AE743" i="1"/>
  <c r="AD743" i="1"/>
  <c r="AC743" i="1"/>
  <c r="AB743" i="1"/>
  <c r="AA743" i="1"/>
  <c r="Z743" i="1"/>
  <c r="Y743" i="1"/>
  <c r="X743" i="1"/>
  <c r="W743" i="1"/>
  <c r="V743" i="1"/>
  <c r="U743" i="1"/>
  <c r="T743" i="1"/>
  <c r="S743" i="1"/>
  <c r="R743" i="1"/>
  <c r="Q743" i="1"/>
  <c r="P743" i="1"/>
  <c r="O743" i="1"/>
  <c r="N743" i="1"/>
  <c r="M743" i="1"/>
  <c r="L743" i="1"/>
  <c r="K743" i="1"/>
  <c r="E745" i="1"/>
  <c r="V66" i="53" l="1"/>
  <c r="V58" i="53"/>
  <c r="R58" i="53"/>
  <c r="R66" i="53"/>
  <c r="I58" i="53"/>
  <c r="G56" i="53"/>
  <c r="E56" i="53" s="1"/>
  <c r="I66" i="53"/>
  <c r="M58" i="53"/>
  <c r="M66" i="53"/>
  <c r="P58" i="53"/>
  <c r="P66" i="53"/>
  <c r="T66" i="53"/>
  <c r="T58" i="53"/>
  <c r="U58" i="53"/>
  <c r="U66" i="53"/>
  <c r="Q58" i="53"/>
  <c r="Q66" i="53"/>
  <c r="O58" i="53"/>
  <c r="O66" i="53"/>
  <c r="S58" i="53"/>
  <c r="S66" i="53"/>
  <c r="K745" i="1"/>
  <c r="N58" i="53"/>
  <c r="N66" i="53"/>
  <c r="J58" i="53"/>
  <c r="J66" i="53"/>
  <c r="L66" i="53"/>
  <c r="L58" i="53"/>
  <c r="K58" i="53"/>
  <c r="K66" i="53"/>
  <c r="O745" i="1"/>
  <c r="S745" i="1"/>
  <c r="W745" i="1"/>
  <c r="AA745" i="1"/>
  <c r="AE745" i="1"/>
  <c r="R1" i="53"/>
  <c r="O1636" i="53"/>
  <c r="P1528" i="53"/>
  <c r="B1372" i="53"/>
  <c r="B1295" i="53"/>
  <c r="B1304" i="53" s="1"/>
  <c r="B1319" i="53" s="1"/>
  <c r="B1354" i="53" s="1"/>
  <c r="B1361" i="53" s="1"/>
  <c r="B1812" i="53"/>
  <c r="M745" i="1"/>
  <c r="U745" i="1"/>
  <c r="AC745" i="1"/>
  <c r="Q745" i="1"/>
  <c r="Y745" i="1"/>
  <c r="L745" i="1"/>
  <c r="R745" i="1"/>
  <c r="Z745" i="1"/>
  <c r="AD745" i="1"/>
  <c r="N745" i="1"/>
  <c r="V745" i="1"/>
  <c r="G743" i="1"/>
  <c r="P745" i="1"/>
  <c r="T745" i="1"/>
  <c r="X745" i="1"/>
  <c r="AB745" i="1"/>
  <c r="G744" i="1"/>
  <c r="E113" i="1"/>
  <c r="E109" i="1"/>
  <c r="E65" i="1"/>
  <c r="L51" i="53" l="1"/>
  <c r="L54" i="53" s="1"/>
  <c r="L61" i="53"/>
  <c r="N64" i="53"/>
  <c r="N22" i="53" s="1"/>
  <c r="N131" i="53" s="1"/>
  <c r="N25" i="53"/>
  <c r="N133" i="53" s="1"/>
  <c r="S61" i="53"/>
  <c r="S51" i="53"/>
  <c r="S54" i="53" s="1"/>
  <c r="M61" i="53"/>
  <c r="M51" i="53"/>
  <c r="M54" i="53" s="1"/>
  <c r="R25" i="53"/>
  <c r="R133" i="53" s="1"/>
  <c r="R64" i="53"/>
  <c r="R22" i="53" s="1"/>
  <c r="R131" i="53" s="1"/>
  <c r="L64" i="53"/>
  <c r="L22" i="53" s="1"/>
  <c r="L131" i="53" s="1"/>
  <c r="L25" i="53"/>
  <c r="L133" i="53" s="1"/>
  <c r="N61" i="53"/>
  <c r="N51" i="53"/>
  <c r="N54" i="53" s="1"/>
  <c r="O64" i="53"/>
  <c r="O22" i="53" s="1"/>
  <c r="O131" i="53" s="1"/>
  <c r="O25" i="53"/>
  <c r="O133" i="53" s="1"/>
  <c r="U64" i="53"/>
  <c r="U22" i="53" s="1"/>
  <c r="U131" i="53" s="1"/>
  <c r="U25" i="53"/>
  <c r="U133" i="53" s="1"/>
  <c r="P64" i="53"/>
  <c r="P22" i="53" s="1"/>
  <c r="P131" i="53" s="1"/>
  <c r="P25" i="53"/>
  <c r="P133" i="53" s="1"/>
  <c r="G66" i="53"/>
  <c r="E66" i="53" s="1"/>
  <c r="E25" i="53" s="1"/>
  <c r="I64" i="53"/>
  <c r="I25" i="53"/>
  <c r="R51" i="53"/>
  <c r="R54" i="53" s="1"/>
  <c r="R61" i="53"/>
  <c r="Q61" i="53"/>
  <c r="Q51" i="53"/>
  <c r="Q54" i="53" s="1"/>
  <c r="K64" i="53"/>
  <c r="K22" i="53" s="1"/>
  <c r="K131" i="53" s="1"/>
  <c r="K25" i="53"/>
  <c r="K133" i="53" s="1"/>
  <c r="J25" i="53"/>
  <c r="J133" i="53" s="1"/>
  <c r="J64" i="53"/>
  <c r="J22" i="53" s="1"/>
  <c r="J131" i="53" s="1"/>
  <c r="O51" i="53"/>
  <c r="O54" i="53" s="1"/>
  <c r="O61" i="53"/>
  <c r="U51" i="53"/>
  <c r="U54" i="53" s="1"/>
  <c r="U61" i="53"/>
  <c r="P61" i="53"/>
  <c r="P51" i="53"/>
  <c r="P54" i="53" s="1"/>
  <c r="V51" i="53"/>
  <c r="V54" i="53" s="1"/>
  <c r="V61" i="53"/>
  <c r="T64" i="53"/>
  <c r="T22" i="53" s="1"/>
  <c r="T131" i="53" s="1"/>
  <c r="T25" i="53"/>
  <c r="T133" i="53" s="1"/>
  <c r="K51" i="53"/>
  <c r="K54" i="53" s="1"/>
  <c r="K61" i="53"/>
  <c r="J51" i="53"/>
  <c r="J54" i="53" s="1"/>
  <c r="J61" i="53"/>
  <c r="S25" i="53"/>
  <c r="S133" i="53" s="1"/>
  <c r="S64" i="53"/>
  <c r="S22" i="53" s="1"/>
  <c r="S131" i="53" s="1"/>
  <c r="Q25" i="53"/>
  <c r="Q133" i="53" s="1"/>
  <c r="Q64" i="53"/>
  <c r="Q22" i="53" s="1"/>
  <c r="Q131" i="53" s="1"/>
  <c r="T61" i="53"/>
  <c r="T51" i="53"/>
  <c r="T54" i="53" s="1"/>
  <c r="M64" i="53"/>
  <c r="M22" i="53" s="1"/>
  <c r="M131" i="53" s="1"/>
  <c r="M25" i="53"/>
  <c r="M133" i="53" s="1"/>
  <c r="G58" i="53"/>
  <c r="E58" i="53" s="1"/>
  <c r="E24" i="53" s="1"/>
  <c r="I61" i="53"/>
  <c r="I51" i="53"/>
  <c r="V64" i="53"/>
  <c r="V22" i="53" s="1"/>
  <c r="V131" i="53" s="1"/>
  <c r="V25" i="53"/>
  <c r="V133" i="53" s="1"/>
  <c r="AC65" i="1"/>
  <c r="I65" i="1"/>
  <c r="J65" i="1"/>
  <c r="Q1528" i="53"/>
  <c r="B1440" i="53"/>
  <c r="B1374" i="53"/>
  <c r="B1397" i="53" s="1"/>
  <c r="S1" i="53"/>
  <c r="B1813" i="53"/>
  <c r="P1636" i="53"/>
  <c r="G1014" i="53"/>
  <c r="G745" i="1"/>
  <c r="G44" i="1"/>
  <c r="N65" i="1"/>
  <c r="V65" i="1"/>
  <c r="K65" i="1"/>
  <c r="O65" i="1"/>
  <c r="S65" i="1"/>
  <c r="W65" i="1"/>
  <c r="AA65" i="1"/>
  <c r="AE65" i="1"/>
  <c r="R65" i="1"/>
  <c r="Z65" i="1"/>
  <c r="AD65" i="1"/>
  <c r="L65" i="1"/>
  <c r="P65" i="1"/>
  <c r="T65" i="1"/>
  <c r="X65" i="1"/>
  <c r="AB65" i="1"/>
  <c r="M65" i="1"/>
  <c r="Q65" i="1"/>
  <c r="U65" i="1"/>
  <c r="Y65" i="1"/>
  <c r="G133" i="53" l="1"/>
  <c r="G61" i="53"/>
  <c r="E61" i="53" s="1"/>
  <c r="E26" i="53" s="1"/>
  <c r="G25" i="53"/>
  <c r="I133" i="53"/>
  <c r="G131" i="53"/>
  <c r="G51" i="53"/>
  <c r="E51" i="53" s="1"/>
  <c r="E21" i="53" s="1"/>
  <c r="I54" i="53"/>
  <c r="G54" i="53" s="1"/>
  <c r="E54" i="53" s="1"/>
  <c r="E23" i="53" s="1"/>
  <c r="G64" i="53"/>
  <c r="E64" i="53" s="1"/>
  <c r="E22" i="53" s="1"/>
  <c r="I22" i="53"/>
  <c r="G1027" i="53"/>
  <c r="B1814" i="53"/>
  <c r="R1528" i="53"/>
  <c r="B1798" i="53"/>
  <c r="B1861" i="53" s="1"/>
  <c r="B1863" i="53" s="1"/>
  <c r="B1876" i="53" s="1"/>
  <c r="B1883" i="53" s="1"/>
  <c r="B1444" i="53"/>
  <c r="B1463" i="53" s="1"/>
  <c r="B1502" i="53" s="1"/>
  <c r="B1519" i="53" s="1"/>
  <c r="B1614" i="53" s="1"/>
  <c r="B1702" i="53" s="1"/>
  <c r="B1764" i="53" s="1"/>
  <c r="Q1636" i="53"/>
  <c r="G1178" i="53"/>
  <c r="T1" i="53"/>
  <c r="G1029" i="53"/>
  <c r="G45" i="1"/>
  <c r="G65" i="1"/>
  <c r="I131" i="53" l="1"/>
  <c r="G22" i="53"/>
  <c r="B1766" i="53"/>
  <c r="B1779" i="53" s="1"/>
  <c r="B1621" i="53"/>
  <c r="B1634" i="53" s="1"/>
  <c r="B1695" i="53" s="1"/>
  <c r="S1528" i="53"/>
  <c r="R1636" i="53"/>
  <c r="G1180" i="53"/>
  <c r="G1016" i="53"/>
  <c r="U1" i="53"/>
  <c r="G46" i="1"/>
  <c r="S1636" i="53" l="1"/>
  <c r="T1528" i="53"/>
  <c r="V1" i="53"/>
  <c r="U1528" i="53" l="1"/>
  <c r="T1636" i="53"/>
  <c r="H41" i="51"/>
  <c r="I41" i="51" s="1"/>
  <c r="J41" i="51" s="1"/>
  <c r="K41" i="51" s="1"/>
  <c r="L41" i="51" s="1"/>
  <c r="M41" i="51" s="1"/>
  <c r="N41" i="51" s="1"/>
  <c r="O41" i="51" s="1"/>
  <c r="P41" i="51" s="1"/>
  <c r="V1528" i="53" l="1"/>
  <c r="U1636" i="53"/>
  <c r="G33" i="51"/>
  <c r="H33" i="51" s="1"/>
  <c r="M21" i="51"/>
  <c r="O30" i="51" s="1"/>
  <c r="O38" i="51" s="1"/>
  <c r="L20" i="51"/>
  <c r="K20" i="51"/>
  <c r="J20" i="51"/>
  <c r="I20" i="51"/>
  <c r="G20" i="51"/>
  <c r="F20" i="51"/>
  <c r="E20" i="51"/>
  <c r="D20" i="51"/>
  <c r="H19" i="51"/>
  <c r="C19" i="51"/>
  <c r="L30" i="51" l="1"/>
  <c r="L38" i="51" s="1"/>
  <c r="H30" i="51"/>
  <c r="H38" i="51" s="1"/>
  <c r="M30" i="51"/>
  <c r="M38" i="51" s="1"/>
  <c r="O21" i="51"/>
  <c r="V1636" i="53"/>
  <c r="M19" i="51"/>
  <c r="K27" i="51" s="1"/>
  <c r="I30" i="51"/>
  <c r="I38" i="51" s="1"/>
  <c r="N30" i="51"/>
  <c r="N38" i="51" s="1"/>
  <c r="J30" i="51"/>
  <c r="J38" i="51" s="1"/>
  <c r="P30" i="51"/>
  <c r="P38" i="51" s="1"/>
  <c r="S38" i="51" s="1"/>
  <c r="I33" i="51"/>
  <c r="M20" i="51"/>
  <c r="G30" i="51"/>
  <c r="K30" i="51"/>
  <c r="M27" i="51" l="1"/>
  <c r="G27" i="51"/>
  <c r="N27" i="51"/>
  <c r="J27" i="51"/>
  <c r="L27" i="51"/>
  <c r="P27" i="51"/>
  <c r="O27" i="51"/>
  <c r="I27" i="51"/>
  <c r="H27" i="51"/>
  <c r="J33" i="51"/>
  <c r="K38" i="51"/>
  <c r="O28" i="51"/>
  <c r="K28" i="51"/>
  <c r="K29" i="51" s="1"/>
  <c r="G28" i="51"/>
  <c r="N28" i="51"/>
  <c r="N29" i="51" s="1"/>
  <c r="J28" i="51"/>
  <c r="I28" i="51"/>
  <c r="P28" i="51"/>
  <c r="P29" i="51" s="1"/>
  <c r="H28" i="51"/>
  <c r="L28" i="51"/>
  <c r="M28" i="51"/>
  <c r="G38" i="51"/>
  <c r="G29" i="51" l="1"/>
  <c r="L29" i="51"/>
  <c r="Q38" i="51"/>
  <c r="H29" i="51"/>
  <c r="H31" i="51" s="1"/>
  <c r="M29" i="51"/>
  <c r="M31" i="51" s="1"/>
  <c r="M36" i="51" s="1"/>
  <c r="I29" i="51"/>
  <c r="I31" i="51" s="1"/>
  <c r="J29" i="51"/>
  <c r="J31" i="51" s="1"/>
  <c r="J36" i="51" s="1"/>
  <c r="O29" i="51"/>
  <c r="O31" i="51" s="1"/>
  <c r="O36" i="51" s="1"/>
  <c r="N31" i="51"/>
  <c r="N36" i="51" s="1"/>
  <c r="P31" i="51"/>
  <c r="P36" i="51" s="1"/>
  <c r="L31" i="51"/>
  <c r="L36" i="51" s="1"/>
  <c r="K33" i="51"/>
  <c r="K31" i="51"/>
  <c r="K36" i="51" s="1"/>
  <c r="G31" i="51"/>
  <c r="H36" i="51" l="1"/>
  <c r="H34" i="51"/>
  <c r="H42" i="51" s="1"/>
  <c r="I36" i="51"/>
  <c r="I34" i="51"/>
  <c r="I42" i="51" s="1"/>
  <c r="L33" i="51"/>
  <c r="K34" i="51"/>
  <c r="K42" i="51" s="1"/>
  <c r="G34" i="51"/>
  <c r="G42" i="51" s="1"/>
  <c r="G36" i="51"/>
  <c r="Q36" i="51" s="1"/>
  <c r="J34" i="51"/>
  <c r="J42" i="51" s="1"/>
  <c r="R764" i="53" l="1"/>
  <c r="Q764" i="53"/>
  <c r="P764" i="53"/>
  <c r="O764" i="53"/>
  <c r="T764" i="53"/>
  <c r="S764" i="53"/>
  <c r="V764" i="53"/>
  <c r="U764" i="53"/>
  <c r="G598" i="53"/>
  <c r="L34" i="51"/>
  <c r="L42" i="51" s="1"/>
  <c r="M33" i="51"/>
  <c r="M34" i="51" l="1"/>
  <c r="M42" i="51" s="1"/>
  <c r="N33" i="51"/>
  <c r="O33" i="51" l="1"/>
  <c r="N34" i="51"/>
  <c r="N42" i="51" s="1"/>
  <c r="P33" i="51" l="1"/>
  <c r="O34" i="51"/>
  <c r="O42" i="51" s="1"/>
  <c r="G1471" i="53" l="1"/>
  <c r="G1472" i="53"/>
  <c r="G1473" i="53"/>
  <c r="P34" i="51"/>
  <c r="P42" i="51" s="1"/>
  <c r="S34" i="51" l="1"/>
  <c r="Q34" i="51"/>
  <c r="V1545" i="53" l="1"/>
  <c r="R1545" i="53"/>
  <c r="N1545" i="53"/>
  <c r="J1545" i="53"/>
  <c r="U1545" i="53"/>
  <c r="Q1545" i="53"/>
  <c r="M1545" i="53"/>
  <c r="I1545" i="53"/>
  <c r="T1545" i="53"/>
  <c r="P1545" i="53"/>
  <c r="L1545" i="53"/>
  <c r="S1545" i="53"/>
  <c r="O1545" i="53"/>
  <c r="K1545" i="53"/>
  <c r="F34" i="48"/>
  <c r="F13" i="48"/>
  <c r="G1545" i="53" l="1"/>
  <c r="L273" i="1"/>
  <c r="L274" i="1"/>
  <c r="L276" i="1"/>
  <c r="L277" i="1"/>
  <c r="L278" i="1"/>
  <c r="L279" i="1"/>
  <c r="L283" i="1"/>
  <c r="L284" i="1"/>
  <c r="L285" i="1"/>
  <c r="L290" i="1"/>
  <c r="L291" i="1"/>
  <c r="L292" i="1"/>
  <c r="L296" i="1"/>
  <c r="L297" i="1"/>
  <c r="L298" i="1"/>
  <c r="L303" i="1"/>
  <c r="L304" i="1"/>
  <c r="L305" i="1"/>
  <c r="L306" i="1"/>
  <c r="L307" i="1"/>
  <c r="L308" i="1"/>
  <c r="L313" i="1"/>
  <c r="L314" i="1"/>
  <c r="L315" i="1"/>
  <c r="L316" i="1"/>
  <c r="L317" i="1"/>
  <c r="L318" i="1"/>
  <c r="L319" i="1"/>
  <c r="L320" i="1"/>
  <c r="L232" i="1"/>
  <c r="L233" i="1"/>
  <c r="L234" i="1"/>
  <c r="L227" i="1"/>
  <c r="L228" i="1"/>
  <c r="L229" i="1"/>
  <c r="L221" i="1"/>
  <c r="L222" i="1"/>
  <c r="L223" i="1"/>
  <c r="L224" i="1"/>
  <c r="L225" i="1"/>
  <c r="L242" i="1"/>
  <c r="L161" i="1"/>
  <c r="L172" i="1"/>
  <c r="L173" i="1"/>
  <c r="L183" i="1"/>
  <c r="L160" i="1"/>
  <c r="L162" i="1"/>
  <c r="L176" i="1"/>
  <c r="L180" i="1"/>
  <c r="L167" i="1"/>
  <c r="L169" i="1"/>
  <c r="L604" i="1"/>
  <c r="L170" i="1"/>
  <c r="L605" i="1"/>
  <c r="L174" i="1"/>
  <c r="L181" i="1"/>
  <c r="L716" i="1"/>
  <c r="L717" i="1"/>
  <c r="L718" i="1"/>
  <c r="L719" i="1"/>
  <c r="E833" i="1"/>
  <c r="E834" i="1"/>
  <c r="E835" i="1"/>
  <c r="S835" i="1" s="1"/>
  <c r="E836" i="1"/>
  <c r="AE836" i="1" s="1"/>
  <c r="E837" i="1"/>
  <c r="E838" i="1"/>
  <c r="E839" i="1"/>
  <c r="O839" i="1" s="1"/>
  <c r="E840" i="1"/>
  <c r="T840" i="1" s="1"/>
  <c r="E841" i="1"/>
  <c r="X841" i="1" s="1"/>
  <c r="E842" i="1"/>
  <c r="E843" i="1"/>
  <c r="E844" i="1"/>
  <c r="E850" i="1"/>
  <c r="E851" i="1"/>
  <c r="U851" i="1" s="1"/>
  <c r="E853" i="1"/>
  <c r="E854" i="1"/>
  <c r="Q854" i="1" s="1"/>
  <c r="E855" i="1"/>
  <c r="AC855" i="1" s="1"/>
  <c r="E856" i="1"/>
  <c r="O856" i="1" s="1"/>
  <c r="E857" i="1"/>
  <c r="N857" i="1" s="1"/>
  <c r="E858" i="1"/>
  <c r="E859" i="1"/>
  <c r="E860" i="1"/>
  <c r="M860" i="1" s="1"/>
  <c r="E861" i="1"/>
  <c r="V861" i="1" s="1"/>
  <c r="E862" i="1"/>
  <c r="E863" i="1"/>
  <c r="U863" i="1" s="1"/>
  <c r="E864" i="1"/>
  <c r="E1496" i="1"/>
  <c r="E1495" i="1"/>
  <c r="D873" i="1"/>
  <c r="AE732" i="1"/>
  <c r="AD732" i="1"/>
  <c r="AC732" i="1"/>
  <c r="AB732" i="1"/>
  <c r="AA732" i="1"/>
  <c r="Z732" i="1"/>
  <c r="Y732" i="1"/>
  <c r="X732" i="1"/>
  <c r="W732" i="1"/>
  <c r="V732" i="1"/>
  <c r="U732" i="1"/>
  <c r="T732" i="1"/>
  <c r="S732" i="1"/>
  <c r="R732" i="1"/>
  <c r="Q732" i="1"/>
  <c r="P732" i="1"/>
  <c r="O732" i="1"/>
  <c r="N732" i="1"/>
  <c r="M732" i="1"/>
  <c r="L732" i="1"/>
  <c r="AE721" i="1"/>
  <c r="AD721" i="1"/>
  <c r="AC721" i="1"/>
  <c r="AB721" i="1"/>
  <c r="AA721" i="1"/>
  <c r="Z721" i="1"/>
  <c r="Y721" i="1"/>
  <c r="X721" i="1"/>
  <c r="W721" i="1"/>
  <c r="V721" i="1"/>
  <c r="U721" i="1"/>
  <c r="T721" i="1"/>
  <c r="S721" i="1"/>
  <c r="R721" i="1"/>
  <c r="Q721" i="1"/>
  <c r="P721" i="1"/>
  <c r="O721" i="1"/>
  <c r="N721" i="1"/>
  <c r="M721" i="1"/>
  <c r="L721" i="1"/>
  <c r="AE719" i="1"/>
  <c r="AD719" i="1"/>
  <c r="AC719" i="1"/>
  <c r="AB719" i="1"/>
  <c r="AA719" i="1"/>
  <c r="Z719" i="1"/>
  <c r="Y719" i="1"/>
  <c r="X719" i="1"/>
  <c r="W719" i="1"/>
  <c r="V719" i="1"/>
  <c r="U719" i="1"/>
  <c r="T719" i="1"/>
  <c r="S719" i="1"/>
  <c r="R719" i="1"/>
  <c r="Q719" i="1"/>
  <c r="P719" i="1"/>
  <c r="O719" i="1"/>
  <c r="N719" i="1"/>
  <c r="M719" i="1"/>
  <c r="AE718" i="1"/>
  <c r="AD718" i="1"/>
  <c r="AC718" i="1"/>
  <c r="AB718" i="1"/>
  <c r="AA718" i="1"/>
  <c r="Z718" i="1"/>
  <c r="Y718" i="1"/>
  <c r="X718" i="1"/>
  <c r="W718" i="1"/>
  <c r="V718" i="1"/>
  <c r="U718" i="1"/>
  <c r="T718" i="1"/>
  <c r="S718" i="1"/>
  <c r="R718" i="1"/>
  <c r="Q718" i="1"/>
  <c r="P718" i="1"/>
  <c r="O718" i="1"/>
  <c r="N718" i="1"/>
  <c r="M718" i="1"/>
  <c r="AE717" i="1"/>
  <c r="AD717" i="1"/>
  <c r="AC717" i="1"/>
  <c r="AB717" i="1"/>
  <c r="AA717" i="1"/>
  <c r="Z717" i="1"/>
  <c r="Y717" i="1"/>
  <c r="X717" i="1"/>
  <c r="W717" i="1"/>
  <c r="V717" i="1"/>
  <c r="U717" i="1"/>
  <c r="T717" i="1"/>
  <c r="S717" i="1"/>
  <c r="R717" i="1"/>
  <c r="Q717" i="1"/>
  <c r="P717" i="1"/>
  <c r="O717" i="1"/>
  <c r="N717" i="1"/>
  <c r="M717" i="1"/>
  <c r="AE716" i="1"/>
  <c r="AD716" i="1"/>
  <c r="AC716" i="1"/>
  <c r="AB716" i="1"/>
  <c r="AA716" i="1"/>
  <c r="Z716" i="1"/>
  <c r="Y716" i="1"/>
  <c r="X716" i="1"/>
  <c r="W716" i="1"/>
  <c r="V716" i="1"/>
  <c r="U716" i="1"/>
  <c r="T716" i="1"/>
  <c r="S716" i="1"/>
  <c r="R716" i="1"/>
  <c r="Q716" i="1"/>
  <c r="P716" i="1"/>
  <c r="O716" i="1"/>
  <c r="N716" i="1"/>
  <c r="M716" i="1"/>
  <c r="K732" i="1"/>
  <c r="K721" i="1"/>
  <c r="K719" i="1"/>
  <c r="K718" i="1"/>
  <c r="K717" i="1"/>
  <c r="K716" i="1"/>
  <c r="E720" i="1"/>
  <c r="C635" i="1"/>
  <c r="G1671" i="1"/>
  <c r="G1672" i="1" s="1"/>
  <c r="G1673" i="1" s="1"/>
  <c r="G1674" i="1" s="1"/>
  <c r="G1675" i="1" s="1"/>
  <c r="G1676" i="1" s="1"/>
  <c r="G1677" i="1" s="1"/>
  <c r="G1678" i="1" s="1"/>
  <c r="G1679" i="1" s="1"/>
  <c r="G1680" i="1" s="1"/>
  <c r="G1681" i="1" s="1"/>
  <c r="G1682" i="1" s="1"/>
  <c r="G1683" i="1" s="1"/>
  <c r="G1684" i="1" s="1"/>
  <c r="G1685" i="1" s="1"/>
  <c r="G1686" i="1" s="1"/>
  <c r="G1687" i="1" s="1"/>
  <c r="G1688" i="1" s="1"/>
  <c r="G1689" i="1" s="1"/>
  <c r="G1690" i="1" s="1"/>
  <c r="G1691" i="1" s="1"/>
  <c r="G1692" i="1" s="1"/>
  <c r="J1668" i="1"/>
  <c r="K1668" i="1" s="1"/>
  <c r="L1668" i="1" s="1"/>
  <c r="M1668" i="1" s="1"/>
  <c r="N1668" i="1" s="1"/>
  <c r="O1668" i="1" s="1"/>
  <c r="P1668" i="1" s="1"/>
  <c r="Q1668" i="1" s="1"/>
  <c r="R1668" i="1" s="1"/>
  <c r="S1668" i="1" s="1"/>
  <c r="T1668" i="1" s="1"/>
  <c r="U1668" i="1" s="1"/>
  <c r="V1668" i="1" s="1"/>
  <c r="W1668" i="1" s="1"/>
  <c r="X1668" i="1" s="1"/>
  <c r="Y1668" i="1" s="1"/>
  <c r="Z1668" i="1" s="1"/>
  <c r="AA1668" i="1" s="1"/>
  <c r="AB1668" i="1" s="1"/>
  <c r="AC1668" i="1" s="1"/>
  <c r="AD1668" i="1" s="1"/>
  <c r="AE1668" i="1" s="1"/>
  <c r="E1635" i="1"/>
  <c r="W34" i="50"/>
  <c r="W35" i="50" s="1"/>
  <c r="X33" i="50"/>
  <c r="Y33" i="50" s="1"/>
  <c r="D198" i="1"/>
  <c r="D197" i="1"/>
  <c r="D205" i="1"/>
  <c r="D203" i="1"/>
  <c r="D202" i="1"/>
  <c r="D212" i="1"/>
  <c r="D210" i="1"/>
  <c r="D209" i="1"/>
  <c r="AE40" i="1"/>
  <c r="AD40" i="1"/>
  <c r="AC40" i="1"/>
  <c r="AB40" i="1"/>
  <c r="AA40" i="1"/>
  <c r="Z40" i="1"/>
  <c r="Y40" i="1"/>
  <c r="X40" i="1"/>
  <c r="W40" i="1"/>
  <c r="V40" i="1"/>
  <c r="U40" i="1"/>
  <c r="T40" i="1"/>
  <c r="S40" i="1"/>
  <c r="R40" i="1"/>
  <c r="Q40" i="1"/>
  <c r="P40" i="1"/>
  <c r="O40" i="1"/>
  <c r="N40" i="1"/>
  <c r="M40" i="1"/>
  <c r="L40" i="1"/>
  <c r="K40" i="1"/>
  <c r="AE33" i="1"/>
  <c r="AD33" i="1"/>
  <c r="AC33" i="1"/>
  <c r="AB33" i="1"/>
  <c r="AA33" i="1"/>
  <c r="Z33" i="1"/>
  <c r="Y33" i="1"/>
  <c r="X33" i="1"/>
  <c r="W33" i="1"/>
  <c r="V33" i="1"/>
  <c r="U33" i="1"/>
  <c r="T33" i="1"/>
  <c r="S33" i="1"/>
  <c r="R33" i="1"/>
  <c r="Q33" i="1"/>
  <c r="P33" i="1"/>
  <c r="O33" i="1"/>
  <c r="N33" i="1"/>
  <c r="M33" i="1"/>
  <c r="L33" i="1"/>
  <c r="K33" i="1"/>
  <c r="AE60" i="1"/>
  <c r="AD60" i="1"/>
  <c r="AC60" i="1"/>
  <c r="AB60" i="1"/>
  <c r="AA60" i="1"/>
  <c r="Z60" i="1"/>
  <c r="Y60" i="1"/>
  <c r="X60" i="1"/>
  <c r="W60" i="1"/>
  <c r="V60" i="1"/>
  <c r="U60" i="1"/>
  <c r="T60" i="1"/>
  <c r="S60" i="1"/>
  <c r="R60" i="1"/>
  <c r="Q60" i="1"/>
  <c r="P60" i="1"/>
  <c r="O60" i="1"/>
  <c r="N60" i="1"/>
  <c r="M60" i="1"/>
  <c r="L60" i="1"/>
  <c r="K60" i="1"/>
  <c r="AE53" i="1"/>
  <c r="AD53" i="1"/>
  <c r="AC53" i="1"/>
  <c r="AB53" i="1"/>
  <c r="AA53" i="1"/>
  <c r="Z53" i="1"/>
  <c r="Y53" i="1"/>
  <c r="X53" i="1"/>
  <c r="W53" i="1"/>
  <c r="V53" i="1"/>
  <c r="U53" i="1"/>
  <c r="T53" i="1"/>
  <c r="S53" i="1"/>
  <c r="R53" i="1"/>
  <c r="Q53" i="1"/>
  <c r="P53" i="1"/>
  <c r="O53" i="1"/>
  <c r="N53" i="1"/>
  <c r="M53" i="1"/>
  <c r="L53" i="1"/>
  <c r="K53" i="1"/>
  <c r="AE57" i="1"/>
  <c r="AD57" i="1"/>
  <c r="AC57" i="1"/>
  <c r="AB57" i="1"/>
  <c r="AA57" i="1"/>
  <c r="Z57" i="1"/>
  <c r="Y57" i="1"/>
  <c r="X57" i="1"/>
  <c r="W57" i="1"/>
  <c r="V57" i="1"/>
  <c r="U57" i="1"/>
  <c r="T57" i="1"/>
  <c r="S57" i="1"/>
  <c r="R57" i="1"/>
  <c r="Q57" i="1"/>
  <c r="P57" i="1"/>
  <c r="O57" i="1"/>
  <c r="N57" i="1"/>
  <c r="M57" i="1"/>
  <c r="L57" i="1"/>
  <c r="K57" i="1"/>
  <c r="E211" i="1"/>
  <c r="E213" i="1" s="1"/>
  <c r="E204" i="1"/>
  <c r="E206" i="1" s="1"/>
  <c r="P4" i="50"/>
  <c r="E220" i="1"/>
  <c r="E1002" i="1"/>
  <c r="J1206" i="1" s="1"/>
  <c r="I1157" i="1"/>
  <c r="J1155" i="1"/>
  <c r="B1164" i="1"/>
  <c r="B1176" i="1" s="1"/>
  <c r="B1202" i="1" s="1"/>
  <c r="C650" i="1"/>
  <c r="AE606" i="1"/>
  <c r="AD606" i="1"/>
  <c r="AC606" i="1"/>
  <c r="AB606" i="1"/>
  <c r="AA606" i="1"/>
  <c r="Z606" i="1"/>
  <c r="Y606" i="1"/>
  <c r="X606" i="1"/>
  <c r="W606" i="1"/>
  <c r="V606" i="1"/>
  <c r="U606" i="1"/>
  <c r="T606" i="1"/>
  <c r="S606" i="1"/>
  <c r="R606" i="1"/>
  <c r="Q606" i="1"/>
  <c r="P606" i="1"/>
  <c r="O606" i="1"/>
  <c r="N606" i="1"/>
  <c r="M606" i="1"/>
  <c r="L606" i="1"/>
  <c r="K606" i="1"/>
  <c r="C643" i="1"/>
  <c r="C642" i="1"/>
  <c r="C641" i="1"/>
  <c r="C640" i="1"/>
  <c r="C639" i="1"/>
  <c r="C637" i="1"/>
  <c r="C636" i="1"/>
  <c r="AE182" i="1"/>
  <c r="AD182" i="1"/>
  <c r="AC182" i="1"/>
  <c r="AB182" i="1"/>
  <c r="AA182" i="1"/>
  <c r="Z182" i="1"/>
  <c r="Y182" i="1"/>
  <c r="X182" i="1"/>
  <c r="W182" i="1"/>
  <c r="V182" i="1"/>
  <c r="U182" i="1"/>
  <c r="T182" i="1"/>
  <c r="S182" i="1"/>
  <c r="R182" i="1"/>
  <c r="Q182" i="1"/>
  <c r="P182" i="1"/>
  <c r="O182" i="1"/>
  <c r="N182" i="1"/>
  <c r="M182" i="1"/>
  <c r="L182" i="1"/>
  <c r="K182" i="1"/>
  <c r="M362" i="3"/>
  <c r="M359" i="3"/>
  <c r="M358" i="3"/>
  <c r="M357" i="3"/>
  <c r="M356" i="3"/>
  <c r="M355" i="3"/>
  <c r="M349" i="3"/>
  <c r="M348" i="3"/>
  <c r="M347" i="3"/>
  <c r="M346" i="3"/>
  <c r="M345" i="3"/>
  <c r="L17" i="2"/>
  <c r="L13" i="2"/>
  <c r="C137" i="3"/>
  <c r="C139" i="3" s="1"/>
  <c r="C123" i="3" s="1"/>
  <c r="L20" i="2"/>
  <c r="L16" i="2"/>
  <c r="L12" i="2"/>
  <c r="G34" i="48"/>
  <c r="E34" i="48"/>
  <c r="G32" i="48"/>
  <c r="F32" i="48"/>
  <c r="E32" i="48"/>
  <c r="G23" i="48"/>
  <c r="F23" i="48"/>
  <c r="E23" i="48"/>
  <c r="G13" i="48"/>
  <c r="E13" i="48"/>
  <c r="N334" i="3"/>
  <c r="N345" i="3" s="1"/>
  <c r="N355" i="3" s="1"/>
  <c r="M333" i="3"/>
  <c r="M354" i="3" s="1"/>
  <c r="D5" i="4"/>
  <c r="B49" i="45"/>
  <c r="F55" i="45"/>
  <c r="E53" i="45"/>
  <c r="D869" i="1"/>
  <c r="M29" i="45"/>
  <c r="J22" i="45"/>
  <c r="I22" i="45"/>
  <c r="H22" i="45"/>
  <c r="G22" i="45"/>
  <c r="F21" i="45"/>
  <c r="K21" i="45" s="1"/>
  <c r="F20" i="45"/>
  <c r="K20" i="45" s="1"/>
  <c r="F19" i="45"/>
  <c r="K19" i="45" s="1"/>
  <c r="F18" i="45"/>
  <c r="F17" i="45"/>
  <c r="K17" i="45" s="1"/>
  <c r="F16" i="45"/>
  <c r="K16" i="45" s="1"/>
  <c r="F15" i="45"/>
  <c r="K15" i="45" s="1"/>
  <c r="F14" i="45"/>
  <c r="K14" i="45" s="1"/>
  <c r="F13" i="45"/>
  <c r="K13" i="45" s="1"/>
  <c r="F12" i="45"/>
  <c r="K12" i="45" s="1"/>
  <c r="F11" i="45"/>
  <c r="K11" i="45" s="1"/>
  <c r="D22" i="45"/>
  <c r="M26" i="45"/>
  <c r="C864" i="1"/>
  <c r="C863" i="1"/>
  <c r="C862" i="1"/>
  <c r="C861" i="1"/>
  <c r="C860" i="1"/>
  <c r="C859" i="1"/>
  <c r="C858" i="1"/>
  <c r="C857" i="1"/>
  <c r="C856" i="1"/>
  <c r="C855" i="1"/>
  <c r="C854" i="1"/>
  <c r="C853" i="1"/>
  <c r="C852" i="1"/>
  <c r="C851" i="1"/>
  <c r="C850" i="1"/>
  <c r="C849" i="1"/>
  <c r="C843" i="1"/>
  <c r="C842" i="1"/>
  <c r="C841" i="1"/>
  <c r="C840" i="1"/>
  <c r="C839" i="1"/>
  <c r="C838" i="1"/>
  <c r="C837" i="1"/>
  <c r="C836" i="1"/>
  <c r="C835" i="1"/>
  <c r="C834" i="1"/>
  <c r="C833" i="1"/>
  <c r="C675" i="1"/>
  <c r="C1804" i="1" s="1"/>
  <c r="E100" i="1"/>
  <c r="E145" i="1"/>
  <c r="D96" i="1"/>
  <c r="E96" i="1"/>
  <c r="AC96" i="1" s="1"/>
  <c r="AC102" i="1" s="1"/>
  <c r="AE262" i="1"/>
  <c r="AD262" i="1"/>
  <c r="AC262" i="1"/>
  <c r="AB262" i="1"/>
  <c r="AA262" i="1"/>
  <c r="Z262" i="1"/>
  <c r="Y262" i="1"/>
  <c r="X262" i="1"/>
  <c r="W262" i="1"/>
  <c r="V262" i="1"/>
  <c r="U262" i="1"/>
  <c r="T262" i="1"/>
  <c r="S262" i="1"/>
  <c r="R262" i="1"/>
  <c r="Q262" i="1"/>
  <c r="P262" i="1"/>
  <c r="O262" i="1"/>
  <c r="N262" i="1"/>
  <c r="M262" i="1"/>
  <c r="L262" i="1"/>
  <c r="K262" i="1"/>
  <c r="E171" i="1"/>
  <c r="C1557" i="1"/>
  <c r="AE1549" i="1"/>
  <c r="AD1549" i="1"/>
  <c r="AC1549" i="1"/>
  <c r="AB1549" i="1"/>
  <c r="AA1549" i="1"/>
  <c r="Z1549" i="1"/>
  <c r="Y1549" i="1"/>
  <c r="X1549" i="1"/>
  <c r="W1549" i="1"/>
  <c r="V1549" i="1"/>
  <c r="U1549" i="1"/>
  <c r="T1549" i="1"/>
  <c r="S1549" i="1"/>
  <c r="R1549" i="1"/>
  <c r="Q1549" i="1"/>
  <c r="P1549" i="1"/>
  <c r="O1549" i="1"/>
  <c r="N1549" i="1"/>
  <c r="M1549" i="1"/>
  <c r="L1549" i="1"/>
  <c r="K1549" i="1"/>
  <c r="J1549" i="1"/>
  <c r="I1549" i="1"/>
  <c r="K1155" i="1"/>
  <c r="K605" i="1"/>
  <c r="K604" i="1"/>
  <c r="M598" i="1"/>
  <c r="N598" i="1" s="1"/>
  <c r="O598" i="1" s="1"/>
  <c r="P598" i="1" s="1"/>
  <c r="Q598" i="1" s="1"/>
  <c r="R598" i="1" s="1"/>
  <c r="S598" i="1" s="1"/>
  <c r="T598" i="1" s="1"/>
  <c r="U598" i="1" s="1"/>
  <c r="V598" i="1" s="1"/>
  <c r="W598" i="1" s="1"/>
  <c r="X598" i="1" s="1"/>
  <c r="Y598" i="1" s="1"/>
  <c r="Z598" i="1" s="1"/>
  <c r="AA598" i="1" s="1"/>
  <c r="AB598" i="1" s="1"/>
  <c r="AC598" i="1" s="1"/>
  <c r="AD598" i="1" s="1"/>
  <c r="AE598" i="1" s="1"/>
  <c r="K477" i="1"/>
  <c r="K323" i="1"/>
  <c r="K320" i="1"/>
  <c r="K319" i="1"/>
  <c r="K318" i="1"/>
  <c r="K317" i="1"/>
  <c r="K316" i="1"/>
  <c r="K315" i="1"/>
  <c r="K314" i="1"/>
  <c r="K313" i="1"/>
  <c r="K312" i="1"/>
  <c r="K308" i="1"/>
  <c r="K307" i="1"/>
  <c r="K306" i="1"/>
  <c r="K305" i="1"/>
  <c r="K304" i="1"/>
  <c r="K303" i="1"/>
  <c r="K302" i="1"/>
  <c r="K298" i="1"/>
  <c r="K297" i="1"/>
  <c r="K296" i="1"/>
  <c r="K292" i="1"/>
  <c r="K291" i="1"/>
  <c r="K290" i="1"/>
  <c r="K289" i="1"/>
  <c r="K285" i="1"/>
  <c r="K284" i="1"/>
  <c r="K283" i="1"/>
  <c r="K279" i="1"/>
  <c r="K278" i="1"/>
  <c r="K277" i="1"/>
  <c r="K276" i="1"/>
  <c r="K275" i="1"/>
  <c r="K274" i="1"/>
  <c r="K273" i="1"/>
  <c r="K272" i="1"/>
  <c r="K254" i="1"/>
  <c r="K253" i="1"/>
  <c r="K242" i="1"/>
  <c r="K234" i="1"/>
  <c r="K233" i="1"/>
  <c r="K232" i="1"/>
  <c r="K229" i="1"/>
  <c r="K228" i="1"/>
  <c r="K227" i="1"/>
  <c r="K225" i="1"/>
  <c r="K224" i="1"/>
  <c r="K223" i="1"/>
  <c r="K222" i="1"/>
  <c r="K221" i="1"/>
  <c r="K183" i="1"/>
  <c r="K181" i="1"/>
  <c r="K168" i="1"/>
  <c r="K180" i="1"/>
  <c r="K176" i="1"/>
  <c r="K174" i="1"/>
  <c r="K173" i="1"/>
  <c r="K172" i="1"/>
  <c r="K170" i="1"/>
  <c r="K169" i="1"/>
  <c r="K167" i="1"/>
  <c r="K163" i="1"/>
  <c r="K162" i="1"/>
  <c r="K161" i="1"/>
  <c r="K160" i="1"/>
  <c r="K155" i="1"/>
  <c r="K123" i="1"/>
  <c r="K68" i="1"/>
  <c r="B87" i="49"/>
  <c r="B85" i="49"/>
  <c r="B84" i="49"/>
  <c r="B81" i="49"/>
  <c r="B80" i="49"/>
  <c r="B79" i="49"/>
  <c r="B78" i="49"/>
  <c r="B76" i="49"/>
  <c r="B75" i="49"/>
  <c r="B74" i="49"/>
  <c r="B73" i="49"/>
  <c r="B72" i="49"/>
  <c r="B71" i="49"/>
  <c r="B70" i="49"/>
  <c r="B69" i="49"/>
  <c r="B62" i="49"/>
  <c r="B61" i="49"/>
  <c r="B59" i="49"/>
  <c r="B56" i="49"/>
  <c r="B55" i="49"/>
  <c r="B53" i="49"/>
  <c r="B52" i="49"/>
  <c r="B51" i="49"/>
  <c r="B49" i="49"/>
  <c r="B48" i="49"/>
  <c r="B47" i="49"/>
  <c r="B46" i="49"/>
  <c r="B39" i="49"/>
  <c r="B37" i="49"/>
  <c r="B35" i="49"/>
  <c r="B34" i="49"/>
  <c r="B25" i="49"/>
  <c r="B24" i="49"/>
  <c r="B23" i="49"/>
  <c r="B22" i="49"/>
  <c r="B21" i="49"/>
  <c r="B20" i="49"/>
  <c r="B19" i="49"/>
  <c r="B17" i="49"/>
  <c r="B16" i="49"/>
  <c r="B14" i="49"/>
  <c r="B13" i="49"/>
  <c r="B12" i="49"/>
  <c r="B11" i="49"/>
  <c r="B10" i="49"/>
  <c r="B9" i="49"/>
  <c r="O286" i="3"/>
  <c r="O252" i="3"/>
  <c r="O185" i="3"/>
  <c r="C683" i="1"/>
  <c r="C1812" i="1" s="1"/>
  <c r="B8" i="1"/>
  <c r="B12" i="1" s="1"/>
  <c r="B19" i="1" s="1"/>
  <c r="AE323" i="1"/>
  <c r="AD323" i="1"/>
  <c r="AC323" i="1"/>
  <c r="AB323" i="1"/>
  <c r="AA323" i="1"/>
  <c r="Z323" i="1"/>
  <c r="Y323" i="1"/>
  <c r="X323" i="1"/>
  <c r="W323" i="1"/>
  <c r="V323" i="1"/>
  <c r="U323" i="1"/>
  <c r="T323" i="1"/>
  <c r="S323" i="1"/>
  <c r="R323" i="1"/>
  <c r="Q323" i="1"/>
  <c r="P323" i="1"/>
  <c r="O323" i="1"/>
  <c r="N323" i="1"/>
  <c r="M323" i="1"/>
  <c r="L323" i="1"/>
  <c r="AE320" i="1"/>
  <c r="AD320" i="1"/>
  <c r="AC320" i="1"/>
  <c r="AB320" i="1"/>
  <c r="AA320" i="1"/>
  <c r="Z320" i="1"/>
  <c r="Y320" i="1"/>
  <c r="X320" i="1"/>
  <c r="W320" i="1"/>
  <c r="V320" i="1"/>
  <c r="U320" i="1"/>
  <c r="T320" i="1"/>
  <c r="S320" i="1"/>
  <c r="R320" i="1"/>
  <c r="Q320" i="1"/>
  <c r="P320" i="1"/>
  <c r="O320" i="1"/>
  <c r="N320" i="1"/>
  <c r="M320" i="1"/>
  <c r="AE319" i="1"/>
  <c r="AD319" i="1"/>
  <c r="AC319" i="1"/>
  <c r="AB319" i="1"/>
  <c r="AA319" i="1"/>
  <c r="Z319" i="1"/>
  <c r="Y319" i="1"/>
  <c r="X319" i="1"/>
  <c r="W319" i="1"/>
  <c r="V319" i="1"/>
  <c r="U319" i="1"/>
  <c r="T319" i="1"/>
  <c r="S319" i="1"/>
  <c r="R319" i="1"/>
  <c r="Q319" i="1"/>
  <c r="P319" i="1"/>
  <c r="O319" i="1"/>
  <c r="N319" i="1"/>
  <c r="M319" i="1"/>
  <c r="AE318" i="1"/>
  <c r="AD318" i="1"/>
  <c r="AC318" i="1"/>
  <c r="AB318" i="1"/>
  <c r="AA318" i="1"/>
  <c r="Z318" i="1"/>
  <c r="Y318" i="1"/>
  <c r="X318" i="1"/>
  <c r="W318" i="1"/>
  <c r="V318" i="1"/>
  <c r="U318" i="1"/>
  <c r="T318" i="1"/>
  <c r="S318" i="1"/>
  <c r="R318" i="1"/>
  <c r="Q318" i="1"/>
  <c r="P318" i="1"/>
  <c r="O318" i="1"/>
  <c r="N318" i="1"/>
  <c r="M318" i="1"/>
  <c r="AE317" i="1"/>
  <c r="AD317" i="1"/>
  <c r="AC317" i="1"/>
  <c r="AB317" i="1"/>
  <c r="AA317" i="1"/>
  <c r="Z317" i="1"/>
  <c r="Y317" i="1"/>
  <c r="X317" i="1"/>
  <c r="W317" i="1"/>
  <c r="V317" i="1"/>
  <c r="U317" i="1"/>
  <c r="T317" i="1"/>
  <c r="S317" i="1"/>
  <c r="R317" i="1"/>
  <c r="Q317" i="1"/>
  <c r="P317" i="1"/>
  <c r="O317" i="1"/>
  <c r="N317" i="1"/>
  <c r="M317" i="1"/>
  <c r="AE316" i="1"/>
  <c r="AD316" i="1"/>
  <c r="AC316" i="1"/>
  <c r="AB316" i="1"/>
  <c r="AA316" i="1"/>
  <c r="Z316" i="1"/>
  <c r="Y316" i="1"/>
  <c r="X316" i="1"/>
  <c r="W316" i="1"/>
  <c r="V316" i="1"/>
  <c r="U316" i="1"/>
  <c r="T316" i="1"/>
  <c r="S316" i="1"/>
  <c r="R316" i="1"/>
  <c r="Q316" i="1"/>
  <c r="P316" i="1"/>
  <c r="O316" i="1"/>
  <c r="N316" i="1"/>
  <c r="M316" i="1"/>
  <c r="AE315" i="1"/>
  <c r="AD315" i="1"/>
  <c r="AC315" i="1"/>
  <c r="AB315" i="1"/>
  <c r="AA315" i="1"/>
  <c r="Z315" i="1"/>
  <c r="Y315" i="1"/>
  <c r="X315" i="1"/>
  <c r="W315" i="1"/>
  <c r="V315" i="1"/>
  <c r="U315" i="1"/>
  <c r="T315" i="1"/>
  <c r="S315" i="1"/>
  <c r="R315" i="1"/>
  <c r="Q315" i="1"/>
  <c r="P315" i="1"/>
  <c r="O315" i="1"/>
  <c r="N315" i="1"/>
  <c r="M315" i="1"/>
  <c r="AE314" i="1"/>
  <c r="AD314" i="1"/>
  <c r="AC314" i="1"/>
  <c r="AB314" i="1"/>
  <c r="AA314" i="1"/>
  <c r="Z314" i="1"/>
  <c r="Y314" i="1"/>
  <c r="X314" i="1"/>
  <c r="W314" i="1"/>
  <c r="V314" i="1"/>
  <c r="U314" i="1"/>
  <c r="T314" i="1"/>
  <c r="S314" i="1"/>
  <c r="R314" i="1"/>
  <c r="Q314" i="1"/>
  <c r="P314" i="1"/>
  <c r="O314" i="1"/>
  <c r="N314" i="1"/>
  <c r="M314" i="1"/>
  <c r="AE313" i="1"/>
  <c r="AD313" i="1"/>
  <c r="AC313" i="1"/>
  <c r="AB313" i="1"/>
  <c r="AA313" i="1"/>
  <c r="Z313" i="1"/>
  <c r="Y313" i="1"/>
  <c r="X313" i="1"/>
  <c r="W313" i="1"/>
  <c r="V313" i="1"/>
  <c r="U313" i="1"/>
  <c r="T313" i="1"/>
  <c r="S313" i="1"/>
  <c r="R313" i="1"/>
  <c r="Q313" i="1"/>
  <c r="P313" i="1"/>
  <c r="O313" i="1"/>
  <c r="N313" i="1"/>
  <c r="M313" i="1"/>
  <c r="AE312" i="1"/>
  <c r="AD312" i="1"/>
  <c r="AC312" i="1"/>
  <c r="AB312" i="1"/>
  <c r="AA312" i="1"/>
  <c r="Z312" i="1"/>
  <c r="Y312" i="1"/>
  <c r="X312" i="1"/>
  <c r="W312" i="1"/>
  <c r="V312" i="1"/>
  <c r="U312" i="1"/>
  <c r="T312" i="1"/>
  <c r="S312" i="1"/>
  <c r="R312" i="1"/>
  <c r="Q312" i="1"/>
  <c r="P312" i="1"/>
  <c r="O312" i="1"/>
  <c r="N312" i="1"/>
  <c r="M312" i="1"/>
  <c r="L312" i="1"/>
  <c r="AE308" i="1"/>
  <c r="AD308" i="1"/>
  <c r="AC308" i="1"/>
  <c r="AB308" i="1"/>
  <c r="AA308" i="1"/>
  <c r="Z308" i="1"/>
  <c r="Y308" i="1"/>
  <c r="X308" i="1"/>
  <c r="W308" i="1"/>
  <c r="V308" i="1"/>
  <c r="U308" i="1"/>
  <c r="T308" i="1"/>
  <c r="S308" i="1"/>
  <c r="R308" i="1"/>
  <c r="Q308" i="1"/>
  <c r="P308" i="1"/>
  <c r="O308" i="1"/>
  <c r="N308" i="1"/>
  <c r="M308" i="1"/>
  <c r="AE307" i="1"/>
  <c r="AD307" i="1"/>
  <c r="AC307" i="1"/>
  <c r="AB307" i="1"/>
  <c r="AA307" i="1"/>
  <c r="Z307" i="1"/>
  <c r="Y307" i="1"/>
  <c r="X307" i="1"/>
  <c r="W307" i="1"/>
  <c r="V307" i="1"/>
  <c r="U307" i="1"/>
  <c r="T307" i="1"/>
  <c r="S307" i="1"/>
  <c r="R307" i="1"/>
  <c r="Q307" i="1"/>
  <c r="P307" i="1"/>
  <c r="O307" i="1"/>
  <c r="N307" i="1"/>
  <c r="M307" i="1"/>
  <c r="AE306" i="1"/>
  <c r="AD306" i="1"/>
  <c r="AC306" i="1"/>
  <c r="AB306" i="1"/>
  <c r="AA306" i="1"/>
  <c r="Z306" i="1"/>
  <c r="Y306" i="1"/>
  <c r="X306" i="1"/>
  <c r="W306" i="1"/>
  <c r="V306" i="1"/>
  <c r="U306" i="1"/>
  <c r="T306" i="1"/>
  <c r="S306" i="1"/>
  <c r="R306" i="1"/>
  <c r="Q306" i="1"/>
  <c r="P306" i="1"/>
  <c r="O306" i="1"/>
  <c r="N306" i="1"/>
  <c r="M306" i="1"/>
  <c r="AE305" i="1"/>
  <c r="AD305" i="1"/>
  <c r="AC305" i="1"/>
  <c r="AB305" i="1"/>
  <c r="AA305" i="1"/>
  <c r="Z305" i="1"/>
  <c r="Y305" i="1"/>
  <c r="X305" i="1"/>
  <c r="W305" i="1"/>
  <c r="V305" i="1"/>
  <c r="U305" i="1"/>
  <c r="T305" i="1"/>
  <c r="S305" i="1"/>
  <c r="R305" i="1"/>
  <c r="Q305" i="1"/>
  <c r="P305" i="1"/>
  <c r="O305" i="1"/>
  <c r="N305" i="1"/>
  <c r="M305" i="1"/>
  <c r="AE304" i="1"/>
  <c r="AD304" i="1"/>
  <c r="AC304" i="1"/>
  <c r="AB304" i="1"/>
  <c r="AA304" i="1"/>
  <c r="Z304" i="1"/>
  <c r="Y304" i="1"/>
  <c r="X304" i="1"/>
  <c r="W304" i="1"/>
  <c r="V304" i="1"/>
  <c r="U304" i="1"/>
  <c r="T304" i="1"/>
  <c r="S304" i="1"/>
  <c r="R304" i="1"/>
  <c r="Q304" i="1"/>
  <c r="P304" i="1"/>
  <c r="O304" i="1"/>
  <c r="N304" i="1"/>
  <c r="M304" i="1"/>
  <c r="AE303" i="1"/>
  <c r="AD303" i="1"/>
  <c r="AC303" i="1"/>
  <c r="AB303" i="1"/>
  <c r="AA303" i="1"/>
  <c r="Z303" i="1"/>
  <c r="Y303" i="1"/>
  <c r="X303" i="1"/>
  <c r="W303" i="1"/>
  <c r="V303" i="1"/>
  <c r="U303" i="1"/>
  <c r="T303" i="1"/>
  <c r="S303" i="1"/>
  <c r="R303" i="1"/>
  <c r="Q303" i="1"/>
  <c r="P303" i="1"/>
  <c r="O303" i="1"/>
  <c r="N303" i="1"/>
  <c r="M303" i="1"/>
  <c r="AE302" i="1"/>
  <c r="AD302" i="1"/>
  <c r="AC302" i="1"/>
  <c r="AB302" i="1"/>
  <c r="AA302" i="1"/>
  <c r="Z302" i="1"/>
  <c r="Y302" i="1"/>
  <c r="X302" i="1"/>
  <c r="W302" i="1"/>
  <c r="V302" i="1"/>
  <c r="U302" i="1"/>
  <c r="T302" i="1"/>
  <c r="S302" i="1"/>
  <c r="R302" i="1"/>
  <c r="Q302" i="1"/>
  <c r="P302" i="1"/>
  <c r="O302" i="1"/>
  <c r="N302" i="1"/>
  <c r="M302" i="1"/>
  <c r="L302" i="1"/>
  <c r="AE298" i="1"/>
  <c r="AD298" i="1"/>
  <c r="AC298" i="1"/>
  <c r="AB298" i="1"/>
  <c r="AA298" i="1"/>
  <c r="Z298" i="1"/>
  <c r="Y298" i="1"/>
  <c r="X298" i="1"/>
  <c r="W298" i="1"/>
  <c r="V298" i="1"/>
  <c r="U298" i="1"/>
  <c r="T298" i="1"/>
  <c r="S298" i="1"/>
  <c r="R298" i="1"/>
  <c r="Q298" i="1"/>
  <c r="P298" i="1"/>
  <c r="O298" i="1"/>
  <c r="N298" i="1"/>
  <c r="M298" i="1"/>
  <c r="AE297" i="1"/>
  <c r="AD297" i="1"/>
  <c r="AC297" i="1"/>
  <c r="AB297" i="1"/>
  <c r="AA297" i="1"/>
  <c r="Z297" i="1"/>
  <c r="Y297" i="1"/>
  <c r="X297" i="1"/>
  <c r="W297" i="1"/>
  <c r="V297" i="1"/>
  <c r="U297" i="1"/>
  <c r="T297" i="1"/>
  <c r="S297" i="1"/>
  <c r="R297" i="1"/>
  <c r="Q297" i="1"/>
  <c r="P297" i="1"/>
  <c r="O297" i="1"/>
  <c r="N297" i="1"/>
  <c r="M297" i="1"/>
  <c r="AE296" i="1"/>
  <c r="AD296" i="1"/>
  <c r="AC296" i="1"/>
  <c r="AB296" i="1"/>
  <c r="AA296" i="1"/>
  <c r="Z296" i="1"/>
  <c r="Y296" i="1"/>
  <c r="X296" i="1"/>
  <c r="W296" i="1"/>
  <c r="V296" i="1"/>
  <c r="U296" i="1"/>
  <c r="T296" i="1"/>
  <c r="S296" i="1"/>
  <c r="R296" i="1"/>
  <c r="Q296" i="1"/>
  <c r="P296" i="1"/>
  <c r="O296" i="1"/>
  <c r="N296" i="1"/>
  <c r="M296" i="1"/>
  <c r="AE292" i="1"/>
  <c r="AD292" i="1"/>
  <c r="AC292" i="1"/>
  <c r="AB292" i="1"/>
  <c r="AA292" i="1"/>
  <c r="Z292" i="1"/>
  <c r="Y292" i="1"/>
  <c r="X292" i="1"/>
  <c r="W292" i="1"/>
  <c r="V292" i="1"/>
  <c r="U292" i="1"/>
  <c r="T292" i="1"/>
  <c r="S292" i="1"/>
  <c r="R292" i="1"/>
  <c r="Q292" i="1"/>
  <c r="P292" i="1"/>
  <c r="O292" i="1"/>
  <c r="N292" i="1"/>
  <c r="M292" i="1"/>
  <c r="AE291" i="1"/>
  <c r="AD291" i="1"/>
  <c r="AC291" i="1"/>
  <c r="AB291" i="1"/>
  <c r="AA291" i="1"/>
  <c r="Z291" i="1"/>
  <c r="Y291" i="1"/>
  <c r="X291" i="1"/>
  <c r="W291" i="1"/>
  <c r="V291" i="1"/>
  <c r="U291" i="1"/>
  <c r="T291" i="1"/>
  <c r="S291" i="1"/>
  <c r="R291" i="1"/>
  <c r="Q291" i="1"/>
  <c r="P291" i="1"/>
  <c r="O291" i="1"/>
  <c r="N291" i="1"/>
  <c r="M291" i="1"/>
  <c r="AE290" i="1"/>
  <c r="AD290" i="1"/>
  <c r="AC290" i="1"/>
  <c r="AB290" i="1"/>
  <c r="AA290" i="1"/>
  <c r="Z290" i="1"/>
  <c r="Y290" i="1"/>
  <c r="X290" i="1"/>
  <c r="W290" i="1"/>
  <c r="V290" i="1"/>
  <c r="U290" i="1"/>
  <c r="T290" i="1"/>
  <c r="S290" i="1"/>
  <c r="R290" i="1"/>
  <c r="Q290" i="1"/>
  <c r="P290" i="1"/>
  <c r="O290" i="1"/>
  <c r="N290" i="1"/>
  <c r="M290" i="1"/>
  <c r="AE289" i="1"/>
  <c r="AD289" i="1"/>
  <c r="AC289" i="1"/>
  <c r="AB289" i="1"/>
  <c r="AA289" i="1"/>
  <c r="Z289" i="1"/>
  <c r="Y289" i="1"/>
  <c r="X289" i="1"/>
  <c r="W289" i="1"/>
  <c r="V289" i="1"/>
  <c r="U289" i="1"/>
  <c r="T289" i="1"/>
  <c r="S289" i="1"/>
  <c r="R289" i="1"/>
  <c r="Q289" i="1"/>
  <c r="P289" i="1"/>
  <c r="O289" i="1"/>
  <c r="N289" i="1"/>
  <c r="M289" i="1"/>
  <c r="L289" i="1"/>
  <c r="AE285" i="1"/>
  <c r="AD285" i="1"/>
  <c r="AC285" i="1"/>
  <c r="AB285" i="1"/>
  <c r="AA285" i="1"/>
  <c r="Z285" i="1"/>
  <c r="Y285" i="1"/>
  <c r="X285" i="1"/>
  <c r="W285" i="1"/>
  <c r="V285" i="1"/>
  <c r="U285" i="1"/>
  <c r="T285" i="1"/>
  <c r="S285" i="1"/>
  <c r="R285" i="1"/>
  <c r="Q285" i="1"/>
  <c r="P285" i="1"/>
  <c r="O285" i="1"/>
  <c r="N285" i="1"/>
  <c r="M285" i="1"/>
  <c r="AE284" i="1"/>
  <c r="AD284" i="1"/>
  <c r="AC284" i="1"/>
  <c r="AB284" i="1"/>
  <c r="AA284" i="1"/>
  <c r="Z284" i="1"/>
  <c r="Y284" i="1"/>
  <c r="X284" i="1"/>
  <c r="W284" i="1"/>
  <c r="V284" i="1"/>
  <c r="U284" i="1"/>
  <c r="T284" i="1"/>
  <c r="S284" i="1"/>
  <c r="R284" i="1"/>
  <c r="Q284" i="1"/>
  <c r="P284" i="1"/>
  <c r="O284" i="1"/>
  <c r="N284" i="1"/>
  <c r="M284" i="1"/>
  <c r="AE283" i="1"/>
  <c r="AD283" i="1"/>
  <c r="AC283" i="1"/>
  <c r="AB283" i="1"/>
  <c r="AA283" i="1"/>
  <c r="Z283" i="1"/>
  <c r="Y283" i="1"/>
  <c r="X283" i="1"/>
  <c r="W283" i="1"/>
  <c r="V283" i="1"/>
  <c r="U283" i="1"/>
  <c r="T283" i="1"/>
  <c r="S283" i="1"/>
  <c r="R283" i="1"/>
  <c r="Q283" i="1"/>
  <c r="P283" i="1"/>
  <c r="O283" i="1"/>
  <c r="N283" i="1"/>
  <c r="M283" i="1"/>
  <c r="AE279" i="1"/>
  <c r="AD279" i="1"/>
  <c r="AC279" i="1"/>
  <c r="AB279" i="1"/>
  <c r="AA279" i="1"/>
  <c r="Z279" i="1"/>
  <c r="Y279" i="1"/>
  <c r="X279" i="1"/>
  <c r="W279" i="1"/>
  <c r="V279" i="1"/>
  <c r="U279" i="1"/>
  <c r="T279" i="1"/>
  <c r="S279" i="1"/>
  <c r="R279" i="1"/>
  <c r="Q279" i="1"/>
  <c r="P279" i="1"/>
  <c r="O279" i="1"/>
  <c r="N279" i="1"/>
  <c r="M279" i="1"/>
  <c r="AE278" i="1"/>
  <c r="AD278" i="1"/>
  <c r="AC278" i="1"/>
  <c r="AB278" i="1"/>
  <c r="AA278" i="1"/>
  <c r="Z278" i="1"/>
  <c r="Y278" i="1"/>
  <c r="X278" i="1"/>
  <c r="W278" i="1"/>
  <c r="V278" i="1"/>
  <c r="U278" i="1"/>
  <c r="T278" i="1"/>
  <c r="S278" i="1"/>
  <c r="R278" i="1"/>
  <c r="Q278" i="1"/>
  <c r="P278" i="1"/>
  <c r="O278" i="1"/>
  <c r="N278" i="1"/>
  <c r="M278" i="1"/>
  <c r="AE277" i="1"/>
  <c r="AD277" i="1"/>
  <c r="AC277" i="1"/>
  <c r="AB277" i="1"/>
  <c r="AA277" i="1"/>
  <c r="Z277" i="1"/>
  <c r="Y277" i="1"/>
  <c r="X277" i="1"/>
  <c r="W277" i="1"/>
  <c r="V277" i="1"/>
  <c r="U277" i="1"/>
  <c r="T277" i="1"/>
  <c r="S277" i="1"/>
  <c r="R277" i="1"/>
  <c r="Q277" i="1"/>
  <c r="P277" i="1"/>
  <c r="O277" i="1"/>
  <c r="N277" i="1"/>
  <c r="M277" i="1"/>
  <c r="AE276" i="1"/>
  <c r="AD276" i="1"/>
  <c r="AC276" i="1"/>
  <c r="AB276" i="1"/>
  <c r="AA276" i="1"/>
  <c r="Z276" i="1"/>
  <c r="Y276" i="1"/>
  <c r="X276" i="1"/>
  <c r="W276" i="1"/>
  <c r="V276" i="1"/>
  <c r="U276" i="1"/>
  <c r="T276" i="1"/>
  <c r="S276" i="1"/>
  <c r="R276" i="1"/>
  <c r="Q276" i="1"/>
  <c r="P276" i="1"/>
  <c r="O276" i="1"/>
  <c r="N276" i="1"/>
  <c r="M276" i="1"/>
  <c r="AE275" i="1"/>
  <c r="AD275" i="1"/>
  <c r="AC275" i="1"/>
  <c r="AB275" i="1"/>
  <c r="AA275" i="1"/>
  <c r="Z275" i="1"/>
  <c r="Y275" i="1"/>
  <c r="X275" i="1"/>
  <c r="W275" i="1"/>
  <c r="V275" i="1"/>
  <c r="U275" i="1"/>
  <c r="T275" i="1"/>
  <c r="S275" i="1"/>
  <c r="R275" i="1"/>
  <c r="Q275" i="1"/>
  <c r="P275" i="1"/>
  <c r="O275" i="1"/>
  <c r="N275" i="1"/>
  <c r="M275" i="1"/>
  <c r="L275" i="1"/>
  <c r="AE274" i="1"/>
  <c r="AD274" i="1"/>
  <c r="AC274" i="1"/>
  <c r="AB274" i="1"/>
  <c r="AA274" i="1"/>
  <c r="Z274" i="1"/>
  <c r="Y274" i="1"/>
  <c r="X274" i="1"/>
  <c r="W274" i="1"/>
  <c r="V274" i="1"/>
  <c r="U274" i="1"/>
  <c r="T274" i="1"/>
  <c r="S274" i="1"/>
  <c r="R274" i="1"/>
  <c r="Q274" i="1"/>
  <c r="P274" i="1"/>
  <c r="O274" i="1"/>
  <c r="N274" i="1"/>
  <c r="M274" i="1"/>
  <c r="AE273" i="1"/>
  <c r="AD273" i="1"/>
  <c r="AC273" i="1"/>
  <c r="AB273" i="1"/>
  <c r="AA273" i="1"/>
  <c r="Z273" i="1"/>
  <c r="Y273" i="1"/>
  <c r="X273" i="1"/>
  <c r="W273" i="1"/>
  <c r="V273" i="1"/>
  <c r="U273" i="1"/>
  <c r="T273" i="1"/>
  <c r="S273" i="1"/>
  <c r="R273" i="1"/>
  <c r="Q273" i="1"/>
  <c r="P273" i="1"/>
  <c r="O273" i="1"/>
  <c r="N273" i="1"/>
  <c r="M273" i="1"/>
  <c r="AE272" i="1"/>
  <c r="AD272" i="1"/>
  <c r="AC272" i="1"/>
  <c r="AB272" i="1"/>
  <c r="AA272" i="1"/>
  <c r="Z272" i="1"/>
  <c r="Y272" i="1"/>
  <c r="X272" i="1"/>
  <c r="W272" i="1"/>
  <c r="V272" i="1"/>
  <c r="U272" i="1"/>
  <c r="T272" i="1"/>
  <c r="S272" i="1"/>
  <c r="R272" i="1"/>
  <c r="Q272" i="1"/>
  <c r="P272" i="1"/>
  <c r="O272" i="1"/>
  <c r="N272" i="1"/>
  <c r="M272" i="1"/>
  <c r="L272" i="1"/>
  <c r="AE242" i="1"/>
  <c r="AD242" i="1"/>
  <c r="AC242" i="1"/>
  <c r="AB242" i="1"/>
  <c r="AA242" i="1"/>
  <c r="Z242" i="1"/>
  <c r="Y242" i="1"/>
  <c r="X242" i="1"/>
  <c r="W242" i="1"/>
  <c r="V242" i="1"/>
  <c r="U242" i="1"/>
  <c r="T242" i="1"/>
  <c r="S242" i="1"/>
  <c r="R242" i="1"/>
  <c r="Q242" i="1"/>
  <c r="P242" i="1"/>
  <c r="O242" i="1"/>
  <c r="N242" i="1"/>
  <c r="M242" i="1"/>
  <c r="AE234" i="1"/>
  <c r="AD234" i="1"/>
  <c r="AC234" i="1"/>
  <c r="AB234" i="1"/>
  <c r="AA234" i="1"/>
  <c r="Z234" i="1"/>
  <c r="Y234" i="1"/>
  <c r="X234" i="1"/>
  <c r="W234" i="1"/>
  <c r="V234" i="1"/>
  <c r="U234" i="1"/>
  <c r="T234" i="1"/>
  <c r="S234" i="1"/>
  <c r="R234" i="1"/>
  <c r="Q234" i="1"/>
  <c r="P234" i="1"/>
  <c r="O234" i="1"/>
  <c r="N234" i="1"/>
  <c r="M234" i="1"/>
  <c r="AE233" i="1"/>
  <c r="AD233" i="1"/>
  <c r="AC233" i="1"/>
  <c r="AB233" i="1"/>
  <c r="AA233" i="1"/>
  <c r="Z233" i="1"/>
  <c r="Y233" i="1"/>
  <c r="X233" i="1"/>
  <c r="W233" i="1"/>
  <c r="V233" i="1"/>
  <c r="U233" i="1"/>
  <c r="T233" i="1"/>
  <c r="S233" i="1"/>
  <c r="R233" i="1"/>
  <c r="Q233" i="1"/>
  <c r="P233" i="1"/>
  <c r="O233" i="1"/>
  <c r="N233" i="1"/>
  <c r="M233" i="1"/>
  <c r="AE232" i="1"/>
  <c r="AD232" i="1"/>
  <c r="AC232" i="1"/>
  <c r="AB232" i="1"/>
  <c r="AA232" i="1"/>
  <c r="Z232" i="1"/>
  <c r="Y232" i="1"/>
  <c r="X232" i="1"/>
  <c r="W232" i="1"/>
  <c r="V232" i="1"/>
  <c r="U232" i="1"/>
  <c r="T232" i="1"/>
  <c r="S232" i="1"/>
  <c r="R232" i="1"/>
  <c r="Q232" i="1"/>
  <c r="P232" i="1"/>
  <c r="O232" i="1"/>
  <c r="N232" i="1"/>
  <c r="M232" i="1"/>
  <c r="AE229" i="1"/>
  <c r="AD229" i="1"/>
  <c r="AC229" i="1"/>
  <c r="AB229" i="1"/>
  <c r="AA229" i="1"/>
  <c r="Z229" i="1"/>
  <c r="Y229" i="1"/>
  <c r="X229" i="1"/>
  <c r="W229" i="1"/>
  <c r="V229" i="1"/>
  <c r="U229" i="1"/>
  <c r="T229" i="1"/>
  <c r="S229" i="1"/>
  <c r="R229" i="1"/>
  <c r="Q229" i="1"/>
  <c r="P229" i="1"/>
  <c r="O229" i="1"/>
  <c r="N229" i="1"/>
  <c r="M229" i="1"/>
  <c r="AE228" i="1"/>
  <c r="AD228" i="1"/>
  <c r="AC228" i="1"/>
  <c r="AB228" i="1"/>
  <c r="AA228" i="1"/>
  <c r="Z228" i="1"/>
  <c r="Y228" i="1"/>
  <c r="X228" i="1"/>
  <c r="W228" i="1"/>
  <c r="V228" i="1"/>
  <c r="U228" i="1"/>
  <c r="T228" i="1"/>
  <c r="S228" i="1"/>
  <c r="R228" i="1"/>
  <c r="Q228" i="1"/>
  <c r="P228" i="1"/>
  <c r="O228" i="1"/>
  <c r="N228" i="1"/>
  <c r="M228" i="1"/>
  <c r="AE227" i="1"/>
  <c r="AD227" i="1"/>
  <c r="AC227" i="1"/>
  <c r="AB227" i="1"/>
  <c r="AA227" i="1"/>
  <c r="Z227" i="1"/>
  <c r="Y227" i="1"/>
  <c r="X227" i="1"/>
  <c r="W227" i="1"/>
  <c r="V227" i="1"/>
  <c r="U227" i="1"/>
  <c r="T227" i="1"/>
  <c r="S227" i="1"/>
  <c r="R227" i="1"/>
  <c r="Q227" i="1"/>
  <c r="P227" i="1"/>
  <c r="O227" i="1"/>
  <c r="N227" i="1"/>
  <c r="M227" i="1"/>
  <c r="AE225" i="1"/>
  <c r="AD225" i="1"/>
  <c r="AC225" i="1"/>
  <c r="AB225" i="1"/>
  <c r="AA225" i="1"/>
  <c r="Z225" i="1"/>
  <c r="Y225" i="1"/>
  <c r="X225" i="1"/>
  <c r="W225" i="1"/>
  <c r="V225" i="1"/>
  <c r="U225" i="1"/>
  <c r="T225" i="1"/>
  <c r="S225" i="1"/>
  <c r="R225" i="1"/>
  <c r="Q225" i="1"/>
  <c r="P225" i="1"/>
  <c r="O225" i="1"/>
  <c r="N225" i="1"/>
  <c r="M225" i="1"/>
  <c r="AE224" i="1"/>
  <c r="AD224" i="1"/>
  <c r="AC224" i="1"/>
  <c r="AB224" i="1"/>
  <c r="AA224" i="1"/>
  <c r="Z224" i="1"/>
  <c r="Y224" i="1"/>
  <c r="X224" i="1"/>
  <c r="W224" i="1"/>
  <c r="V224" i="1"/>
  <c r="U224" i="1"/>
  <c r="T224" i="1"/>
  <c r="S224" i="1"/>
  <c r="R224" i="1"/>
  <c r="Q224" i="1"/>
  <c r="P224" i="1"/>
  <c r="O224" i="1"/>
  <c r="N224" i="1"/>
  <c r="M224" i="1"/>
  <c r="AE223" i="1"/>
  <c r="AD223" i="1"/>
  <c r="AC223" i="1"/>
  <c r="AB223" i="1"/>
  <c r="AA223" i="1"/>
  <c r="Z223" i="1"/>
  <c r="Y223" i="1"/>
  <c r="X223" i="1"/>
  <c r="W223" i="1"/>
  <c r="V223" i="1"/>
  <c r="U223" i="1"/>
  <c r="T223" i="1"/>
  <c r="S223" i="1"/>
  <c r="R223" i="1"/>
  <c r="Q223" i="1"/>
  <c r="P223" i="1"/>
  <c r="O223" i="1"/>
  <c r="N223" i="1"/>
  <c r="M223" i="1"/>
  <c r="AE222" i="1"/>
  <c r="AD222" i="1"/>
  <c r="AC222" i="1"/>
  <c r="AB222" i="1"/>
  <c r="AA222" i="1"/>
  <c r="Z222" i="1"/>
  <c r="Y222" i="1"/>
  <c r="X222" i="1"/>
  <c r="W222" i="1"/>
  <c r="V222" i="1"/>
  <c r="U222" i="1"/>
  <c r="T222" i="1"/>
  <c r="S222" i="1"/>
  <c r="R222" i="1"/>
  <c r="Q222" i="1"/>
  <c r="P222" i="1"/>
  <c r="O222" i="1"/>
  <c r="N222" i="1"/>
  <c r="M222" i="1"/>
  <c r="AE221" i="1"/>
  <c r="AD221" i="1"/>
  <c r="AC221" i="1"/>
  <c r="AB221" i="1"/>
  <c r="AA221" i="1"/>
  <c r="Z221" i="1"/>
  <c r="Y221" i="1"/>
  <c r="X221" i="1"/>
  <c r="W221" i="1"/>
  <c r="V221" i="1"/>
  <c r="U221" i="1"/>
  <c r="T221" i="1"/>
  <c r="S221" i="1"/>
  <c r="R221" i="1"/>
  <c r="Q221" i="1"/>
  <c r="P221" i="1"/>
  <c r="O221" i="1"/>
  <c r="N221" i="1"/>
  <c r="M221" i="1"/>
  <c r="E175" i="1"/>
  <c r="U175" i="1" s="1"/>
  <c r="U642" i="1" s="1"/>
  <c r="U666" i="1" s="1"/>
  <c r="C685" i="1"/>
  <c r="C1814" i="1" s="1"/>
  <c r="C684" i="1"/>
  <c r="C1813" i="1" s="1"/>
  <c r="B25" i="4"/>
  <c r="B24" i="4"/>
  <c r="B23" i="4"/>
  <c r="B48" i="4"/>
  <c r="B11" i="4"/>
  <c r="C629" i="1"/>
  <c r="E280" i="1"/>
  <c r="AE163" i="1"/>
  <c r="AE123" i="1"/>
  <c r="AA123" i="1"/>
  <c r="W123" i="1"/>
  <c r="S123" i="1"/>
  <c r="O123" i="1"/>
  <c r="Q123" i="1"/>
  <c r="AB123" i="1"/>
  <c r="T123" i="1"/>
  <c r="AD123" i="1"/>
  <c r="Z123" i="1"/>
  <c r="V123" i="1"/>
  <c r="R123" i="1"/>
  <c r="N123" i="1"/>
  <c r="U123" i="1"/>
  <c r="X123" i="1"/>
  <c r="P123" i="1"/>
  <c r="AC123" i="1"/>
  <c r="Y123" i="1"/>
  <c r="M123" i="1"/>
  <c r="L123" i="1"/>
  <c r="Z163" i="1"/>
  <c r="R163" i="1"/>
  <c r="L163" i="1"/>
  <c r="AB163" i="1"/>
  <c r="T163" i="1"/>
  <c r="N163" i="1"/>
  <c r="V163" i="1"/>
  <c r="AD163" i="1"/>
  <c r="P163" i="1"/>
  <c r="X163" i="1"/>
  <c r="M163" i="1"/>
  <c r="Q163" i="1"/>
  <c r="U163" i="1"/>
  <c r="Y163" i="1"/>
  <c r="AC163" i="1"/>
  <c r="O163" i="1"/>
  <c r="S163" i="1"/>
  <c r="W163" i="1"/>
  <c r="AA163" i="1"/>
  <c r="C632" i="1"/>
  <c r="C692" i="1" s="1"/>
  <c r="C700" i="1" s="1"/>
  <c r="C1840" i="1" s="1"/>
  <c r="AE605" i="1"/>
  <c r="AD605" i="1"/>
  <c r="AC605" i="1"/>
  <c r="AB605" i="1"/>
  <c r="AA605" i="1"/>
  <c r="Z605" i="1"/>
  <c r="Y605" i="1"/>
  <c r="X605" i="1"/>
  <c r="W605" i="1"/>
  <c r="V605" i="1"/>
  <c r="U605" i="1"/>
  <c r="T605" i="1"/>
  <c r="S605" i="1"/>
  <c r="R605" i="1"/>
  <c r="Q605" i="1"/>
  <c r="P605" i="1"/>
  <c r="O605" i="1"/>
  <c r="N605" i="1"/>
  <c r="M605" i="1"/>
  <c r="AE604" i="1"/>
  <c r="AD604" i="1"/>
  <c r="AC604" i="1"/>
  <c r="AB604" i="1"/>
  <c r="AA604" i="1"/>
  <c r="Z604" i="1"/>
  <c r="Y604" i="1"/>
  <c r="X604" i="1"/>
  <c r="W604" i="1"/>
  <c r="V604" i="1"/>
  <c r="U604" i="1"/>
  <c r="T604" i="1"/>
  <c r="S604" i="1"/>
  <c r="R604" i="1"/>
  <c r="Q604" i="1"/>
  <c r="P604" i="1"/>
  <c r="O604" i="1"/>
  <c r="N604" i="1"/>
  <c r="M604" i="1"/>
  <c r="B219" i="3"/>
  <c r="B225" i="3" s="1"/>
  <c r="C51" i="43"/>
  <c r="C50" i="43"/>
  <c r="C49" i="43"/>
  <c r="C48" i="43"/>
  <c r="C47" i="43"/>
  <c r="C46" i="43"/>
  <c r="C45" i="43"/>
  <c r="C44" i="43"/>
  <c r="C43" i="43"/>
  <c r="B52" i="43"/>
  <c r="B51" i="43"/>
  <c r="B50" i="43"/>
  <c r="B49" i="43"/>
  <c r="B48" i="43"/>
  <c r="B47" i="43"/>
  <c r="B46" i="43"/>
  <c r="B45" i="43"/>
  <c r="B44" i="43"/>
  <c r="B43" i="43"/>
  <c r="B42" i="43"/>
  <c r="C39" i="43"/>
  <c r="C38" i="43"/>
  <c r="C37" i="43"/>
  <c r="C36" i="43"/>
  <c r="C35" i="43"/>
  <c r="C34" i="43"/>
  <c r="C33" i="43"/>
  <c r="B40" i="43"/>
  <c r="B39" i="43"/>
  <c r="B38" i="43"/>
  <c r="B37" i="43"/>
  <c r="B36" i="43"/>
  <c r="D29" i="43"/>
  <c r="E29" i="43" s="1"/>
  <c r="F29" i="43" s="1"/>
  <c r="C29" i="43"/>
  <c r="C28" i="43"/>
  <c r="C27" i="43"/>
  <c r="B35" i="43"/>
  <c r="B34" i="43"/>
  <c r="B33" i="43"/>
  <c r="B32" i="43"/>
  <c r="B30" i="43"/>
  <c r="B29" i="43"/>
  <c r="B28" i="43"/>
  <c r="B27" i="43"/>
  <c r="B26" i="43"/>
  <c r="D4" i="43"/>
  <c r="E4" i="43" s="1"/>
  <c r="B24" i="43"/>
  <c r="C23" i="43"/>
  <c r="C22" i="43"/>
  <c r="C21" i="43"/>
  <c r="C20" i="43"/>
  <c r="B23" i="43"/>
  <c r="B22" i="43"/>
  <c r="B21" i="43"/>
  <c r="B20" i="43"/>
  <c r="D16" i="43"/>
  <c r="E16" i="43" s="1"/>
  <c r="F16" i="43" s="1"/>
  <c r="D15" i="43"/>
  <c r="D14" i="43"/>
  <c r="E14" i="43" s="1"/>
  <c r="C16" i="43"/>
  <c r="C15" i="43"/>
  <c r="C14" i="43"/>
  <c r="B19" i="43"/>
  <c r="B17" i="43"/>
  <c r="B16" i="43"/>
  <c r="B15" i="43"/>
  <c r="B14" i="43"/>
  <c r="B13" i="43"/>
  <c r="D10" i="43"/>
  <c r="D9" i="43"/>
  <c r="E9" i="43" s="1"/>
  <c r="F9" i="43" s="1"/>
  <c r="D8" i="43"/>
  <c r="E8" i="43" s="1"/>
  <c r="D7" i="43"/>
  <c r="E7" i="43" s="1"/>
  <c r="D6" i="43"/>
  <c r="E6" i="43" s="1"/>
  <c r="F6" i="43" s="1"/>
  <c r="D5" i="43"/>
  <c r="E5" i="43" s="1"/>
  <c r="B11" i="43"/>
  <c r="C10" i="43"/>
  <c r="B10" i="43"/>
  <c r="C9" i="43"/>
  <c r="C8" i="43"/>
  <c r="C7" i="43"/>
  <c r="C6" i="43"/>
  <c r="C5" i="43"/>
  <c r="B9" i="43"/>
  <c r="B8" i="43"/>
  <c r="B7" i="43"/>
  <c r="B6" i="43"/>
  <c r="B5" i="43"/>
  <c r="B4" i="43"/>
  <c r="M7" i="46"/>
  <c r="M8" i="46"/>
  <c r="M9" i="46"/>
  <c r="M1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 i="46"/>
  <c r="D7" i="46"/>
  <c r="D8" i="46" s="1"/>
  <c r="E6" i="46"/>
  <c r="O324" i="3"/>
  <c r="O334" i="3" s="1"/>
  <c r="O345" i="3" s="1"/>
  <c r="O355" i="3" s="1"/>
  <c r="M323" i="3"/>
  <c r="M344" i="3" s="1"/>
  <c r="E286" i="3"/>
  <c r="F286" i="3" s="1"/>
  <c r="C257" i="3"/>
  <c r="N257" i="3" s="1"/>
  <c r="B257" i="3"/>
  <c r="B263" i="3" s="1"/>
  <c r="B253" i="3"/>
  <c r="B259" i="3" s="1"/>
  <c r="D804" i="1"/>
  <c r="B186" i="3"/>
  <c r="B192" i="3" s="1"/>
  <c r="B179" i="3"/>
  <c r="B98" i="3"/>
  <c r="B171" i="3" s="1"/>
  <c r="B178" i="3"/>
  <c r="B177" i="3"/>
  <c r="B176" i="3"/>
  <c r="B168" i="3"/>
  <c r="B159" i="3"/>
  <c r="B88" i="3"/>
  <c r="B161" i="3" s="1"/>
  <c r="E889" i="1"/>
  <c r="D376" i="3" s="1"/>
  <c r="B56" i="4"/>
  <c r="B81" i="4"/>
  <c r="AE942" i="1"/>
  <c r="AD942" i="1"/>
  <c r="AC942" i="1"/>
  <c r="AB942" i="1"/>
  <c r="AA942" i="1"/>
  <c r="Z942" i="1"/>
  <c r="Y942" i="1"/>
  <c r="X942" i="1"/>
  <c r="W942" i="1"/>
  <c r="V942" i="1"/>
  <c r="U942" i="1"/>
  <c r="T942" i="1"/>
  <c r="S942" i="1"/>
  <c r="R942" i="1"/>
  <c r="Q942" i="1"/>
  <c r="P942" i="1"/>
  <c r="O942" i="1"/>
  <c r="N942" i="1"/>
  <c r="M942" i="1"/>
  <c r="L942" i="1"/>
  <c r="K942" i="1"/>
  <c r="J942" i="1"/>
  <c r="I942" i="1"/>
  <c r="AE888" i="1"/>
  <c r="AD888" i="1"/>
  <c r="AC888" i="1"/>
  <c r="AB888" i="1"/>
  <c r="AA888" i="1"/>
  <c r="Z888" i="1"/>
  <c r="Y888" i="1"/>
  <c r="X888" i="1"/>
  <c r="W888" i="1"/>
  <c r="V888" i="1"/>
  <c r="U888" i="1"/>
  <c r="T888" i="1"/>
  <c r="S888" i="1"/>
  <c r="R888" i="1"/>
  <c r="Q888" i="1"/>
  <c r="P888" i="1"/>
  <c r="O888" i="1"/>
  <c r="N888" i="1"/>
  <c r="M888" i="1"/>
  <c r="AE887" i="1"/>
  <c r="AD887" i="1"/>
  <c r="AC887" i="1"/>
  <c r="AB887" i="1"/>
  <c r="AA887" i="1"/>
  <c r="Z887" i="1"/>
  <c r="Y887" i="1"/>
  <c r="X887" i="1"/>
  <c r="W887" i="1"/>
  <c r="V887" i="1"/>
  <c r="U887" i="1"/>
  <c r="T887" i="1"/>
  <c r="S887" i="1"/>
  <c r="R887" i="1"/>
  <c r="Q887" i="1"/>
  <c r="P887" i="1"/>
  <c r="O887" i="1"/>
  <c r="N887" i="1"/>
  <c r="M887" i="1"/>
  <c r="AE886" i="1"/>
  <c r="AD886" i="1"/>
  <c r="AC886" i="1"/>
  <c r="AB886" i="1"/>
  <c r="AA886" i="1"/>
  <c r="Z886" i="1"/>
  <c r="Y886" i="1"/>
  <c r="X886" i="1"/>
  <c r="W886" i="1"/>
  <c r="V886" i="1"/>
  <c r="U886" i="1"/>
  <c r="T886" i="1"/>
  <c r="S886" i="1"/>
  <c r="R886" i="1"/>
  <c r="Q886" i="1"/>
  <c r="P886" i="1"/>
  <c r="O886" i="1"/>
  <c r="N886" i="1"/>
  <c r="M886" i="1"/>
  <c r="AE885" i="1"/>
  <c r="AD885" i="1"/>
  <c r="AC885" i="1"/>
  <c r="AB885" i="1"/>
  <c r="AA885" i="1"/>
  <c r="Z885" i="1"/>
  <c r="Y885" i="1"/>
  <c r="X885" i="1"/>
  <c r="W885" i="1"/>
  <c r="V885" i="1"/>
  <c r="U885" i="1"/>
  <c r="T885" i="1"/>
  <c r="S885" i="1"/>
  <c r="R885" i="1"/>
  <c r="Q885" i="1"/>
  <c r="P885" i="1"/>
  <c r="O885" i="1"/>
  <c r="N885" i="1"/>
  <c r="M885" i="1"/>
  <c r="AE884" i="1"/>
  <c r="AD884" i="1"/>
  <c r="AC884" i="1"/>
  <c r="AB884" i="1"/>
  <c r="AA884" i="1"/>
  <c r="Z884" i="1"/>
  <c r="Y884" i="1"/>
  <c r="X884" i="1"/>
  <c r="W884" i="1"/>
  <c r="V884" i="1"/>
  <c r="U884" i="1"/>
  <c r="T884" i="1"/>
  <c r="S884" i="1"/>
  <c r="R884" i="1"/>
  <c r="Q884" i="1"/>
  <c r="P884" i="1"/>
  <c r="O884" i="1"/>
  <c r="N884" i="1"/>
  <c r="M884" i="1"/>
  <c r="AE883" i="1"/>
  <c r="AD883" i="1"/>
  <c r="AC883" i="1"/>
  <c r="AB883" i="1"/>
  <c r="AA883" i="1"/>
  <c r="Z883" i="1"/>
  <c r="Y883" i="1"/>
  <c r="X883" i="1"/>
  <c r="W883" i="1"/>
  <c r="V883" i="1"/>
  <c r="U883" i="1"/>
  <c r="T883" i="1"/>
  <c r="S883" i="1"/>
  <c r="R883" i="1"/>
  <c r="Q883" i="1"/>
  <c r="P883" i="1"/>
  <c r="O883" i="1"/>
  <c r="N883" i="1"/>
  <c r="M883" i="1"/>
  <c r="AE882" i="1"/>
  <c r="AD882" i="1"/>
  <c r="AC882" i="1"/>
  <c r="AB882" i="1"/>
  <c r="AA882" i="1"/>
  <c r="Z882" i="1"/>
  <c r="Y882" i="1"/>
  <c r="X882" i="1"/>
  <c r="W882" i="1"/>
  <c r="V882" i="1"/>
  <c r="U882" i="1"/>
  <c r="T882" i="1"/>
  <c r="S882" i="1"/>
  <c r="R882" i="1"/>
  <c r="Q882" i="1"/>
  <c r="P882" i="1"/>
  <c r="O882" i="1"/>
  <c r="N882" i="1"/>
  <c r="M882" i="1"/>
  <c r="AE881" i="1"/>
  <c r="AD881" i="1"/>
  <c r="AC881" i="1"/>
  <c r="AB881" i="1"/>
  <c r="AA881" i="1"/>
  <c r="Z881" i="1"/>
  <c r="Y881" i="1"/>
  <c r="X881" i="1"/>
  <c r="W881" i="1"/>
  <c r="V881" i="1"/>
  <c r="U881" i="1"/>
  <c r="T881" i="1"/>
  <c r="S881" i="1"/>
  <c r="R881" i="1"/>
  <c r="Q881" i="1"/>
  <c r="P881" i="1"/>
  <c r="O881" i="1"/>
  <c r="N881" i="1"/>
  <c r="M881" i="1"/>
  <c r="AE880" i="1"/>
  <c r="AD880" i="1"/>
  <c r="AC880" i="1"/>
  <c r="AB880" i="1"/>
  <c r="AA880" i="1"/>
  <c r="Z880" i="1"/>
  <c r="Y880" i="1"/>
  <c r="X880" i="1"/>
  <c r="W880" i="1"/>
  <c r="V880" i="1"/>
  <c r="U880" i="1"/>
  <c r="T880" i="1"/>
  <c r="S880" i="1"/>
  <c r="R880" i="1"/>
  <c r="Q880" i="1"/>
  <c r="P880" i="1"/>
  <c r="O880" i="1"/>
  <c r="N880" i="1"/>
  <c r="M880" i="1"/>
  <c r="AE879" i="1"/>
  <c r="AD879" i="1"/>
  <c r="AC879" i="1"/>
  <c r="AB879" i="1"/>
  <c r="AA879" i="1"/>
  <c r="Z879" i="1"/>
  <c r="Y879" i="1"/>
  <c r="X879" i="1"/>
  <c r="W879" i="1"/>
  <c r="V879" i="1"/>
  <c r="U879" i="1"/>
  <c r="T879" i="1"/>
  <c r="S879" i="1"/>
  <c r="R879" i="1"/>
  <c r="Q879" i="1"/>
  <c r="P879" i="1"/>
  <c r="O879" i="1"/>
  <c r="N879" i="1"/>
  <c r="M879" i="1"/>
  <c r="AE878" i="1"/>
  <c r="AD878" i="1"/>
  <c r="AC878" i="1"/>
  <c r="AB878" i="1"/>
  <c r="AA878" i="1"/>
  <c r="Z878" i="1"/>
  <c r="Y878" i="1"/>
  <c r="X878" i="1"/>
  <c r="W878" i="1"/>
  <c r="V878" i="1"/>
  <c r="U878" i="1"/>
  <c r="T878" i="1"/>
  <c r="S878" i="1"/>
  <c r="R878" i="1"/>
  <c r="Q878" i="1"/>
  <c r="P878" i="1"/>
  <c r="O878" i="1"/>
  <c r="N878" i="1"/>
  <c r="M878" i="1"/>
  <c r="AE877" i="1"/>
  <c r="AD877" i="1"/>
  <c r="AC877" i="1"/>
  <c r="AB877" i="1"/>
  <c r="AA877" i="1"/>
  <c r="Z877" i="1"/>
  <c r="Y877" i="1"/>
  <c r="X877" i="1"/>
  <c r="W877" i="1"/>
  <c r="V877" i="1"/>
  <c r="U877" i="1"/>
  <c r="T877" i="1"/>
  <c r="S877" i="1"/>
  <c r="R877" i="1"/>
  <c r="Q877" i="1"/>
  <c r="P877" i="1"/>
  <c r="O877" i="1"/>
  <c r="N877" i="1"/>
  <c r="M877" i="1"/>
  <c r="AE254" i="1"/>
  <c r="AD254" i="1"/>
  <c r="AC254" i="1"/>
  <c r="AB254" i="1"/>
  <c r="AA254" i="1"/>
  <c r="Z254" i="1"/>
  <c r="Y254" i="1"/>
  <c r="X254" i="1"/>
  <c r="W254" i="1"/>
  <c r="V254" i="1"/>
  <c r="U254" i="1"/>
  <c r="T254" i="1"/>
  <c r="S254" i="1"/>
  <c r="R254" i="1"/>
  <c r="Q254" i="1"/>
  <c r="P254" i="1"/>
  <c r="O254" i="1"/>
  <c r="N254" i="1"/>
  <c r="M254" i="1"/>
  <c r="AE253" i="1"/>
  <c r="AD253" i="1"/>
  <c r="AC253" i="1"/>
  <c r="AB253" i="1"/>
  <c r="AA253" i="1"/>
  <c r="Z253" i="1"/>
  <c r="Y253" i="1"/>
  <c r="X253" i="1"/>
  <c r="W253" i="1"/>
  <c r="V253" i="1"/>
  <c r="U253" i="1"/>
  <c r="T253" i="1"/>
  <c r="S253" i="1"/>
  <c r="R253" i="1"/>
  <c r="Q253" i="1"/>
  <c r="P253" i="1"/>
  <c r="O253" i="1"/>
  <c r="N253" i="1"/>
  <c r="M253" i="1"/>
  <c r="L254" i="1"/>
  <c r="L253" i="1"/>
  <c r="B1837" i="1"/>
  <c r="B1838" i="1" s="1"/>
  <c r="B1839" i="1" s="1"/>
  <c r="B1840" i="1" s="1"/>
  <c r="B1841" i="1" s="1"/>
  <c r="B1842" i="1" s="1"/>
  <c r="B1843" i="1" s="1"/>
  <c r="B1844" i="1" s="1"/>
  <c r="C1836" i="1"/>
  <c r="C137" i="1"/>
  <c r="C135" i="1"/>
  <c r="C134" i="1"/>
  <c r="C674" i="1"/>
  <c r="C1803" i="1" s="1"/>
  <c r="C689" i="1"/>
  <c r="C697" i="1" s="1"/>
  <c r="C1837" i="1" s="1"/>
  <c r="C682" i="1"/>
  <c r="C1811" i="1" s="1"/>
  <c r="C681" i="1"/>
  <c r="C1810" i="1" s="1"/>
  <c r="C680" i="1"/>
  <c r="C1809" i="1" s="1"/>
  <c r="C679" i="1"/>
  <c r="C1808" i="1" s="1"/>
  <c r="C678" i="1"/>
  <c r="C1807" i="1" s="1"/>
  <c r="C651" i="1"/>
  <c r="C649" i="1"/>
  <c r="C638" i="1"/>
  <c r="C648" i="1"/>
  <c r="C646" i="1"/>
  <c r="C693" i="1" s="1"/>
  <c r="C701" i="1" s="1"/>
  <c r="C1841" i="1" s="1"/>
  <c r="C634" i="1"/>
  <c r="C628" i="1"/>
  <c r="C627" i="1"/>
  <c r="C626" i="1"/>
  <c r="C624" i="1"/>
  <c r="C691" i="1" s="1"/>
  <c r="C699" i="1" s="1"/>
  <c r="C1839" i="1" s="1"/>
  <c r="C621" i="1"/>
  <c r="C620" i="1"/>
  <c r="C618" i="1"/>
  <c r="C690" i="1" s="1"/>
  <c r="C698" i="1" s="1"/>
  <c r="C1838" i="1" s="1"/>
  <c r="C614" i="1"/>
  <c r="C613" i="1"/>
  <c r="C657" i="1" s="1"/>
  <c r="C673" i="1" s="1"/>
  <c r="C1802" i="1" s="1"/>
  <c r="C576" i="1"/>
  <c r="C575" i="1"/>
  <c r="C574" i="1"/>
  <c r="C573" i="1"/>
  <c r="C572" i="1"/>
  <c r="C424" i="1"/>
  <c r="C473" i="1" s="1"/>
  <c r="C524" i="1" s="1"/>
  <c r="C373" i="1"/>
  <c r="C422" i="1" s="1"/>
  <c r="C471" i="1" s="1"/>
  <c r="C522" i="1" s="1"/>
  <c r="C372" i="1"/>
  <c r="C421" i="1" s="1"/>
  <c r="C470" i="1" s="1"/>
  <c r="C521" i="1" s="1"/>
  <c r="C371" i="1"/>
  <c r="C420" i="1" s="1"/>
  <c r="C469" i="1" s="1"/>
  <c r="C520" i="1" s="1"/>
  <c r="C370" i="1"/>
  <c r="C419" i="1" s="1"/>
  <c r="C468" i="1" s="1"/>
  <c r="C519" i="1" s="1"/>
  <c r="C369" i="1"/>
  <c r="C418" i="1" s="1"/>
  <c r="C467" i="1" s="1"/>
  <c r="C518" i="1" s="1"/>
  <c r="C368" i="1"/>
  <c r="C417" i="1" s="1"/>
  <c r="C466" i="1" s="1"/>
  <c r="C517" i="1" s="1"/>
  <c r="C367" i="1"/>
  <c r="C416" i="1" s="1"/>
  <c r="C465" i="1" s="1"/>
  <c r="C516" i="1" s="1"/>
  <c r="C366" i="1"/>
  <c r="C415" i="1" s="1"/>
  <c r="C464" i="1" s="1"/>
  <c r="C515" i="1" s="1"/>
  <c r="C364" i="1"/>
  <c r="C413" i="1" s="1"/>
  <c r="C462" i="1" s="1"/>
  <c r="C513" i="1" s="1"/>
  <c r="C567" i="1" s="1"/>
  <c r="C362" i="1"/>
  <c r="C411" i="1" s="1"/>
  <c r="C460" i="1" s="1"/>
  <c r="C511" i="1" s="1"/>
  <c r="C564" i="1" s="1"/>
  <c r="C361" i="1"/>
  <c r="C410" i="1" s="1"/>
  <c r="C459" i="1" s="1"/>
  <c r="C510" i="1" s="1"/>
  <c r="C563" i="1" s="1"/>
  <c r="C360" i="1"/>
  <c r="C409" i="1" s="1"/>
  <c r="C458" i="1" s="1"/>
  <c r="C509" i="1" s="1"/>
  <c r="C562" i="1" s="1"/>
  <c r="C359" i="1"/>
  <c r="C408" i="1" s="1"/>
  <c r="C457" i="1" s="1"/>
  <c r="C508" i="1" s="1"/>
  <c r="C561" i="1" s="1"/>
  <c r="C358" i="1"/>
  <c r="C407" i="1" s="1"/>
  <c r="C456" i="1" s="1"/>
  <c r="C507" i="1" s="1"/>
  <c r="C560" i="1" s="1"/>
  <c r="C357" i="1"/>
  <c r="C406" i="1" s="1"/>
  <c r="C455" i="1" s="1"/>
  <c r="C506" i="1" s="1"/>
  <c r="C559" i="1" s="1"/>
  <c r="C356" i="1"/>
  <c r="C405" i="1" s="1"/>
  <c r="C454" i="1" s="1"/>
  <c r="C505" i="1" s="1"/>
  <c r="C558" i="1" s="1"/>
  <c r="C355" i="1"/>
  <c r="C404" i="1" s="1"/>
  <c r="C453" i="1" s="1"/>
  <c r="C504" i="1" s="1"/>
  <c r="C557" i="1" s="1"/>
  <c r="C344" i="1"/>
  <c r="C393" i="1" s="1"/>
  <c r="C442" i="1" s="1"/>
  <c r="C493" i="1" s="1"/>
  <c r="C544" i="1" s="1"/>
  <c r="C339" i="1"/>
  <c r="C388" i="1" s="1"/>
  <c r="C437" i="1" s="1"/>
  <c r="C488" i="1" s="1"/>
  <c r="C538" i="1" s="1"/>
  <c r="C336" i="1"/>
  <c r="C386" i="1" s="1"/>
  <c r="C435" i="1" s="1"/>
  <c r="C486" i="1" s="1"/>
  <c r="C535" i="1" s="1"/>
  <c r="C335" i="1"/>
  <c r="C385" i="1" s="1"/>
  <c r="C434" i="1" s="1"/>
  <c r="C485" i="1" s="1"/>
  <c r="C534" i="1" s="1"/>
  <c r="C334" i="1"/>
  <c r="C384" i="1" s="1"/>
  <c r="C433" i="1" s="1"/>
  <c r="C484" i="1" s="1"/>
  <c r="C533" i="1" s="1"/>
  <c r="C333" i="1"/>
  <c r="C383" i="1" s="1"/>
  <c r="C432" i="1" s="1"/>
  <c r="C483" i="1" s="1"/>
  <c r="C532" i="1" s="1"/>
  <c r="C332" i="1"/>
  <c r="C382" i="1" s="1"/>
  <c r="C431" i="1" s="1"/>
  <c r="C482" i="1" s="1"/>
  <c r="C531" i="1" s="1"/>
  <c r="C331" i="1"/>
  <c r="C381" i="1" s="1"/>
  <c r="C430" i="1" s="1"/>
  <c r="C481" i="1" s="1"/>
  <c r="C530" i="1" s="1"/>
  <c r="C329" i="1"/>
  <c r="C379" i="1" s="1"/>
  <c r="C428" i="1" s="1"/>
  <c r="C479" i="1" s="1"/>
  <c r="C528" i="1" s="1"/>
  <c r="E321" i="1"/>
  <c r="E309" i="1"/>
  <c r="Q309" i="1" s="1"/>
  <c r="E255" i="1"/>
  <c r="T183" i="1"/>
  <c r="T181" i="1"/>
  <c r="T168" i="1"/>
  <c r="T180" i="1"/>
  <c r="T648" i="1" s="1"/>
  <c r="T176" i="1"/>
  <c r="T643" i="1" s="1"/>
  <c r="T174" i="1"/>
  <c r="W173" i="1"/>
  <c r="T172" i="1"/>
  <c r="T169" i="1"/>
  <c r="P162" i="1"/>
  <c r="P628" i="1" s="1"/>
  <c r="U161" i="1"/>
  <c r="AB160" i="1"/>
  <c r="AB156" i="1"/>
  <c r="AB621" i="1" s="1"/>
  <c r="AB155" i="1"/>
  <c r="L168" i="1"/>
  <c r="Y156" i="1"/>
  <c r="Y621" i="1" s="1"/>
  <c r="AB172" i="1"/>
  <c r="M621" i="1"/>
  <c r="AB162" i="1"/>
  <c r="AB628" i="1" s="1"/>
  <c r="U155" i="1"/>
  <c r="Q156" i="1"/>
  <c r="Q621" i="1" s="1"/>
  <c r="M155" i="1"/>
  <c r="AC156" i="1"/>
  <c r="AC621" i="1" s="1"/>
  <c r="Y155" i="1"/>
  <c r="U156" i="1"/>
  <c r="U621" i="1" s="1"/>
  <c r="P174" i="1"/>
  <c r="P180" i="1"/>
  <c r="P648" i="1" s="1"/>
  <c r="AE173" i="1"/>
  <c r="AA173" i="1"/>
  <c r="O173" i="1"/>
  <c r="AD173" i="1"/>
  <c r="R173" i="1"/>
  <c r="N173" i="1"/>
  <c r="U173" i="1"/>
  <c r="Q173" i="1"/>
  <c r="Q160" i="1"/>
  <c r="AC160" i="1"/>
  <c r="AE161" i="1"/>
  <c r="O161" i="1"/>
  <c r="R161" i="1"/>
  <c r="AE169" i="1"/>
  <c r="AA169" i="1"/>
  <c r="W169" i="1"/>
  <c r="S169" i="1"/>
  <c r="O169" i="1"/>
  <c r="AD169" i="1"/>
  <c r="Z169" i="1"/>
  <c r="V169" i="1"/>
  <c r="R169" i="1"/>
  <c r="N169" i="1"/>
  <c r="AC169" i="1"/>
  <c r="Y169" i="1"/>
  <c r="U169" i="1"/>
  <c r="Q169" i="1"/>
  <c r="M169" i="1"/>
  <c r="AE176" i="1"/>
  <c r="AE643" i="1" s="1"/>
  <c r="AA176" i="1"/>
  <c r="AA643" i="1" s="1"/>
  <c r="W176" i="1"/>
  <c r="W643" i="1" s="1"/>
  <c r="S176" i="1"/>
  <c r="S643" i="1" s="1"/>
  <c r="O176" i="1"/>
  <c r="O643" i="1" s="1"/>
  <c r="AD176" i="1"/>
  <c r="AD643" i="1" s="1"/>
  <c r="Z176" i="1"/>
  <c r="Z643" i="1" s="1"/>
  <c r="V176" i="1"/>
  <c r="V643" i="1" s="1"/>
  <c r="R176" i="1"/>
  <c r="R643" i="1" s="1"/>
  <c r="N176" i="1"/>
  <c r="N643" i="1" s="1"/>
  <c r="AC176" i="1"/>
  <c r="AC643" i="1" s="1"/>
  <c r="Y176" i="1"/>
  <c r="Y643" i="1" s="1"/>
  <c r="U176" i="1"/>
  <c r="U643" i="1" s="1"/>
  <c r="Q176" i="1"/>
  <c r="Q643" i="1" s="1"/>
  <c r="M176" i="1"/>
  <c r="M643" i="1" s="1"/>
  <c r="AE181" i="1"/>
  <c r="W181" i="1"/>
  <c r="S181" i="1"/>
  <c r="O181" i="1"/>
  <c r="Z181" i="1"/>
  <c r="V181" i="1"/>
  <c r="R181" i="1"/>
  <c r="AC181" i="1"/>
  <c r="Y181" i="1"/>
  <c r="U181" i="1"/>
  <c r="M181" i="1"/>
  <c r="R155" i="1"/>
  <c r="V155" i="1"/>
  <c r="N156" i="1"/>
  <c r="N621" i="1" s="1"/>
  <c r="R156" i="1"/>
  <c r="R621" i="1" s="1"/>
  <c r="V156" i="1"/>
  <c r="V621" i="1" s="1"/>
  <c r="Z156" i="1"/>
  <c r="Z621" i="1" s="1"/>
  <c r="AD156" i="1"/>
  <c r="AD621" i="1" s="1"/>
  <c r="N160" i="1"/>
  <c r="R160" i="1"/>
  <c r="V160" i="1"/>
  <c r="Z160" i="1"/>
  <c r="AD160" i="1"/>
  <c r="T161" i="1"/>
  <c r="X169" i="1"/>
  <c r="P172" i="1"/>
  <c r="AB173" i="1"/>
  <c r="X176" i="1"/>
  <c r="X643" i="1" s="1"/>
  <c r="P168" i="1"/>
  <c r="X181" i="1"/>
  <c r="AE167" i="1"/>
  <c r="O167" i="1"/>
  <c r="R167" i="1"/>
  <c r="U167" i="1"/>
  <c r="Y160" i="1"/>
  <c r="AE162" i="1"/>
  <c r="AE628" i="1" s="1"/>
  <c r="W162" i="1"/>
  <c r="W628" i="1" s="1"/>
  <c r="O162" i="1"/>
  <c r="O628" i="1" s="1"/>
  <c r="Z162" i="1"/>
  <c r="Z628" i="1" s="1"/>
  <c r="R162" i="1"/>
  <c r="R628" i="1" s="1"/>
  <c r="AC162" i="1"/>
  <c r="AC628" i="1" s="1"/>
  <c r="U162" i="1"/>
  <c r="U628" i="1" s="1"/>
  <c r="M162" i="1"/>
  <c r="M628" i="1" s="1"/>
  <c r="AD170" i="1"/>
  <c r="AE174" i="1"/>
  <c r="AA174" i="1"/>
  <c r="W174" i="1"/>
  <c r="S174" i="1"/>
  <c r="O174" i="1"/>
  <c r="AD174" i="1"/>
  <c r="Z174" i="1"/>
  <c r="V174" i="1"/>
  <c r="R174" i="1"/>
  <c r="N174" i="1"/>
  <c r="AC174" i="1"/>
  <c r="Y174" i="1"/>
  <c r="U174" i="1"/>
  <c r="Q174" i="1"/>
  <c r="M174" i="1"/>
  <c r="AE180" i="1"/>
  <c r="AE648" i="1" s="1"/>
  <c r="AA180" i="1"/>
  <c r="AA648" i="1" s="1"/>
  <c r="W180" i="1"/>
  <c r="W648" i="1" s="1"/>
  <c r="S180" i="1"/>
  <c r="S648" i="1" s="1"/>
  <c r="O180" i="1"/>
  <c r="O648" i="1" s="1"/>
  <c r="AD180" i="1"/>
  <c r="AD648" i="1" s="1"/>
  <c r="Z180" i="1"/>
  <c r="Z648" i="1" s="1"/>
  <c r="V180" i="1"/>
  <c r="V648" i="1" s="1"/>
  <c r="R180" i="1"/>
  <c r="R648" i="1" s="1"/>
  <c r="N180" i="1"/>
  <c r="N648" i="1" s="1"/>
  <c r="AC180" i="1"/>
  <c r="AC648" i="1" s="1"/>
  <c r="Y180" i="1"/>
  <c r="Y648" i="1" s="1"/>
  <c r="U180" i="1"/>
  <c r="U648" i="1" s="1"/>
  <c r="Q180" i="1"/>
  <c r="Q648" i="1" s="1"/>
  <c r="M180" i="1"/>
  <c r="M648" i="1" s="1"/>
  <c r="AE183" i="1"/>
  <c r="AA183" i="1"/>
  <c r="W183" i="1"/>
  <c r="S183" i="1"/>
  <c r="O183" i="1"/>
  <c r="AD183" i="1"/>
  <c r="Z183" i="1"/>
  <c r="V183" i="1"/>
  <c r="R183" i="1"/>
  <c r="N183" i="1"/>
  <c r="AC183" i="1"/>
  <c r="Y183" i="1"/>
  <c r="U183" i="1"/>
  <c r="Q183" i="1"/>
  <c r="M183" i="1"/>
  <c r="O155" i="1"/>
  <c r="S155" i="1"/>
  <c r="W155" i="1"/>
  <c r="AA155" i="1"/>
  <c r="AE155" i="1"/>
  <c r="O156" i="1"/>
  <c r="O621" i="1" s="1"/>
  <c r="S156" i="1"/>
  <c r="S621" i="1" s="1"/>
  <c r="W156" i="1"/>
  <c r="W621" i="1" s="1"/>
  <c r="AA156" i="1"/>
  <c r="AA621" i="1" s="1"/>
  <c r="AE156" i="1"/>
  <c r="AE621" i="1" s="1"/>
  <c r="O160" i="1"/>
  <c r="S160" i="1"/>
  <c r="W160" i="1"/>
  <c r="AA160" i="1"/>
  <c r="AE160" i="1"/>
  <c r="T162" i="1"/>
  <c r="T628" i="1" s="1"/>
  <c r="AB169" i="1"/>
  <c r="P173" i="1"/>
  <c r="X174" i="1"/>
  <c r="AB176" i="1"/>
  <c r="AB643" i="1" s="1"/>
  <c r="X180" i="1"/>
  <c r="X648" i="1" s="1"/>
  <c r="AB181" i="1"/>
  <c r="X183" i="1"/>
  <c r="M160" i="1"/>
  <c r="U160" i="1"/>
  <c r="X173" i="1"/>
  <c r="AE172" i="1"/>
  <c r="AA172" i="1"/>
  <c r="W172" i="1"/>
  <c r="S172" i="1"/>
  <c r="O172" i="1"/>
  <c r="AD172" i="1"/>
  <c r="Z172" i="1"/>
  <c r="V172" i="1"/>
  <c r="R172" i="1"/>
  <c r="N172" i="1"/>
  <c r="AC172" i="1"/>
  <c r="Y172" i="1"/>
  <c r="U172" i="1"/>
  <c r="Q172" i="1"/>
  <c r="M172" i="1"/>
  <c r="AE168" i="1"/>
  <c r="AA168" i="1"/>
  <c r="W168" i="1"/>
  <c r="S168" i="1"/>
  <c r="O168" i="1"/>
  <c r="AD168" i="1"/>
  <c r="Z168" i="1"/>
  <c r="V168" i="1"/>
  <c r="R168" i="1"/>
  <c r="N168" i="1"/>
  <c r="AC168" i="1"/>
  <c r="Y168" i="1"/>
  <c r="U168" i="1"/>
  <c r="Q168" i="1"/>
  <c r="M168" i="1"/>
  <c r="L155" i="1"/>
  <c r="P155" i="1"/>
  <c r="T155" i="1"/>
  <c r="X155" i="1"/>
  <c r="P156" i="1"/>
  <c r="P621" i="1" s="1"/>
  <c r="T156" i="1"/>
  <c r="T621" i="1" s="1"/>
  <c r="X156" i="1"/>
  <c r="X621" i="1" s="1"/>
  <c r="P160" i="1"/>
  <c r="T160" i="1"/>
  <c r="X160" i="1"/>
  <c r="X162" i="1"/>
  <c r="X628" i="1" s="1"/>
  <c r="P169" i="1"/>
  <c r="X172" i="1"/>
  <c r="T173" i="1"/>
  <c r="AB174" i="1"/>
  <c r="P176" i="1"/>
  <c r="P643" i="1" s="1"/>
  <c r="AB180" i="1"/>
  <c r="AB648" i="1" s="1"/>
  <c r="X168" i="1"/>
  <c r="P181" i="1"/>
  <c r="AB183" i="1"/>
  <c r="G19" i="41"/>
  <c r="C4" i="43"/>
  <c r="J37" i="4"/>
  <c r="I37" i="4"/>
  <c r="H37" i="4"/>
  <c r="G37" i="4"/>
  <c r="F37" i="4"/>
  <c r="E37" i="4"/>
  <c r="D37" i="4"/>
  <c r="M1051" i="1"/>
  <c r="L1051" i="1"/>
  <c r="G1241" i="1"/>
  <c r="E299" i="1"/>
  <c r="E293" i="1"/>
  <c r="E286" i="1"/>
  <c r="C579" i="1"/>
  <c r="C571" i="1"/>
  <c r="C554" i="1"/>
  <c r="C553" i="1"/>
  <c r="C552" i="1"/>
  <c r="C551" i="1"/>
  <c r="C353" i="1"/>
  <c r="C402" i="1" s="1"/>
  <c r="C451" i="1" s="1"/>
  <c r="C502" i="1" s="1"/>
  <c r="C352" i="1"/>
  <c r="C401" i="1" s="1"/>
  <c r="C450" i="1" s="1"/>
  <c r="C501" i="1" s="1"/>
  <c r="C351" i="1"/>
  <c r="C400" i="1" s="1"/>
  <c r="C449" i="1" s="1"/>
  <c r="C500" i="1" s="1"/>
  <c r="C350" i="1"/>
  <c r="C399" i="1" s="1"/>
  <c r="C448" i="1" s="1"/>
  <c r="C499" i="1" s="1"/>
  <c r="AE477" i="1"/>
  <c r="AD477" i="1"/>
  <c r="AC477" i="1"/>
  <c r="AB477" i="1"/>
  <c r="AA477" i="1"/>
  <c r="Z477" i="1"/>
  <c r="Y477" i="1"/>
  <c r="X477" i="1"/>
  <c r="W477" i="1"/>
  <c r="V477" i="1"/>
  <c r="U477" i="1"/>
  <c r="T477" i="1"/>
  <c r="S477" i="1"/>
  <c r="R477" i="1"/>
  <c r="Q477" i="1"/>
  <c r="P477" i="1"/>
  <c r="O477" i="1"/>
  <c r="N477" i="1"/>
  <c r="M477" i="1"/>
  <c r="L477" i="1"/>
  <c r="B87" i="4"/>
  <c r="B85" i="4"/>
  <c r="B84" i="4"/>
  <c r="B80" i="4"/>
  <c r="B79" i="4"/>
  <c r="B78" i="4"/>
  <c r="B76" i="4"/>
  <c r="B75" i="4"/>
  <c r="B74" i="4"/>
  <c r="B73" i="4"/>
  <c r="B72" i="4"/>
  <c r="B71" i="4"/>
  <c r="B70" i="4"/>
  <c r="B69" i="4"/>
  <c r="B62" i="4"/>
  <c r="B61" i="4"/>
  <c r="B59" i="4"/>
  <c r="B55" i="4"/>
  <c r="B53" i="4"/>
  <c r="B52" i="4"/>
  <c r="B51" i="4"/>
  <c r="B49" i="4"/>
  <c r="B47" i="4"/>
  <c r="B46" i="4"/>
  <c r="B19" i="4"/>
  <c r="B39" i="4"/>
  <c r="B37" i="4"/>
  <c r="B35" i="4"/>
  <c r="B34" i="4"/>
  <c r="B22" i="4"/>
  <c r="B21" i="4"/>
  <c r="B20" i="4"/>
  <c r="B17" i="4"/>
  <c r="B16" i="4"/>
  <c r="B14" i="4"/>
  <c r="B13" i="4"/>
  <c r="B12" i="4"/>
  <c r="B10" i="4"/>
  <c r="B9" i="4"/>
  <c r="F2" i="4"/>
  <c r="C256" i="3"/>
  <c r="N256" i="3" s="1"/>
  <c r="C255" i="3"/>
  <c r="N255" i="3" s="1"/>
  <c r="C254" i="3"/>
  <c r="N254" i="3" s="1"/>
  <c r="B256" i="3"/>
  <c r="B262" i="3" s="1"/>
  <c r="B255" i="3"/>
  <c r="B261" i="3" s="1"/>
  <c r="B254" i="3"/>
  <c r="B260" i="3" s="1"/>
  <c r="E252" i="3"/>
  <c r="F252" i="3" s="1"/>
  <c r="G252" i="3" s="1"/>
  <c r="D218" i="3"/>
  <c r="B223" i="3"/>
  <c r="B229" i="3" s="1"/>
  <c r="B222" i="3"/>
  <c r="B228" i="3" s="1"/>
  <c r="B221" i="3"/>
  <c r="B227" i="3" s="1"/>
  <c r="B220" i="3"/>
  <c r="B226" i="3" s="1"/>
  <c r="B190" i="3"/>
  <c r="B196" i="3" s="1"/>
  <c r="B189" i="3"/>
  <c r="B195" i="3" s="1"/>
  <c r="B188" i="3"/>
  <c r="B194" i="3" s="1"/>
  <c r="B187" i="3"/>
  <c r="B193" i="3" s="1"/>
  <c r="E185" i="3"/>
  <c r="F185" i="3" s="1"/>
  <c r="G185" i="3" s="1"/>
  <c r="R185" i="3" s="1"/>
  <c r="C190" i="3"/>
  <c r="C189" i="3"/>
  <c r="C222" i="3" s="1"/>
  <c r="C188" i="3"/>
  <c r="C221" i="3" s="1"/>
  <c r="C187" i="3"/>
  <c r="C220" i="3" s="1"/>
  <c r="D889" i="1"/>
  <c r="D14" i="1"/>
  <c r="D791" i="1"/>
  <c r="B100" i="3"/>
  <c r="B173" i="3" s="1"/>
  <c r="B99" i="3"/>
  <c r="B172" i="3" s="1"/>
  <c r="B97" i="3"/>
  <c r="B170" i="3" s="1"/>
  <c r="B94" i="3"/>
  <c r="B167" i="3" s="1"/>
  <c r="B93" i="3"/>
  <c r="B166" i="3" s="1"/>
  <c r="B92" i="3"/>
  <c r="B165" i="3" s="1"/>
  <c r="B90" i="3"/>
  <c r="B163" i="3" s="1"/>
  <c r="B89" i="3"/>
  <c r="B162" i="3" s="1"/>
  <c r="B87" i="3"/>
  <c r="B160" i="3" s="1"/>
  <c r="B83" i="3"/>
  <c r="B157" i="3" s="1"/>
  <c r="B82" i="3"/>
  <c r="B156" i="3" s="1"/>
  <c r="B81" i="3"/>
  <c r="B155" i="3" s="1"/>
  <c r="B80" i="3"/>
  <c r="B154" i="3" s="1"/>
  <c r="B79" i="3"/>
  <c r="B153" i="3" s="1"/>
  <c r="B78" i="3"/>
  <c r="B152" i="3" s="1"/>
  <c r="B77" i="3"/>
  <c r="B151" i="3" s="1"/>
  <c r="J3" i="1"/>
  <c r="B1802" i="1"/>
  <c r="B1803" i="1" s="1"/>
  <c r="B1804" i="1" s="1"/>
  <c r="B1805" i="1" s="1"/>
  <c r="B1806" i="1" s="1"/>
  <c r="B1807" i="1" s="1"/>
  <c r="B1808" i="1" s="1"/>
  <c r="B1809" i="1" s="1"/>
  <c r="B1810" i="1" s="1"/>
  <c r="B1811" i="1" s="1"/>
  <c r="B1812" i="1" s="1"/>
  <c r="B1813" i="1" s="1"/>
  <c r="B1814" i="1" s="1"/>
  <c r="I1146" i="1"/>
  <c r="I1140" i="1"/>
  <c r="I1136" i="1"/>
  <c r="I1124" i="1"/>
  <c r="I1116" i="1"/>
  <c r="I1101" i="1"/>
  <c r="I1092" i="1"/>
  <c r="I1081" i="1"/>
  <c r="I1045" i="1"/>
  <c r="E980" i="1"/>
  <c r="AE68" i="1"/>
  <c r="AD68" i="1"/>
  <c r="AC68" i="1"/>
  <c r="AB68" i="1"/>
  <c r="AA68" i="1"/>
  <c r="Z68" i="1"/>
  <c r="Y68" i="1"/>
  <c r="X68" i="1"/>
  <c r="W68" i="1"/>
  <c r="V68" i="1"/>
  <c r="U68" i="1"/>
  <c r="T68" i="1"/>
  <c r="S68" i="1"/>
  <c r="R68" i="1"/>
  <c r="Q68" i="1"/>
  <c r="P68" i="1"/>
  <c r="O68" i="1"/>
  <c r="N68" i="1"/>
  <c r="M68" i="1"/>
  <c r="L68" i="1"/>
  <c r="E1435" i="1"/>
  <c r="E1428" i="1"/>
  <c r="E1427" i="1"/>
  <c r="J1" i="1"/>
  <c r="G1588" i="1"/>
  <c r="G1589" i="1" s="1"/>
  <c r="G1590" i="1" s="1"/>
  <c r="G1591" i="1" s="1"/>
  <c r="G1592" i="1" s="1"/>
  <c r="G1593" i="1" s="1"/>
  <c r="G1594" i="1" s="1"/>
  <c r="G1595" i="1" s="1"/>
  <c r="G1596" i="1" s="1"/>
  <c r="G1597" i="1" s="1"/>
  <c r="G1598" i="1" s="1"/>
  <c r="G1599" i="1" s="1"/>
  <c r="G1600" i="1" s="1"/>
  <c r="G1601" i="1" s="1"/>
  <c r="G1602" i="1" s="1"/>
  <c r="G1603" i="1" s="1"/>
  <c r="G1604" i="1" s="1"/>
  <c r="G1605" i="1" s="1"/>
  <c r="G1606" i="1" s="1"/>
  <c r="G1607" i="1" s="1"/>
  <c r="G1608" i="1" s="1"/>
  <c r="G1609" i="1" s="1"/>
  <c r="J1585" i="1"/>
  <c r="K1585" i="1" s="1"/>
  <c r="L1585" i="1" s="1"/>
  <c r="M1585" i="1" s="1"/>
  <c r="N1585" i="1" s="1"/>
  <c r="O1585" i="1" s="1"/>
  <c r="P1585" i="1" s="1"/>
  <c r="Q1585" i="1" s="1"/>
  <c r="R1585" i="1" s="1"/>
  <c r="S1585" i="1" s="1"/>
  <c r="T1585" i="1" s="1"/>
  <c r="U1585" i="1" s="1"/>
  <c r="V1585" i="1" s="1"/>
  <c r="W1585" i="1" s="1"/>
  <c r="X1585" i="1" s="1"/>
  <c r="Y1585" i="1" s="1"/>
  <c r="Z1585" i="1" s="1"/>
  <c r="AA1585" i="1" s="1"/>
  <c r="AB1585" i="1" s="1"/>
  <c r="AC1585" i="1" s="1"/>
  <c r="AD1585" i="1" s="1"/>
  <c r="AE1585" i="1" s="1"/>
  <c r="C1473" i="1"/>
  <c r="C1478" i="1" s="1"/>
  <c r="C1487" i="1" s="1"/>
  <c r="B289" i="3" s="1"/>
  <c r="M289" i="3" s="1"/>
  <c r="C1472" i="1"/>
  <c r="C1477" i="1" s="1"/>
  <c r="C1486" i="1" s="1"/>
  <c r="B288" i="3" s="1"/>
  <c r="M288" i="3" s="1"/>
  <c r="C1471" i="1"/>
  <c r="C1476" i="1" s="1"/>
  <c r="C1485" i="1" s="1"/>
  <c r="B287" i="3" s="1"/>
  <c r="M287" i="3" s="1"/>
  <c r="H1454" i="1"/>
  <c r="C672" i="1"/>
  <c r="C1801" i="1" s="1"/>
  <c r="I1363" i="1"/>
  <c r="I1356" i="1"/>
  <c r="I1321" i="1"/>
  <c r="I1246" i="1"/>
  <c r="C797" i="1"/>
  <c r="C796" i="1"/>
  <c r="C795" i="1"/>
  <c r="C794" i="1"/>
  <c r="C793" i="1"/>
  <c r="C694" i="1"/>
  <c r="C702" i="1" s="1"/>
  <c r="C686" i="1"/>
  <c r="C677" i="1"/>
  <c r="C1806" i="1" s="1"/>
  <c r="C570" i="1"/>
  <c r="C569" i="1"/>
  <c r="C568" i="1"/>
  <c r="C365" i="1"/>
  <c r="C414" i="1" s="1"/>
  <c r="C463" i="1" s="1"/>
  <c r="C514" i="1" s="1"/>
  <c r="C348" i="1"/>
  <c r="C397" i="1" s="1"/>
  <c r="C446" i="1" s="1"/>
  <c r="C497" i="1" s="1"/>
  <c r="C548" i="1" s="1"/>
  <c r="C347" i="1"/>
  <c r="C396" i="1" s="1"/>
  <c r="C445" i="1" s="1"/>
  <c r="C496" i="1" s="1"/>
  <c r="C547" i="1" s="1"/>
  <c r="C346" i="1"/>
  <c r="C395" i="1" s="1"/>
  <c r="C444" i="1" s="1"/>
  <c r="C495" i="1" s="1"/>
  <c r="C546" i="1" s="1"/>
  <c r="C345" i="1"/>
  <c r="C394" i="1" s="1"/>
  <c r="C443" i="1" s="1"/>
  <c r="C494" i="1" s="1"/>
  <c r="C545" i="1" s="1"/>
  <c r="C342" i="1"/>
  <c r="C391" i="1" s="1"/>
  <c r="C440" i="1" s="1"/>
  <c r="C491" i="1" s="1"/>
  <c r="C541" i="1" s="1"/>
  <c r="C341" i="1"/>
  <c r="C390" i="1" s="1"/>
  <c r="C439" i="1" s="1"/>
  <c r="C490" i="1" s="1"/>
  <c r="C540" i="1" s="1"/>
  <c r="C340" i="1"/>
  <c r="C389" i="1" s="1"/>
  <c r="C438" i="1" s="1"/>
  <c r="C489" i="1" s="1"/>
  <c r="C539" i="1" s="1"/>
  <c r="C330" i="1"/>
  <c r="C380" i="1" s="1"/>
  <c r="C429" i="1" s="1"/>
  <c r="C480" i="1" s="1"/>
  <c r="C529" i="1" s="1"/>
  <c r="B91" i="1"/>
  <c r="E78" i="1"/>
  <c r="C1857" i="1"/>
  <c r="B57" i="3" s="1"/>
  <c r="C1845" i="1"/>
  <c r="C676" i="1"/>
  <c r="C1805" i="1" s="1"/>
  <c r="J1389" i="1"/>
  <c r="J1427" i="1" s="1"/>
  <c r="E2" i="49"/>
  <c r="I1389" i="1"/>
  <c r="I1391" i="1" s="1"/>
  <c r="I1432" i="1" s="1"/>
  <c r="E2" i="4"/>
  <c r="Q181" i="1"/>
  <c r="N181" i="1"/>
  <c r="AD181" i="1"/>
  <c r="AA181" i="1"/>
  <c r="T170" i="1"/>
  <c r="P170" i="1"/>
  <c r="W170" i="1"/>
  <c r="Z170" i="1"/>
  <c r="AC170" i="1"/>
  <c r="M170" i="1"/>
  <c r="AB170" i="1"/>
  <c r="S170" i="1"/>
  <c r="V170" i="1"/>
  <c r="Y170" i="1"/>
  <c r="AE170" i="1"/>
  <c r="O170" i="1"/>
  <c r="R170" i="1"/>
  <c r="U170" i="1"/>
  <c r="AA170" i="1"/>
  <c r="Q170" i="1"/>
  <c r="P161" i="1"/>
  <c r="AA161" i="1"/>
  <c r="AD161" i="1"/>
  <c r="N161" i="1"/>
  <c r="Q161" i="1"/>
  <c r="W161" i="1"/>
  <c r="Z161" i="1"/>
  <c r="AC161" i="1"/>
  <c r="M161" i="1"/>
  <c r="X161" i="1"/>
  <c r="S161" i="1"/>
  <c r="V161" i="1"/>
  <c r="Y161" i="1"/>
  <c r="AB161" i="1"/>
  <c r="AB167" i="1"/>
  <c r="AA167" i="1"/>
  <c r="AD167" i="1"/>
  <c r="N167" i="1"/>
  <c r="Q167" i="1"/>
  <c r="P167" i="1"/>
  <c r="W167" i="1"/>
  <c r="Z167" i="1"/>
  <c r="AC167" i="1"/>
  <c r="M167" i="1"/>
  <c r="T167" i="1"/>
  <c r="X167" i="1"/>
  <c r="S167" i="1"/>
  <c r="V167" i="1"/>
  <c r="Y167" i="1"/>
  <c r="X170" i="1"/>
  <c r="N170" i="1"/>
  <c r="Q162" i="1"/>
  <c r="Q628" i="1" s="1"/>
  <c r="Y162" i="1"/>
  <c r="Y628" i="1" s="1"/>
  <c r="N162" i="1"/>
  <c r="N628" i="1" s="1"/>
  <c r="V162" i="1"/>
  <c r="V628" i="1" s="1"/>
  <c r="AD162" i="1"/>
  <c r="AD628" i="1" s="1"/>
  <c r="S162" i="1"/>
  <c r="S628" i="1" s="1"/>
  <c r="AA162" i="1"/>
  <c r="AA628" i="1" s="1"/>
  <c r="AD155" i="1"/>
  <c r="N155" i="1"/>
  <c r="Y173" i="1"/>
  <c r="V173" i="1"/>
  <c r="S173" i="1"/>
  <c r="P183" i="1"/>
  <c r="AB168" i="1"/>
  <c r="Z155" i="1"/>
  <c r="M173" i="1"/>
  <c r="AC173" i="1"/>
  <c r="Z173" i="1"/>
  <c r="AC155" i="1"/>
  <c r="Q155" i="1"/>
  <c r="D51" i="43"/>
  <c r="E51" i="43" s="1"/>
  <c r="D47" i="43"/>
  <c r="E47" i="43" s="1"/>
  <c r="D43" i="43"/>
  <c r="E43" i="43" s="1"/>
  <c r="D36" i="43"/>
  <c r="E36" i="43" s="1"/>
  <c r="D28" i="43"/>
  <c r="E28" i="43" s="1"/>
  <c r="D21" i="43"/>
  <c r="D44" i="43"/>
  <c r="E44" i="43" s="1"/>
  <c r="F44" i="43" s="1"/>
  <c r="D33" i="43"/>
  <c r="E33" i="43" s="1"/>
  <c r="D50" i="43"/>
  <c r="D46" i="43"/>
  <c r="E46" i="43" s="1"/>
  <c r="F46" i="43" s="1"/>
  <c r="D39" i="43"/>
  <c r="E39" i="43" s="1"/>
  <c r="D35" i="43"/>
  <c r="D27" i="43"/>
  <c r="E27" i="43" s="1"/>
  <c r="D20" i="43"/>
  <c r="D49" i="43"/>
  <c r="E49" i="43" s="1"/>
  <c r="F49" i="43" s="1"/>
  <c r="D45" i="43"/>
  <c r="E45" i="43" s="1"/>
  <c r="F45" i="43" s="1"/>
  <c r="D38" i="43"/>
  <c r="E38" i="43" s="1"/>
  <c r="D34" i="43"/>
  <c r="E34" i="43" s="1"/>
  <c r="D23" i="43"/>
  <c r="E23" i="43" s="1"/>
  <c r="F23" i="43" s="1"/>
  <c r="D48" i="43"/>
  <c r="E48" i="43" s="1"/>
  <c r="F48" i="43" s="1"/>
  <c r="D37" i="43"/>
  <c r="E37" i="43" s="1"/>
  <c r="D22" i="43"/>
  <c r="E22" i="43" s="1"/>
  <c r="E145" i="53" l="1"/>
  <c r="I145" i="53" s="1"/>
  <c r="D145" i="1"/>
  <c r="E7" i="46"/>
  <c r="E218" i="3"/>
  <c r="P324" i="3"/>
  <c r="Q324" i="3" s="1"/>
  <c r="AB34" i="50"/>
  <c r="P252" i="3"/>
  <c r="K22" i="45"/>
  <c r="K26" i="45" s="1"/>
  <c r="R252" i="3"/>
  <c r="H252" i="3"/>
  <c r="I252" i="3" s="1"/>
  <c r="T252" i="3" s="1"/>
  <c r="P185" i="3"/>
  <c r="M841" i="1"/>
  <c r="W36" i="50"/>
  <c r="AB36" i="50" s="1"/>
  <c r="X35" i="50"/>
  <c r="Y35" i="50" s="1"/>
  <c r="Z35" i="50" s="1"/>
  <c r="J1526" i="1"/>
  <c r="J1522" i="1"/>
  <c r="J1527" i="1"/>
  <c r="J1528" i="1"/>
  <c r="J1523" i="1"/>
  <c r="J1524" i="1"/>
  <c r="J926" i="1"/>
  <c r="M96" i="1"/>
  <c r="M103" i="1" s="1"/>
  <c r="M117" i="1" s="1"/>
  <c r="E849" i="1"/>
  <c r="R849" i="1" s="1"/>
  <c r="E849" i="53"/>
  <c r="D390" i="3"/>
  <c r="D373" i="3"/>
  <c r="M42" i="45"/>
  <c r="D389" i="3"/>
  <c r="D372" i="3"/>
  <c r="Q252" i="3"/>
  <c r="Q96" i="1"/>
  <c r="Q103" i="1" s="1"/>
  <c r="Q117" i="1" s="1"/>
  <c r="D387" i="3"/>
  <c r="D370" i="3"/>
  <c r="K36" i="45"/>
  <c r="K38" i="45"/>
  <c r="K34" i="45"/>
  <c r="K39" i="45"/>
  <c r="E17" i="53"/>
  <c r="E14" i="53" s="1"/>
  <c r="P286" i="3"/>
  <c r="D388" i="3"/>
  <c r="D371" i="3"/>
  <c r="E852" i="1"/>
  <c r="V852" i="1" s="1"/>
  <c r="E852" i="53"/>
  <c r="AA855" i="1"/>
  <c r="J915" i="1"/>
  <c r="J925" i="1"/>
  <c r="U210" i="1"/>
  <c r="I210" i="1"/>
  <c r="J210" i="1"/>
  <c r="P309" i="1"/>
  <c r="I309" i="1"/>
  <c r="I325" i="1" s="1"/>
  <c r="J309" i="1"/>
  <c r="J325" i="1" s="1"/>
  <c r="L175" i="1"/>
  <c r="I175" i="1"/>
  <c r="J175" i="1"/>
  <c r="E175" i="53"/>
  <c r="AB96" i="1"/>
  <c r="AB103" i="1" s="1"/>
  <c r="AB117" i="1" s="1"/>
  <c r="J96" i="1"/>
  <c r="I96" i="1"/>
  <c r="K212" i="1"/>
  <c r="J212" i="1"/>
  <c r="I212" i="1"/>
  <c r="L202" i="1"/>
  <c r="I202" i="1"/>
  <c r="J202" i="1"/>
  <c r="P205" i="1"/>
  <c r="J205" i="1"/>
  <c r="I205" i="1"/>
  <c r="C1110" i="1"/>
  <c r="E980" i="53"/>
  <c r="K171" i="1"/>
  <c r="I171" i="1"/>
  <c r="J171" i="1"/>
  <c r="E171" i="53"/>
  <c r="M145" i="53"/>
  <c r="M191" i="53" s="1"/>
  <c r="K145" i="53"/>
  <c r="K191" i="53" s="1"/>
  <c r="N145" i="53"/>
  <c r="N191" i="53" s="1"/>
  <c r="J145" i="53"/>
  <c r="J191" i="53" s="1"/>
  <c r="U145" i="53"/>
  <c r="U191" i="53" s="1"/>
  <c r="R145" i="53"/>
  <c r="R191" i="53" s="1"/>
  <c r="P145" i="53"/>
  <c r="P191" i="53" s="1"/>
  <c r="V145" i="53"/>
  <c r="V191" i="53" s="1"/>
  <c r="S145" i="53"/>
  <c r="S191" i="53" s="1"/>
  <c r="Q145" i="53"/>
  <c r="Q191" i="53" s="1"/>
  <c r="L145" i="53"/>
  <c r="L191" i="53" s="1"/>
  <c r="O145" i="53"/>
  <c r="O191" i="53" s="1"/>
  <c r="T145" i="53"/>
  <c r="T191" i="53" s="1"/>
  <c r="X220" i="1"/>
  <c r="I220" i="1"/>
  <c r="J220" i="1"/>
  <c r="I209" i="1"/>
  <c r="J209" i="1"/>
  <c r="K203" i="1"/>
  <c r="J203" i="1"/>
  <c r="I203" i="1"/>
  <c r="K3" i="1"/>
  <c r="R856" i="1"/>
  <c r="U96" i="1"/>
  <c r="U103" i="1" s="1"/>
  <c r="U117" i="1" s="1"/>
  <c r="Y96" i="1"/>
  <c r="Y103" i="1" s="1"/>
  <c r="Y117" i="1" s="1"/>
  <c r="X205" i="1"/>
  <c r="Q863" i="1"/>
  <c r="AB175" i="1"/>
  <c r="AB642" i="1" s="1"/>
  <c r="AB666" i="1" s="1"/>
  <c r="N96" i="1"/>
  <c r="N100" i="1" s="1"/>
  <c r="R96" i="1"/>
  <c r="R103" i="1" s="1"/>
  <c r="R117" i="1" s="1"/>
  <c r="V96" i="1"/>
  <c r="V103" i="1" s="1"/>
  <c r="V117" i="1" s="1"/>
  <c r="Z96" i="1"/>
  <c r="Z100" i="1" s="1"/>
  <c r="AD96" i="1"/>
  <c r="AD103" i="1" s="1"/>
  <c r="AD117" i="1" s="1"/>
  <c r="K96" i="1"/>
  <c r="Y205" i="1"/>
  <c r="Q175" i="1"/>
  <c r="Q642" i="1" s="1"/>
  <c r="Q666" i="1" s="1"/>
  <c r="O96" i="1"/>
  <c r="O103" i="1" s="1"/>
  <c r="O117" i="1" s="1"/>
  <c r="S96" i="1"/>
  <c r="S100" i="1" s="1"/>
  <c r="S108" i="1" s="1"/>
  <c r="W96" i="1"/>
  <c r="W103" i="1" s="1"/>
  <c r="W117" i="1" s="1"/>
  <c r="AA96" i="1"/>
  <c r="AA103" i="1" s="1"/>
  <c r="AA117" i="1" s="1"/>
  <c r="AE96" i="1"/>
  <c r="AE103" i="1" s="1"/>
  <c r="AE117" i="1" s="1"/>
  <c r="M102" i="1"/>
  <c r="M112" i="1" s="1"/>
  <c r="AC309" i="1"/>
  <c r="Y175" i="1"/>
  <c r="Y642" i="1" s="1"/>
  <c r="Y666" i="1" s="1"/>
  <c r="C1039" i="1"/>
  <c r="V175" i="1"/>
  <c r="V642" i="1" s="1"/>
  <c r="V666" i="1" s="1"/>
  <c r="L96" i="1"/>
  <c r="P96" i="1"/>
  <c r="P102" i="1" s="1"/>
  <c r="P112" i="1" s="1"/>
  <c r="T96" i="1"/>
  <c r="T103" i="1" s="1"/>
  <c r="T117" i="1" s="1"/>
  <c r="X96" i="1"/>
  <c r="X103" i="1" s="1"/>
  <c r="X117" i="1" s="1"/>
  <c r="Q210" i="1"/>
  <c r="S856" i="1"/>
  <c r="X844" i="1"/>
  <c r="P836" i="1"/>
  <c r="AA836" i="1"/>
  <c r="V836" i="1"/>
  <c r="T889" i="1"/>
  <c r="X889" i="1"/>
  <c r="V889" i="1"/>
  <c r="Z889" i="1"/>
  <c r="Z844" i="1"/>
  <c r="P844" i="1"/>
  <c r="X34" i="50"/>
  <c r="Y34" i="50" s="1"/>
  <c r="Z34" i="50" s="1"/>
  <c r="AA34" i="50" s="1"/>
  <c r="F22" i="45"/>
  <c r="E22" i="45" s="1"/>
  <c r="E8" i="46"/>
  <c r="D9" i="46"/>
  <c r="G286" i="3"/>
  <c r="Q286" i="3"/>
  <c r="H185" i="3"/>
  <c r="G218" i="3"/>
  <c r="Q334" i="3"/>
  <c r="Q345" i="3" s="1"/>
  <c r="Q355" i="3" s="1"/>
  <c r="R324" i="3"/>
  <c r="F218" i="3"/>
  <c r="Q185" i="3"/>
  <c r="AB35" i="50"/>
  <c r="T861" i="1"/>
  <c r="Q171" i="1"/>
  <c r="Q638" i="1" s="1"/>
  <c r="T856" i="1"/>
  <c r="Q856" i="1"/>
  <c r="L299" i="1"/>
  <c r="AD856" i="1"/>
  <c r="Y856" i="1"/>
  <c r="AB255" i="1"/>
  <c r="AB926" i="1" s="1"/>
  <c r="W889" i="1"/>
  <c r="N1051" i="1"/>
  <c r="V309" i="1"/>
  <c r="R309" i="1"/>
  <c r="AE175" i="1"/>
  <c r="AE642" i="1" s="1"/>
  <c r="AE666" i="1" s="1"/>
  <c r="R175" i="1"/>
  <c r="R642" i="1" s="1"/>
  <c r="R666" i="1" s="1"/>
  <c r="M175" i="1"/>
  <c r="M642" i="1" s="1"/>
  <c r="M666" i="1" s="1"/>
  <c r="X175" i="1"/>
  <c r="X642" i="1" s="1"/>
  <c r="X666" i="1" s="1"/>
  <c r="AD175" i="1"/>
  <c r="AD642" i="1" s="1"/>
  <c r="AD666" i="1" s="1"/>
  <c r="E104" i="1"/>
  <c r="H1457" i="1"/>
  <c r="D2" i="4"/>
  <c r="D2" i="49"/>
  <c r="K309" i="1"/>
  <c r="T175" i="1"/>
  <c r="T642" i="1" s="1"/>
  <c r="T666" i="1" s="1"/>
  <c r="O175" i="1"/>
  <c r="O642" i="1" s="1"/>
  <c r="O666" i="1" s="1"/>
  <c r="N175" i="1"/>
  <c r="N642" i="1" s="1"/>
  <c r="N666" i="1" s="1"/>
  <c r="P175" i="1"/>
  <c r="P642" i="1" s="1"/>
  <c r="P666" i="1" s="1"/>
  <c r="AD662" i="1"/>
  <c r="Q102" i="1"/>
  <c r="Q112" i="1" s="1"/>
  <c r="O309" i="1"/>
  <c r="W175" i="1"/>
  <c r="W642" i="1" s="1"/>
  <c r="W666" i="1" s="1"/>
  <c r="S175" i="1"/>
  <c r="S642" i="1" s="1"/>
  <c r="S666" i="1" s="1"/>
  <c r="AC175" i="1"/>
  <c r="AC642" i="1" s="1"/>
  <c r="AC666" i="1" s="1"/>
  <c r="AA175" i="1"/>
  <c r="AA642" i="1" s="1"/>
  <c r="AA666" i="1" s="1"/>
  <c r="Z175" i="1"/>
  <c r="Z642" i="1" s="1"/>
  <c r="Z666" i="1" s="1"/>
  <c r="AC113" i="1"/>
  <c r="AC112" i="1"/>
  <c r="AE856" i="1"/>
  <c r="U841" i="1"/>
  <c r="G17" i="46"/>
  <c r="H17" i="46" s="1"/>
  <c r="F8" i="43"/>
  <c r="G63" i="46"/>
  <c r="H63" i="46" s="1"/>
  <c r="K1206" i="1"/>
  <c r="L2" i="1"/>
  <c r="L1389" i="1" s="1"/>
  <c r="G49" i="46"/>
  <c r="H49" i="46" s="1"/>
  <c r="AC220" i="1"/>
  <c r="F2" i="49"/>
  <c r="K1389" i="1"/>
  <c r="K1427" i="1" s="1"/>
  <c r="G34" i="46"/>
  <c r="H34" i="46" s="1"/>
  <c r="Q255" i="1"/>
  <c r="Q926" i="1" s="1"/>
  <c r="S889" i="1"/>
  <c r="F37" i="43"/>
  <c r="M309" i="1"/>
  <c r="Y309" i="1"/>
  <c r="U309" i="1"/>
  <c r="X309" i="1"/>
  <c r="N309" i="1"/>
  <c r="AA309" i="1"/>
  <c r="Z171" i="1"/>
  <c r="Z638" i="1" s="1"/>
  <c r="K175" i="1"/>
  <c r="F5" i="43"/>
  <c r="W309" i="1"/>
  <c r="AB309" i="1"/>
  <c r="T309" i="1"/>
  <c r="L309" i="1"/>
  <c r="T171" i="1"/>
  <c r="T638" i="1" s="1"/>
  <c r="AC171" i="1"/>
  <c r="AC638" i="1" s="1"/>
  <c r="L255" i="1"/>
  <c r="P255" i="1"/>
  <c r="P926" i="1" s="1"/>
  <c r="X255" i="1"/>
  <c r="X926" i="1" s="1"/>
  <c r="M889" i="1"/>
  <c r="Q889" i="1"/>
  <c r="U889" i="1"/>
  <c r="Y889" i="1"/>
  <c r="AC889" i="1"/>
  <c r="O889" i="1"/>
  <c r="AA889" i="1"/>
  <c r="AE889" i="1"/>
  <c r="Z309" i="1"/>
  <c r="S309" i="1"/>
  <c r="AD309" i="1"/>
  <c r="AE309" i="1"/>
  <c r="U171" i="1"/>
  <c r="U638" i="1" s="1"/>
  <c r="E325" i="1"/>
  <c r="S203" i="1"/>
  <c r="N662" i="1"/>
  <c r="V255" i="1"/>
  <c r="V926" i="1" s="1"/>
  <c r="C11" i="43"/>
  <c r="AA851" i="1"/>
  <c r="AE839" i="1"/>
  <c r="V858" i="1"/>
  <c r="R858" i="1"/>
  <c r="Q858" i="1"/>
  <c r="AE858" i="1"/>
  <c r="AC839" i="1"/>
  <c r="AA858" i="1"/>
  <c r="W858" i="1"/>
  <c r="U858" i="1"/>
  <c r="T858" i="1"/>
  <c r="S858" i="1"/>
  <c r="M858" i="1"/>
  <c r="AD858" i="1"/>
  <c r="AC858" i="1"/>
  <c r="AB858" i="1"/>
  <c r="AA835" i="1"/>
  <c r="Z843" i="1"/>
  <c r="X858" i="1"/>
  <c r="V839" i="1"/>
  <c r="O835" i="1"/>
  <c r="Z858" i="1"/>
  <c r="Y858" i="1"/>
  <c r="W843" i="1"/>
  <c r="P858" i="1"/>
  <c r="O858" i="1"/>
  <c r="N858" i="1"/>
  <c r="AD857" i="1"/>
  <c r="AD843" i="1"/>
  <c r="AC835" i="1"/>
  <c r="AB857" i="1"/>
  <c r="AA843" i="1"/>
  <c r="Z839" i="1"/>
  <c r="W839" i="1"/>
  <c r="V857" i="1"/>
  <c r="S843" i="1"/>
  <c r="O861" i="1"/>
  <c r="N861" i="1"/>
  <c r="AE851" i="1"/>
  <c r="AE835" i="1"/>
  <c r="AD839" i="1"/>
  <c r="AB854" i="1"/>
  <c r="AA839" i="1"/>
  <c r="Z835" i="1"/>
  <c r="W854" i="1"/>
  <c r="W835" i="1"/>
  <c r="V835" i="1"/>
  <c r="T857" i="1"/>
  <c r="S839" i="1"/>
  <c r="R854" i="1"/>
  <c r="O843" i="1"/>
  <c r="AE843" i="1"/>
  <c r="AD861" i="1"/>
  <c r="AD835" i="1"/>
  <c r="AC843" i="1"/>
  <c r="AB861" i="1"/>
  <c r="V843" i="1"/>
  <c r="O857" i="1"/>
  <c r="R171" i="1"/>
  <c r="R638" i="1" s="1"/>
  <c r="S171" i="1"/>
  <c r="S638" i="1" s="1"/>
  <c r="V171" i="1"/>
  <c r="V638" i="1" s="1"/>
  <c r="X171" i="1"/>
  <c r="X638" i="1" s="1"/>
  <c r="AB171" i="1"/>
  <c r="AB638" i="1" s="1"/>
  <c r="G59" i="46"/>
  <c r="H59" i="46" s="1"/>
  <c r="G45" i="46"/>
  <c r="H45" i="46" s="1"/>
  <c r="G30" i="46"/>
  <c r="H30" i="46" s="1"/>
  <c r="G13" i="46"/>
  <c r="H13" i="46" s="1"/>
  <c r="M220" i="1"/>
  <c r="K255" i="1"/>
  <c r="K720" i="1"/>
  <c r="L293" i="1"/>
  <c r="P171" i="1"/>
  <c r="P638" i="1" s="1"/>
  <c r="AD171" i="1"/>
  <c r="AD638" i="1" s="1"/>
  <c r="M171" i="1"/>
  <c r="M638" i="1" s="1"/>
  <c r="O171" i="1"/>
  <c r="O638" i="1" s="1"/>
  <c r="Y171" i="1"/>
  <c r="Y638" i="1" s="1"/>
  <c r="G55" i="46"/>
  <c r="H55" i="46" s="1"/>
  <c r="G42" i="46"/>
  <c r="H42" i="46" s="1"/>
  <c r="G24" i="46"/>
  <c r="H24" i="46" s="1"/>
  <c r="G9" i="46"/>
  <c r="H9" i="46" s="1"/>
  <c r="R220" i="1"/>
  <c r="AE171" i="1"/>
  <c r="AE638" i="1" s="1"/>
  <c r="N171" i="1"/>
  <c r="N638" i="1" s="1"/>
  <c r="W171" i="1"/>
  <c r="W638" i="1" s="1"/>
  <c r="L171" i="1"/>
  <c r="AA171" i="1"/>
  <c r="AA638" i="1" s="1"/>
  <c r="G6" i="46"/>
  <c r="G52" i="46"/>
  <c r="H52" i="46" s="1"/>
  <c r="G38" i="46"/>
  <c r="H38" i="46" s="1"/>
  <c r="G20" i="46"/>
  <c r="H20" i="46" s="1"/>
  <c r="O293" i="1"/>
  <c r="S293" i="1"/>
  <c r="M299" i="1"/>
  <c r="AA210" i="1"/>
  <c r="N202" i="1"/>
  <c r="M850" i="1"/>
  <c r="Z850" i="1"/>
  <c r="AD209" i="1"/>
  <c r="Y209" i="1"/>
  <c r="O209" i="1"/>
  <c r="E34" i="1"/>
  <c r="E41" i="1"/>
  <c r="N864" i="1"/>
  <c r="AD864" i="1"/>
  <c r="R864" i="1"/>
  <c r="V842" i="1"/>
  <c r="AB842" i="1"/>
  <c r="AE842" i="1"/>
  <c r="N842" i="1"/>
  <c r="W834" i="1"/>
  <c r="X834" i="1"/>
  <c r="Y834" i="1"/>
  <c r="T834" i="1"/>
  <c r="AB220" i="1"/>
  <c r="V220" i="1"/>
  <c r="Q220" i="1"/>
  <c r="L220" i="1"/>
  <c r="G10" i="46"/>
  <c r="H10" i="46" s="1"/>
  <c r="G14" i="46"/>
  <c r="H14" i="46" s="1"/>
  <c r="G18" i="46"/>
  <c r="H18" i="46" s="1"/>
  <c r="G21" i="46"/>
  <c r="H21" i="46" s="1"/>
  <c r="G25" i="46"/>
  <c r="H25" i="46" s="1"/>
  <c r="G28" i="46"/>
  <c r="H28" i="46" s="1"/>
  <c r="G31" i="46"/>
  <c r="H31" i="46" s="1"/>
  <c r="G35" i="46"/>
  <c r="H35" i="46" s="1"/>
  <c r="G39" i="46"/>
  <c r="H39" i="46" s="1"/>
  <c r="G43" i="46"/>
  <c r="H43" i="46" s="1"/>
  <c r="G46" i="46"/>
  <c r="H46" i="46" s="1"/>
  <c r="G50" i="46"/>
  <c r="H50" i="46" s="1"/>
  <c r="G53" i="46"/>
  <c r="H53" i="46" s="1"/>
  <c r="G56" i="46"/>
  <c r="H56" i="46" s="1"/>
  <c r="G60" i="46"/>
  <c r="H60" i="46" s="1"/>
  <c r="G64" i="46"/>
  <c r="H64" i="46" s="1"/>
  <c r="F6" i="46"/>
  <c r="Z220" i="1"/>
  <c r="U220" i="1"/>
  <c r="P220" i="1"/>
  <c r="G7" i="46"/>
  <c r="H7" i="46" s="1"/>
  <c r="G11" i="46"/>
  <c r="H11" i="46" s="1"/>
  <c r="G15" i="46"/>
  <c r="H15" i="46" s="1"/>
  <c r="G19" i="46"/>
  <c r="H19" i="46" s="1"/>
  <c r="G22" i="46"/>
  <c r="H22" i="46" s="1"/>
  <c r="G26" i="46"/>
  <c r="H26" i="46" s="1"/>
  <c r="G29" i="46"/>
  <c r="H29" i="46" s="1"/>
  <c r="G32" i="46"/>
  <c r="H32" i="46" s="1"/>
  <c r="G36" i="46"/>
  <c r="H36" i="46" s="1"/>
  <c r="G40" i="46"/>
  <c r="H40" i="46" s="1"/>
  <c r="G47" i="46"/>
  <c r="H47" i="46" s="1"/>
  <c r="G51" i="46"/>
  <c r="H51" i="46" s="1"/>
  <c r="G57" i="46"/>
  <c r="H57" i="46" s="1"/>
  <c r="G61" i="46"/>
  <c r="H61" i="46" s="1"/>
  <c r="G65" i="46"/>
  <c r="H65" i="46" s="1"/>
  <c r="AD220" i="1"/>
  <c r="Y220" i="1"/>
  <c r="T220" i="1"/>
  <c r="N220" i="1"/>
  <c r="G8" i="46"/>
  <c r="H8" i="46" s="1"/>
  <c r="G12" i="46"/>
  <c r="H12" i="46" s="1"/>
  <c r="G16" i="46"/>
  <c r="H16" i="46" s="1"/>
  <c r="G23" i="46"/>
  <c r="H23" i="46" s="1"/>
  <c r="G27" i="46"/>
  <c r="H27" i="46" s="1"/>
  <c r="G33" i="46"/>
  <c r="H33" i="46" s="1"/>
  <c r="G37" i="46"/>
  <c r="H37" i="46" s="1"/>
  <c r="G41" i="46"/>
  <c r="H41" i="46" s="1"/>
  <c r="G44" i="46"/>
  <c r="H44" i="46" s="1"/>
  <c r="G48" i="46"/>
  <c r="H48" i="46" s="1"/>
  <c r="G54" i="46"/>
  <c r="H54" i="46" s="1"/>
  <c r="G58" i="46"/>
  <c r="H58" i="46" s="1"/>
  <c r="G62" i="46"/>
  <c r="H62" i="46" s="1"/>
  <c r="G66" i="46"/>
  <c r="H66" i="46" s="1"/>
  <c r="X209" i="1"/>
  <c r="AA842" i="1"/>
  <c r="Z864" i="1"/>
  <c r="J1880" i="1"/>
  <c r="J1285" i="1"/>
  <c r="J1277" i="1" s="1"/>
  <c r="O853" i="1"/>
  <c r="V853" i="1"/>
  <c r="B28" i="1"/>
  <c r="B48" i="1" s="1"/>
  <c r="B68" i="1" s="1"/>
  <c r="B70" i="1"/>
  <c r="B80" i="1" s="1"/>
  <c r="D5" i="49"/>
  <c r="E5" i="49" s="1"/>
  <c r="D42" i="4"/>
  <c r="D65" i="4" s="1"/>
  <c r="E5" i="4"/>
  <c r="AC864" i="1"/>
  <c r="F27" i="43"/>
  <c r="M255" i="1"/>
  <c r="M926" i="1" s="1"/>
  <c r="U255" i="1"/>
  <c r="U926" i="1" s="1"/>
  <c r="Y255" i="1"/>
  <c r="Y926" i="1" s="1"/>
  <c r="AC255" i="1"/>
  <c r="AC926" i="1" s="1"/>
  <c r="AD255" i="1"/>
  <c r="AD926" i="1" s="1"/>
  <c r="G57" i="1"/>
  <c r="G53" i="1"/>
  <c r="G60" i="1"/>
  <c r="G33" i="1"/>
  <c r="AD210" i="1"/>
  <c r="R205" i="1"/>
  <c r="AC202" i="1"/>
  <c r="F34" i="43"/>
  <c r="P889" i="1"/>
  <c r="AB889" i="1"/>
  <c r="N889" i="1"/>
  <c r="R889" i="1"/>
  <c r="AD889" i="1"/>
  <c r="K293" i="1"/>
  <c r="N856" i="1"/>
  <c r="N255" i="1"/>
  <c r="N926" i="1" s="1"/>
  <c r="R255" i="1"/>
  <c r="R926" i="1" s="1"/>
  <c r="Z255" i="1"/>
  <c r="Z926" i="1" s="1"/>
  <c r="AC860" i="1"/>
  <c r="AC834" i="1"/>
  <c r="AB860" i="1"/>
  <c r="AB853" i="1"/>
  <c r="AA864" i="1"/>
  <c r="Z860" i="1"/>
  <c r="X864" i="1"/>
  <c r="X850" i="1"/>
  <c r="W864" i="1"/>
  <c r="V860" i="1"/>
  <c r="U860" i="1"/>
  <c r="T850" i="1"/>
  <c r="S864" i="1"/>
  <c r="R850" i="1"/>
  <c r="P864" i="1"/>
  <c r="P850" i="1"/>
  <c r="O864" i="1"/>
  <c r="N838" i="1"/>
  <c r="F4" i="43"/>
  <c r="F14" i="43"/>
  <c r="AB662" i="1"/>
  <c r="T255" i="1"/>
  <c r="T926" i="1" s="1"/>
  <c r="C40" i="43"/>
  <c r="AE864" i="1"/>
  <c r="AD850" i="1"/>
  <c r="AD838" i="1"/>
  <c r="AC842" i="1"/>
  <c r="AA860" i="1"/>
  <c r="Z834" i="1"/>
  <c r="X860" i="1"/>
  <c r="W860" i="1"/>
  <c r="W850" i="1"/>
  <c r="U838" i="1"/>
  <c r="T842" i="1"/>
  <c r="R842" i="1"/>
  <c r="P860" i="1"/>
  <c r="N860" i="1"/>
  <c r="N853" i="1"/>
  <c r="M864" i="1"/>
  <c r="T286" i="1"/>
  <c r="AA321" i="1"/>
  <c r="AB864" i="1"/>
  <c r="Z842" i="1"/>
  <c r="Y864" i="1"/>
  <c r="Y838" i="1"/>
  <c r="X838" i="1"/>
  <c r="V864" i="1"/>
  <c r="U864" i="1"/>
  <c r="T864" i="1"/>
  <c r="Q864" i="1"/>
  <c r="P838" i="1"/>
  <c r="O860" i="1"/>
  <c r="L286" i="1"/>
  <c r="I1427" i="1"/>
  <c r="J1391" i="1"/>
  <c r="J1432" i="1" s="1"/>
  <c r="I1155" i="1"/>
  <c r="I1206" i="1"/>
  <c r="B187" i="1"/>
  <c r="B93" i="1"/>
  <c r="G40" i="1"/>
  <c r="G68" i="1"/>
  <c r="W862" i="1"/>
  <c r="AD862" i="1"/>
  <c r="AC103" i="1"/>
  <c r="AC117" i="1" s="1"/>
  <c r="AC101" i="1"/>
  <c r="AC116" i="1" s="1"/>
  <c r="AC100" i="1"/>
  <c r="C17" i="43"/>
  <c r="C24" i="43"/>
  <c r="M286" i="1"/>
  <c r="Q286" i="1"/>
  <c r="U286" i="1"/>
  <c r="Y286" i="1"/>
  <c r="AC286" i="1"/>
  <c r="W293" i="1"/>
  <c r="AA293" i="1"/>
  <c r="AE293" i="1"/>
  <c r="X293" i="1"/>
  <c r="AB293" i="1"/>
  <c r="Y293" i="1"/>
  <c r="AC293" i="1"/>
  <c r="N293" i="1"/>
  <c r="Z293" i="1"/>
  <c r="O299" i="1"/>
  <c r="S299" i="1"/>
  <c r="W299" i="1"/>
  <c r="AA299" i="1"/>
  <c r="K220" i="1"/>
  <c r="AE220" i="1"/>
  <c r="AA220" i="1"/>
  <c r="W220" i="1"/>
  <c r="S220" i="1"/>
  <c r="O220" i="1"/>
  <c r="L321" i="1"/>
  <c r="L280" i="1"/>
  <c r="Y662" i="1"/>
  <c r="L209" i="1"/>
  <c r="AC209" i="1"/>
  <c r="AE203" i="1"/>
  <c r="AB203" i="1"/>
  <c r="Y203" i="1"/>
  <c r="N203" i="1"/>
  <c r="AE720" i="1"/>
  <c r="R860" i="1"/>
  <c r="Q860" i="1"/>
  <c r="S860" i="1"/>
  <c r="T860" i="1"/>
  <c r="Y860" i="1"/>
  <c r="AD860" i="1"/>
  <c r="AE860" i="1"/>
  <c r="T853" i="1"/>
  <c r="AD853" i="1"/>
  <c r="N850" i="1"/>
  <c r="O850" i="1"/>
  <c r="Q850" i="1"/>
  <c r="AA850" i="1"/>
  <c r="AB850" i="1"/>
  <c r="AE850" i="1"/>
  <c r="S850" i="1"/>
  <c r="U850" i="1"/>
  <c r="V850" i="1"/>
  <c r="Y850" i="1"/>
  <c r="AC850" i="1"/>
  <c r="P842" i="1"/>
  <c r="U842" i="1"/>
  <c r="Y842" i="1"/>
  <c r="AD842" i="1"/>
  <c r="X842" i="1"/>
  <c r="T838" i="1"/>
  <c r="V838" i="1"/>
  <c r="AA838" i="1"/>
  <c r="AE838" i="1"/>
  <c r="R838" i="1"/>
  <c r="Z838" i="1"/>
  <c r="AB838" i="1"/>
  <c r="AC838" i="1"/>
  <c r="R834" i="1"/>
  <c r="AB834" i="1"/>
  <c r="AD834" i="1"/>
  <c r="N834" i="1"/>
  <c r="P834" i="1"/>
  <c r="U834" i="1"/>
  <c r="V834" i="1"/>
  <c r="AA834" i="1"/>
  <c r="AE834" i="1"/>
  <c r="N187" i="3"/>
  <c r="AE662" i="1"/>
  <c r="N209" i="1"/>
  <c r="AD203" i="1"/>
  <c r="L210" i="1"/>
  <c r="X210" i="1"/>
  <c r="Y210" i="1"/>
  <c r="N210" i="1"/>
  <c r="O210" i="1"/>
  <c r="AC210" i="1"/>
  <c r="R210" i="1"/>
  <c r="W210" i="1"/>
  <c r="AB205" i="1"/>
  <c r="V205" i="1"/>
  <c r="S205" i="1"/>
  <c r="U205" i="1"/>
  <c r="L205" i="1"/>
  <c r="W205" i="1"/>
  <c r="K1" i="1"/>
  <c r="P856" i="1"/>
  <c r="U856" i="1"/>
  <c r="V856" i="1"/>
  <c r="Z856" i="1"/>
  <c r="AA856" i="1"/>
  <c r="AB856" i="1"/>
  <c r="AC856" i="1"/>
  <c r="M856" i="1"/>
  <c r="W856" i="1"/>
  <c r="X856" i="1"/>
  <c r="U833" i="1"/>
  <c r="Y833" i="1"/>
  <c r="AE321" i="1"/>
  <c r="P321" i="1"/>
  <c r="AB321" i="1"/>
  <c r="M321" i="1"/>
  <c r="Q321" i="1"/>
  <c r="U321" i="1"/>
  <c r="Y321" i="1"/>
  <c r="AC321" i="1"/>
  <c r="V321" i="1"/>
  <c r="K286" i="1"/>
  <c r="K299" i="1"/>
  <c r="O280" i="1"/>
  <c r="S280" i="1"/>
  <c r="W280" i="1"/>
  <c r="AA280" i="1"/>
  <c r="AE280" i="1"/>
  <c r="T280" i="1"/>
  <c r="E20" i="43"/>
  <c r="F20" i="43" s="1"/>
  <c r="D24" i="43"/>
  <c r="N190" i="3"/>
  <c r="C223" i="3"/>
  <c r="W662" i="1"/>
  <c r="D52" i="43"/>
  <c r="O862" i="1"/>
  <c r="Q862" i="1"/>
  <c r="V862" i="1"/>
  <c r="M862" i="1"/>
  <c r="Y862" i="1"/>
  <c r="AB862" i="1"/>
  <c r="N862" i="1"/>
  <c r="P862" i="1"/>
  <c r="S862" i="1"/>
  <c r="U862" i="1"/>
  <c r="X862" i="1"/>
  <c r="Z862" i="1"/>
  <c r="AC862" i="1"/>
  <c r="AE862" i="1"/>
  <c r="U859" i="1"/>
  <c r="AC859" i="1"/>
  <c r="AE859" i="1"/>
  <c r="AA859" i="1"/>
  <c r="Q859" i="1"/>
  <c r="AA862" i="1"/>
  <c r="R862" i="1"/>
  <c r="N844" i="1"/>
  <c r="R844" i="1"/>
  <c r="W844" i="1"/>
  <c r="AC844" i="1"/>
  <c r="AD844" i="1"/>
  <c r="T844" i="1"/>
  <c r="V844" i="1"/>
  <c r="AA844" i="1"/>
  <c r="AE844" i="1"/>
  <c r="Y844" i="1"/>
  <c r="AB844" i="1"/>
  <c r="X840" i="1"/>
  <c r="Y840" i="1"/>
  <c r="Z840" i="1"/>
  <c r="AB840" i="1"/>
  <c r="P840" i="1"/>
  <c r="AC840" i="1"/>
  <c r="AD840" i="1"/>
  <c r="N840" i="1"/>
  <c r="R840" i="1"/>
  <c r="V840" i="1"/>
  <c r="W840" i="1"/>
  <c r="AA840" i="1"/>
  <c r="AE840" i="1"/>
  <c r="N836" i="1"/>
  <c r="R836" i="1"/>
  <c r="W836" i="1"/>
  <c r="E845" i="1"/>
  <c r="T836" i="1"/>
  <c r="Z836" i="1"/>
  <c r="X836" i="1"/>
  <c r="Y836" i="1"/>
  <c r="AB836" i="1"/>
  <c r="AC836" i="1"/>
  <c r="AD836" i="1"/>
  <c r="E50" i="43"/>
  <c r="E52" i="43" s="1"/>
  <c r="D30" i="43"/>
  <c r="E21" i="43"/>
  <c r="F21" i="43" s="1"/>
  <c r="S321" i="1"/>
  <c r="W321" i="1"/>
  <c r="T862" i="1"/>
  <c r="N854" i="1"/>
  <c r="AC854" i="1"/>
  <c r="M854" i="1"/>
  <c r="T854" i="1"/>
  <c r="U854" i="1"/>
  <c r="Y854" i="1"/>
  <c r="AA854" i="1"/>
  <c r="AD854" i="1"/>
  <c r="AE854" i="1"/>
  <c r="O854" i="1"/>
  <c r="P854" i="1"/>
  <c r="S854" i="1"/>
  <c r="V854" i="1"/>
  <c r="X854" i="1"/>
  <c r="Z854" i="1"/>
  <c r="Q851" i="1"/>
  <c r="AC851" i="1"/>
  <c r="F47" i="43"/>
  <c r="Q662" i="1"/>
  <c r="Z662" i="1"/>
  <c r="C30" i="43"/>
  <c r="C52" i="43"/>
  <c r="G603" i="1"/>
  <c r="G604" i="1"/>
  <c r="M293" i="1"/>
  <c r="P299" i="1"/>
  <c r="T299" i="1"/>
  <c r="X299" i="1"/>
  <c r="AB299" i="1"/>
  <c r="G606" i="1"/>
  <c r="R720" i="1"/>
  <c r="Z720" i="1"/>
  <c r="AA720" i="1"/>
  <c r="O720" i="1"/>
  <c r="W720" i="1"/>
  <c r="M720" i="1"/>
  <c r="U720" i="1"/>
  <c r="AC720" i="1"/>
  <c r="AA662" i="1"/>
  <c r="O662" i="1"/>
  <c r="R662" i="1"/>
  <c r="O255" i="1"/>
  <c r="O926" i="1" s="1"/>
  <c r="S255" i="1"/>
  <c r="S926" i="1" s="1"/>
  <c r="W255" i="1"/>
  <c r="W926" i="1" s="1"/>
  <c r="AA255" i="1"/>
  <c r="AA926" i="1" s="1"/>
  <c r="AE255" i="1"/>
  <c r="AE926" i="1" s="1"/>
  <c r="D17" i="43"/>
  <c r="V286" i="1"/>
  <c r="K280" i="1"/>
  <c r="K321" i="1"/>
  <c r="E35" i="43"/>
  <c r="F35" i="43" s="1"/>
  <c r="D40" i="43"/>
  <c r="M662" i="1"/>
  <c r="E10" i="43"/>
  <c r="E11" i="43" s="1"/>
  <c r="D11" i="43"/>
  <c r="F43" i="43"/>
  <c r="T662" i="1"/>
  <c r="N286" i="1"/>
  <c r="R286" i="1"/>
  <c r="G605" i="1"/>
  <c r="X662" i="1"/>
  <c r="P863" i="1"/>
  <c r="X863" i="1"/>
  <c r="Z863" i="1"/>
  <c r="N863" i="1"/>
  <c r="O863" i="1"/>
  <c r="T863" i="1"/>
  <c r="V863" i="1"/>
  <c r="AB863" i="1"/>
  <c r="AD863" i="1"/>
  <c r="M863" i="1"/>
  <c r="R863" i="1"/>
  <c r="S863" i="1"/>
  <c r="W863" i="1"/>
  <c r="Y863" i="1"/>
  <c r="AE863" i="1"/>
  <c r="AA863" i="1"/>
  <c r="AC863" i="1"/>
  <c r="P855" i="1"/>
  <c r="X855" i="1"/>
  <c r="Z855" i="1"/>
  <c r="N855" i="1"/>
  <c r="O855" i="1"/>
  <c r="T855" i="1"/>
  <c r="V855" i="1"/>
  <c r="AB855" i="1"/>
  <c r="AD855" i="1"/>
  <c r="M855" i="1"/>
  <c r="R855" i="1"/>
  <c r="S855" i="1"/>
  <c r="W855" i="1"/>
  <c r="Y855" i="1"/>
  <c r="Q855" i="1"/>
  <c r="U855" i="1"/>
  <c r="AE855" i="1"/>
  <c r="F36" i="43"/>
  <c r="AC662" i="1"/>
  <c r="E15" i="43"/>
  <c r="E17" i="43" s="1"/>
  <c r="R293" i="1"/>
  <c r="V293" i="1"/>
  <c r="T321" i="1"/>
  <c r="X321" i="1"/>
  <c r="R321" i="1"/>
  <c r="Z321" i="1"/>
  <c r="T720" i="1"/>
  <c r="U662" i="1"/>
  <c r="P662" i="1"/>
  <c r="P280" i="1"/>
  <c r="X280" i="1"/>
  <c r="AB280" i="1"/>
  <c r="O286" i="1"/>
  <c r="S286" i="1"/>
  <c r="Z286" i="1"/>
  <c r="AD286" i="1"/>
  <c r="Q720" i="1"/>
  <c r="AB720" i="1"/>
  <c r="M857" i="1"/>
  <c r="R857" i="1"/>
  <c r="S857" i="1"/>
  <c r="W857" i="1"/>
  <c r="Y857" i="1"/>
  <c r="Q857" i="1"/>
  <c r="U857" i="1"/>
  <c r="AA857" i="1"/>
  <c r="AC857" i="1"/>
  <c r="AE857" i="1"/>
  <c r="P857" i="1"/>
  <c r="X857" i="1"/>
  <c r="Z857" i="1"/>
  <c r="Q841" i="1"/>
  <c r="AB841" i="1"/>
  <c r="AC841" i="1"/>
  <c r="Y841" i="1"/>
  <c r="AE841" i="1"/>
  <c r="X837" i="1"/>
  <c r="AC837" i="1"/>
  <c r="U837" i="1"/>
  <c r="AB837" i="1"/>
  <c r="AE837" i="1"/>
  <c r="M837" i="1"/>
  <c r="Y837" i="1"/>
  <c r="AC833" i="1"/>
  <c r="M833" i="1"/>
  <c r="X833" i="1"/>
  <c r="AE833" i="1"/>
  <c r="Q833" i="1"/>
  <c r="AB833" i="1"/>
  <c r="S662" i="1"/>
  <c r="M280" i="1"/>
  <c r="Q280" i="1"/>
  <c r="U280" i="1"/>
  <c r="Y280" i="1"/>
  <c r="AC280" i="1"/>
  <c r="P286" i="1"/>
  <c r="W286" i="1"/>
  <c r="AA286" i="1"/>
  <c r="AE286" i="1"/>
  <c r="P293" i="1"/>
  <c r="T293" i="1"/>
  <c r="Q299" i="1"/>
  <c r="U299" i="1"/>
  <c r="Y299" i="1"/>
  <c r="AC299" i="1"/>
  <c r="Y720" i="1"/>
  <c r="P859" i="1"/>
  <c r="X859" i="1"/>
  <c r="Z859" i="1"/>
  <c r="N859" i="1"/>
  <c r="O859" i="1"/>
  <c r="T859" i="1"/>
  <c r="V859" i="1"/>
  <c r="AB859" i="1"/>
  <c r="AD859" i="1"/>
  <c r="M859" i="1"/>
  <c r="R859" i="1"/>
  <c r="S859" i="1"/>
  <c r="W859" i="1"/>
  <c r="Y859" i="1"/>
  <c r="P851" i="1"/>
  <c r="X851" i="1"/>
  <c r="Z851" i="1"/>
  <c r="N851" i="1"/>
  <c r="O851" i="1"/>
  <c r="T851" i="1"/>
  <c r="V851" i="1"/>
  <c r="AB851" i="1"/>
  <c r="AD851" i="1"/>
  <c r="M851" i="1"/>
  <c r="R851" i="1"/>
  <c r="S851" i="1"/>
  <c r="W851" i="1"/>
  <c r="Y851" i="1"/>
  <c r="N280" i="1"/>
  <c r="R280" i="1"/>
  <c r="V280" i="1"/>
  <c r="Z280" i="1"/>
  <c r="AD280" i="1"/>
  <c r="X286" i="1"/>
  <c r="AB286" i="1"/>
  <c r="Q293" i="1"/>
  <c r="U293" i="1"/>
  <c r="AD293" i="1"/>
  <c r="N299" i="1"/>
  <c r="R299" i="1"/>
  <c r="V299" i="1"/>
  <c r="Z299" i="1"/>
  <c r="AD299" i="1"/>
  <c r="N321" i="1"/>
  <c r="S720" i="1"/>
  <c r="Q837" i="1"/>
  <c r="M861" i="1"/>
  <c r="R861" i="1"/>
  <c r="S861" i="1"/>
  <c r="W861" i="1"/>
  <c r="Y861" i="1"/>
  <c r="Q861" i="1"/>
  <c r="U861" i="1"/>
  <c r="AA861" i="1"/>
  <c r="AC861" i="1"/>
  <c r="AE861" i="1"/>
  <c r="P861" i="1"/>
  <c r="X861" i="1"/>
  <c r="Z861" i="1"/>
  <c r="M853" i="1"/>
  <c r="R853" i="1"/>
  <c r="S853" i="1"/>
  <c r="W853" i="1"/>
  <c r="Y853" i="1"/>
  <c r="Q853" i="1"/>
  <c r="U853" i="1"/>
  <c r="AA853" i="1"/>
  <c r="AC853" i="1"/>
  <c r="AE853" i="1"/>
  <c r="P853" i="1"/>
  <c r="X853" i="1"/>
  <c r="Z853" i="1"/>
  <c r="P720" i="1"/>
  <c r="X720" i="1"/>
  <c r="AE299" i="1"/>
  <c r="O321" i="1"/>
  <c r="AD321" i="1"/>
  <c r="N720" i="1"/>
  <c r="V720" i="1"/>
  <c r="AD720" i="1"/>
  <c r="L720" i="1"/>
  <c r="F33" i="43"/>
  <c r="F28" i="43"/>
  <c r="E30" i="43"/>
  <c r="V662" i="1"/>
  <c r="F22" i="43"/>
  <c r="F38" i="43"/>
  <c r="F39" i="43"/>
  <c r="F51" i="43"/>
  <c r="O841" i="1"/>
  <c r="S841" i="1"/>
  <c r="W841" i="1"/>
  <c r="AA841" i="1"/>
  <c r="N841" i="1"/>
  <c r="R841" i="1"/>
  <c r="V841" i="1"/>
  <c r="Z841" i="1"/>
  <c r="AD841" i="1"/>
  <c r="P841" i="1"/>
  <c r="T841" i="1"/>
  <c r="O837" i="1"/>
  <c r="S837" i="1"/>
  <c r="W837" i="1"/>
  <c r="AA837" i="1"/>
  <c r="N837" i="1"/>
  <c r="R837" i="1"/>
  <c r="V837" i="1"/>
  <c r="Z837" i="1"/>
  <c r="AD837" i="1"/>
  <c r="P837" i="1"/>
  <c r="T837" i="1"/>
  <c r="O833" i="1"/>
  <c r="S833" i="1"/>
  <c r="W833" i="1"/>
  <c r="AA833" i="1"/>
  <c r="N833" i="1"/>
  <c r="R833" i="1"/>
  <c r="V833" i="1"/>
  <c r="Z833" i="1"/>
  <c r="AD833" i="1"/>
  <c r="P833" i="1"/>
  <c r="T833" i="1"/>
  <c r="F7" i="43"/>
  <c r="M843" i="1"/>
  <c r="Q843" i="1"/>
  <c r="U843" i="1"/>
  <c r="Y843" i="1"/>
  <c r="P843" i="1"/>
  <c r="T843" i="1"/>
  <c r="X843" i="1"/>
  <c r="AB843" i="1"/>
  <c r="N843" i="1"/>
  <c r="R843" i="1"/>
  <c r="M839" i="1"/>
  <c r="Q839" i="1"/>
  <c r="U839" i="1"/>
  <c r="Y839" i="1"/>
  <c r="P839" i="1"/>
  <c r="T839" i="1"/>
  <c r="X839" i="1"/>
  <c r="AB839" i="1"/>
  <c r="N839" i="1"/>
  <c r="R839" i="1"/>
  <c r="M835" i="1"/>
  <c r="Q835" i="1"/>
  <c r="U835" i="1"/>
  <c r="Y835" i="1"/>
  <c r="P835" i="1"/>
  <c r="T835" i="1"/>
  <c r="X835" i="1"/>
  <c r="AB835" i="1"/>
  <c r="N835" i="1"/>
  <c r="R835" i="1"/>
  <c r="S844" i="1"/>
  <c r="S840" i="1"/>
  <c r="S836" i="1"/>
  <c r="Q842" i="1"/>
  <c r="Q838" i="1"/>
  <c r="Q834" i="1"/>
  <c r="O844" i="1"/>
  <c r="O840" i="1"/>
  <c r="O836" i="1"/>
  <c r="M842" i="1"/>
  <c r="M838" i="1"/>
  <c r="M834" i="1"/>
  <c r="W842" i="1"/>
  <c r="W838" i="1"/>
  <c r="U844" i="1"/>
  <c r="U840" i="1"/>
  <c r="U836" i="1"/>
  <c r="S842" i="1"/>
  <c r="S838" i="1"/>
  <c r="S834" i="1"/>
  <c r="Q844" i="1"/>
  <c r="Q840" i="1"/>
  <c r="Q836" i="1"/>
  <c r="O842" i="1"/>
  <c r="O838" i="1"/>
  <c r="O834" i="1"/>
  <c r="M844" i="1"/>
  <c r="M840" i="1"/>
  <c r="M836" i="1"/>
  <c r="G598" i="1"/>
  <c r="E52" i="45"/>
  <c r="D871" i="53" s="1"/>
  <c r="E727" i="1"/>
  <c r="H37" i="49"/>
  <c r="I37" i="49"/>
  <c r="J37" i="49"/>
  <c r="E711" i="1"/>
  <c r="E726" i="1"/>
  <c r="E712" i="1"/>
  <c r="N189" i="3"/>
  <c r="W202" i="1"/>
  <c r="AD202" i="1"/>
  <c r="M202" i="1"/>
  <c r="S202" i="1"/>
  <c r="Z202" i="1"/>
  <c r="X212" i="1"/>
  <c r="Y212" i="1"/>
  <c r="Z212" i="1"/>
  <c r="W212" i="1"/>
  <c r="N188" i="3"/>
  <c r="AA209" i="1"/>
  <c r="Z209" i="1"/>
  <c r="T212" i="1"/>
  <c r="P209" i="1"/>
  <c r="S212" i="1"/>
  <c r="U209" i="1"/>
  <c r="V212" i="1"/>
  <c r="AB209" i="1"/>
  <c r="AC212" i="1"/>
  <c r="U212" i="1"/>
  <c r="O203" i="1"/>
  <c r="Z203" i="1"/>
  <c r="U203" i="1"/>
  <c r="Q202" i="1"/>
  <c r="P203" i="1"/>
  <c r="P202" i="1"/>
  <c r="AE210" i="1"/>
  <c r="AE202" i="1"/>
  <c r="AE205" i="1"/>
  <c r="L203" i="1"/>
  <c r="W209" i="1"/>
  <c r="V209" i="1"/>
  <c r="P212" i="1"/>
  <c r="AE212" i="1"/>
  <c r="O212" i="1"/>
  <c r="M209" i="1"/>
  <c r="R212" i="1"/>
  <c r="T209" i="1"/>
  <c r="M212" i="1"/>
  <c r="AA203" i="1"/>
  <c r="V203" i="1"/>
  <c r="Q203" i="1"/>
  <c r="X203" i="1"/>
  <c r="T203" i="1"/>
  <c r="S209" i="1"/>
  <c r="R209" i="1"/>
  <c r="AB212" i="1"/>
  <c r="L212" i="1"/>
  <c r="AA212" i="1"/>
  <c r="AD212" i="1"/>
  <c r="N212" i="1"/>
  <c r="Q212" i="1"/>
  <c r="Q209" i="1"/>
  <c r="K209" i="1"/>
  <c r="W203" i="1"/>
  <c r="R203" i="1"/>
  <c r="AC203" i="1"/>
  <c r="M203" i="1"/>
  <c r="AB202" i="1"/>
  <c r="AE209" i="1"/>
  <c r="Z210" i="1"/>
  <c r="P210" i="1"/>
  <c r="M210" i="1"/>
  <c r="O205" i="1"/>
  <c r="O202" i="1"/>
  <c r="AD205" i="1"/>
  <c r="N205" i="1"/>
  <c r="V202" i="1"/>
  <c r="T205" i="1"/>
  <c r="Q205" i="1"/>
  <c r="Y202" i="1"/>
  <c r="K202" i="1"/>
  <c r="X202" i="1"/>
  <c r="S210" i="1"/>
  <c r="V210" i="1"/>
  <c r="K210" i="1"/>
  <c r="T210" i="1"/>
  <c r="AB210" i="1"/>
  <c r="AA205" i="1"/>
  <c r="AA202" i="1"/>
  <c r="K205" i="1"/>
  <c r="Z205" i="1"/>
  <c r="R202" i="1"/>
  <c r="AC205" i="1"/>
  <c r="M205" i="1"/>
  <c r="U202" i="1"/>
  <c r="T202" i="1"/>
  <c r="P14" i="1"/>
  <c r="G25" i="41"/>
  <c r="C195" i="1"/>
  <c r="Q14" i="1"/>
  <c r="X14" i="1"/>
  <c r="X727" i="1" s="1"/>
  <c r="T14" i="1"/>
  <c r="W14" i="1"/>
  <c r="AB14" i="1"/>
  <c r="AB724" i="1" s="1"/>
  <c r="AA14" i="1"/>
  <c r="Y100" i="1" l="1"/>
  <c r="K29" i="45"/>
  <c r="X36" i="50"/>
  <c r="Y36" i="50" s="1"/>
  <c r="Z36" i="50" s="1"/>
  <c r="AA36" i="50" s="1"/>
  <c r="AC36" i="50" s="1"/>
  <c r="AC34" i="50"/>
  <c r="E82" i="53" s="1"/>
  <c r="P334" i="3"/>
  <c r="P345" i="3" s="1"/>
  <c r="P355" i="3" s="1"/>
  <c r="M100" i="1"/>
  <c r="M109" i="1" s="1"/>
  <c r="K24" i="45"/>
  <c r="K42" i="45" s="1"/>
  <c r="D392" i="3" s="1"/>
  <c r="P101" i="1"/>
  <c r="P116" i="1" s="1"/>
  <c r="AE102" i="1"/>
  <c r="AE112" i="1" s="1"/>
  <c r="O100" i="1"/>
  <c r="O109" i="1" s="1"/>
  <c r="J252" i="3"/>
  <c r="U252" i="3" s="1"/>
  <c r="W37" i="50"/>
  <c r="AB37" i="50" s="1"/>
  <c r="S101" i="1"/>
  <c r="S116" i="1" s="1"/>
  <c r="S252" i="3"/>
  <c r="D393" i="3"/>
  <c r="H33" i="49"/>
  <c r="J33" i="49"/>
  <c r="I33" i="49"/>
  <c r="W849" i="1"/>
  <c r="R100" i="1"/>
  <c r="R109" i="1" s="1"/>
  <c r="Y102" i="1"/>
  <c r="Y113" i="1" s="1"/>
  <c r="Y101" i="1"/>
  <c r="Y116" i="1" s="1"/>
  <c r="P103" i="1"/>
  <c r="P117" i="1" s="1"/>
  <c r="AD14" i="1"/>
  <c r="AD725" i="1" s="1"/>
  <c r="S14" i="1"/>
  <c r="S764" i="1" s="1"/>
  <c r="L14" i="1"/>
  <c r="L346" i="1" s="1"/>
  <c r="L395" i="1" s="1"/>
  <c r="L444" i="1" s="1"/>
  <c r="N14" i="1"/>
  <c r="N342" i="1" s="1"/>
  <c r="N391" i="1" s="1"/>
  <c r="N440" i="1" s="1"/>
  <c r="N491" i="1" s="1"/>
  <c r="E241" i="1"/>
  <c r="I241" i="1" s="1"/>
  <c r="F37" i="49"/>
  <c r="P100" i="1"/>
  <c r="P109" i="1" s="1"/>
  <c r="N102" i="1"/>
  <c r="N113" i="1" s="1"/>
  <c r="M101" i="1"/>
  <c r="M116" i="1" s="1"/>
  <c r="T100" i="1"/>
  <c r="T108" i="1" s="1"/>
  <c r="X849" i="1"/>
  <c r="AB849" i="1"/>
  <c r="AD849" i="1"/>
  <c r="AC849" i="1"/>
  <c r="M849" i="1"/>
  <c r="V849" i="1"/>
  <c r="V865" i="1" s="1"/>
  <c r="T849" i="1"/>
  <c r="AA849" i="1"/>
  <c r="Z849" i="1"/>
  <c r="Y849" i="1"/>
  <c r="AE852" i="1"/>
  <c r="AD852" i="1"/>
  <c r="W852" i="1"/>
  <c r="AC852" i="1"/>
  <c r="T852" i="1"/>
  <c r="T865" i="1" s="1"/>
  <c r="J204" i="1"/>
  <c r="J206" i="1" s="1"/>
  <c r="I14" i="1"/>
  <c r="I375" i="1" s="1"/>
  <c r="AB852" i="1"/>
  <c r="AB865" i="1" s="1"/>
  <c r="P852" i="1"/>
  <c r="AA101" i="1"/>
  <c r="AA116" i="1" s="1"/>
  <c r="Z14" i="1"/>
  <c r="Z728" i="1" s="1"/>
  <c r="O14" i="1"/>
  <c r="O728" i="1" s="1"/>
  <c r="M14" i="1"/>
  <c r="M764" i="1" s="1"/>
  <c r="D37" i="49"/>
  <c r="E728" i="1"/>
  <c r="E725" i="1"/>
  <c r="F122" i="3"/>
  <c r="E37" i="49"/>
  <c r="N849" i="1"/>
  <c r="P849" i="1"/>
  <c r="U849" i="1"/>
  <c r="S849" i="1"/>
  <c r="E865" i="1"/>
  <c r="V100" i="1"/>
  <c r="V108" i="1" s="1"/>
  <c r="Q100" i="1"/>
  <c r="Q109" i="1" s="1"/>
  <c r="R852" i="1"/>
  <c r="R865" i="1" s="1"/>
  <c r="Z852" i="1"/>
  <c r="S852" i="1"/>
  <c r="Y852" i="1"/>
  <c r="O852" i="1"/>
  <c r="K1526" i="1"/>
  <c r="K1522" i="1"/>
  <c r="K1527" i="1"/>
  <c r="K1528" i="1"/>
  <c r="K1524" i="1"/>
  <c r="K1523" i="1"/>
  <c r="K926" i="1"/>
  <c r="I14" i="53"/>
  <c r="E724" i="53"/>
  <c r="E712" i="53"/>
  <c r="Q14" i="53"/>
  <c r="R14" i="53"/>
  <c r="N14" i="53"/>
  <c r="E726" i="53"/>
  <c r="E711" i="53"/>
  <c r="L14" i="53"/>
  <c r="K14" i="53"/>
  <c r="E727" i="53"/>
  <c r="E241" i="53"/>
  <c r="M14" i="53"/>
  <c r="P14" i="53"/>
  <c r="V14" i="53"/>
  <c r="J14" i="53"/>
  <c r="E728" i="53"/>
  <c r="E725" i="53"/>
  <c r="E243" i="53"/>
  <c r="T14" i="53"/>
  <c r="S14" i="53"/>
  <c r="U14" i="53"/>
  <c r="O14" i="53"/>
  <c r="E869" i="53"/>
  <c r="E869" i="1"/>
  <c r="S849" i="53"/>
  <c r="R849" i="53"/>
  <c r="Q849" i="53"/>
  <c r="P849" i="53"/>
  <c r="M849" i="53"/>
  <c r="L849" i="53"/>
  <c r="K849" i="53"/>
  <c r="V849" i="53"/>
  <c r="T849" i="53"/>
  <c r="N849" i="53"/>
  <c r="O849" i="53"/>
  <c r="J849" i="53"/>
  <c r="I849" i="53"/>
  <c r="U849" i="53"/>
  <c r="X852" i="1"/>
  <c r="X865" i="1" s="1"/>
  <c r="U852" i="1"/>
  <c r="AA852" i="1"/>
  <c r="D386" i="3"/>
  <c r="D369" i="3"/>
  <c r="Y14" i="1"/>
  <c r="Y332" i="1" s="1"/>
  <c r="AE14" i="1"/>
  <c r="AE725" i="1" s="1"/>
  <c r="AC14" i="1"/>
  <c r="AC726" i="1" s="1"/>
  <c r="V14" i="1"/>
  <c r="V352" i="1" s="1"/>
  <c r="K14" i="1"/>
  <c r="K726" i="1" s="1"/>
  <c r="U14" i="1"/>
  <c r="U727" i="1" s="1"/>
  <c r="R14" i="1"/>
  <c r="R597" i="1" s="1"/>
  <c r="E243" i="1"/>
  <c r="J243" i="1" s="1"/>
  <c r="F123" i="3"/>
  <c r="G37" i="49"/>
  <c r="E724" i="1"/>
  <c r="F128" i="3"/>
  <c r="O849" i="1"/>
  <c r="O865" i="1" s="1"/>
  <c r="AE849" i="1"/>
  <c r="Q849" i="1"/>
  <c r="Q101" i="1"/>
  <c r="AB102" i="1"/>
  <c r="AB112" i="1" s="1"/>
  <c r="AA100" i="1"/>
  <c r="AA109" i="1" s="1"/>
  <c r="N852" i="1"/>
  <c r="M852" i="1"/>
  <c r="M865" i="1" s="1"/>
  <c r="Q852" i="1"/>
  <c r="J14" i="1"/>
  <c r="J375" i="1" s="1"/>
  <c r="U852" i="53"/>
  <c r="I852" i="53"/>
  <c r="N852" i="53"/>
  <c r="M852" i="53"/>
  <c r="K852" i="53"/>
  <c r="T852" i="53"/>
  <c r="O852" i="53"/>
  <c r="Q852" i="53"/>
  <c r="V852" i="53"/>
  <c r="J852" i="53"/>
  <c r="R852" i="53"/>
  <c r="S852" i="53"/>
  <c r="L852" i="53"/>
  <c r="P852" i="53"/>
  <c r="M43" i="45"/>
  <c r="L204" i="1"/>
  <c r="L206" i="1" s="1"/>
  <c r="U101" i="1"/>
  <c r="U116" i="1" s="1"/>
  <c r="U102" i="1"/>
  <c r="U113" i="1" s="1"/>
  <c r="L3" i="1"/>
  <c r="K915" i="1"/>
  <c r="K925" i="1"/>
  <c r="U100" i="1"/>
  <c r="U109" i="1" s="1"/>
  <c r="K1880" i="1"/>
  <c r="P919" i="53"/>
  <c r="P920" i="53" s="1"/>
  <c r="P230" i="53"/>
  <c r="P235" i="53"/>
  <c r="C1039" i="53"/>
  <c r="C1110" i="53"/>
  <c r="W102" i="1"/>
  <c r="W113" i="1" s="1"/>
  <c r="J211" i="1"/>
  <c r="J213" i="1" s="1"/>
  <c r="Q235" i="53"/>
  <c r="Q919" i="53"/>
  <c r="Q920" i="53" s="1"/>
  <c r="Q230" i="53"/>
  <c r="R235" i="53"/>
  <c r="R919" i="53"/>
  <c r="R920" i="53" s="1"/>
  <c r="R230" i="53"/>
  <c r="K919" i="53"/>
  <c r="K920" i="53" s="1"/>
  <c r="K235" i="53"/>
  <c r="K230" i="53"/>
  <c r="T764" i="1"/>
  <c r="T759" i="1"/>
  <c r="Q759" i="1"/>
  <c r="Q764" i="1"/>
  <c r="K204" i="1"/>
  <c r="K206" i="1" s="1"/>
  <c r="V102" i="1"/>
  <c r="V112" i="1" s="1"/>
  <c r="I66" i="1"/>
  <c r="I64" i="1" s="1"/>
  <c r="I58" i="1"/>
  <c r="I51" i="1" s="1"/>
  <c r="T235" i="53"/>
  <c r="T230" i="53"/>
  <c r="T919" i="53"/>
  <c r="T920" i="53" s="1"/>
  <c r="S235" i="53"/>
  <c r="S230" i="53"/>
  <c r="S919" i="53"/>
  <c r="S920" i="53" s="1"/>
  <c r="U230" i="53"/>
  <c r="U919" i="53"/>
  <c r="U920" i="53" s="1"/>
  <c r="U235" i="53"/>
  <c r="M919" i="53"/>
  <c r="M920" i="53" s="1"/>
  <c r="M230" i="53"/>
  <c r="M235" i="53"/>
  <c r="I204" i="1"/>
  <c r="I206" i="1" s="1"/>
  <c r="I175" i="53"/>
  <c r="I642" i="53" s="1"/>
  <c r="I666" i="53" s="1"/>
  <c r="I682" i="53" s="1"/>
  <c r="J175" i="53"/>
  <c r="J642" i="53" s="1"/>
  <c r="J666" i="53" s="1"/>
  <c r="J682" i="53" s="1"/>
  <c r="L175" i="53"/>
  <c r="L642" i="53" s="1"/>
  <c r="L666" i="53" s="1"/>
  <c r="L682" i="53" s="1"/>
  <c r="N175" i="53"/>
  <c r="N642" i="53" s="1"/>
  <c r="N666" i="53" s="1"/>
  <c r="N682" i="53" s="1"/>
  <c r="K175" i="53"/>
  <c r="K642" i="53" s="1"/>
  <c r="Q175" i="53"/>
  <c r="Q642" i="53" s="1"/>
  <c r="Q666" i="53" s="1"/>
  <c r="Q682" i="53" s="1"/>
  <c r="R175" i="53"/>
  <c r="R642" i="53" s="1"/>
  <c r="R666" i="53" s="1"/>
  <c r="R682" i="53" s="1"/>
  <c r="O175" i="53"/>
  <c r="O642" i="53" s="1"/>
  <c r="O666" i="53" s="1"/>
  <c r="O682" i="53" s="1"/>
  <c r="P175" i="53"/>
  <c r="P642" i="53" s="1"/>
  <c r="P666" i="53" s="1"/>
  <c r="P682" i="53" s="1"/>
  <c r="T175" i="53"/>
  <c r="T642" i="53" s="1"/>
  <c r="T666" i="53" s="1"/>
  <c r="T682" i="53" s="1"/>
  <c r="V175" i="53"/>
  <c r="V642" i="53" s="1"/>
  <c r="V666" i="53" s="1"/>
  <c r="V682" i="53" s="1"/>
  <c r="M175" i="53"/>
  <c r="M642" i="53" s="1"/>
  <c r="M666" i="53" s="1"/>
  <c r="M682" i="53" s="1"/>
  <c r="S175" i="53"/>
  <c r="S642" i="53" s="1"/>
  <c r="S666" i="53" s="1"/>
  <c r="S682" i="53" s="1"/>
  <c r="U175" i="53"/>
  <c r="U642" i="53" s="1"/>
  <c r="U666" i="53" s="1"/>
  <c r="U682" i="53" s="1"/>
  <c r="I211" i="1"/>
  <c r="I213" i="1" s="1"/>
  <c r="L235" i="53"/>
  <c r="L230" i="53"/>
  <c r="L919" i="53"/>
  <c r="L920" i="53" s="1"/>
  <c r="N230" i="53"/>
  <c r="N235" i="53"/>
  <c r="N919" i="53"/>
  <c r="N920" i="53" s="1"/>
  <c r="J920" i="1" s="1"/>
  <c r="I171" i="53"/>
  <c r="I638" i="53" s="1"/>
  <c r="J171" i="53"/>
  <c r="J638" i="53" s="1"/>
  <c r="P171" i="53"/>
  <c r="P638" i="53" s="1"/>
  <c r="K171" i="53"/>
  <c r="K638" i="53" s="1"/>
  <c r="V171" i="53"/>
  <c r="V638" i="53" s="1"/>
  <c r="R171" i="53"/>
  <c r="R638" i="53" s="1"/>
  <c r="U171" i="53"/>
  <c r="U638" i="53" s="1"/>
  <c r="N171" i="53"/>
  <c r="N638" i="53" s="1"/>
  <c r="S171" i="53"/>
  <c r="S638" i="53" s="1"/>
  <c r="L171" i="53"/>
  <c r="L638" i="53" s="1"/>
  <c r="T171" i="53"/>
  <c r="T638" i="53" s="1"/>
  <c r="O171" i="53"/>
  <c r="O638" i="53" s="1"/>
  <c r="Q171" i="53"/>
  <c r="Q638" i="53" s="1"/>
  <c r="M171" i="53"/>
  <c r="M638" i="53" s="1"/>
  <c r="P764" i="1"/>
  <c r="P759" i="1"/>
  <c r="AB100" i="1"/>
  <c r="AB109" i="1" s="1"/>
  <c r="X102" i="1"/>
  <c r="X113" i="1" s="1"/>
  <c r="AB101" i="1"/>
  <c r="AB116" i="1" s="1"/>
  <c r="M113" i="1"/>
  <c r="O230" i="53"/>
  <c r="O919" i="53"/>
  <c r="O920" i="53" s="1"/>
  <c r="O235" i="53"/>
  <c r="V919" i="53"/>
  <c r="V920" i="53" s="1"/>
  <c r="V230" i="53"/>
  <c r="V235" i="53"/>
  <c r="J235" i="53"/>
  <c r="J919" i="53"/>
  <c r="J920" i="53" s="1"/>
  <c r="J230" i="53"/>
  <c r="I191" i="53"/>
  <c r="G145" i="53"/>
  <c r="W100" i="1"/>
  <c r="W109" i="1" s="1"/>
  <c r="W101" i="1"/>
  <c r="W116" i="1" s="1"/>
  <c r="V101" i="1"/>
  <c r="V116" i="1" s="1"/>
  <c r="T101" i="1"/>
  <c r="T116" i="1" s="1"/>
  <c r="T102" i="1"/>
  <c r="T113" i="1" s="1"/>
  <c r="AE100" i="1"/>
  <c r="AE109" i="1" s="1"/>
  <c r="AD102" i="1"/>
  <c r="AD113" i="1" s="1"/>
  <c r="X101" i="1"/>
  <c r="X116" i="1" s="1"/>
  <c r="AD101" i="1"/>
  <c r="AD116" i="1" s="1"/>
  <c r="AE101" i="1"/>
  <c r="AE116" i="1" s="1"/>
  <c r="O102" i="1"/>
  <c r="O113" i="1" s="1"/>
  <c r="P113" i="1"/>
  <c r="AD100" i="1"/>
  <c r="AD108" i="1" s="1"/>
  <c r="X100" i="1"/>
  <c r="X108" i="1" s="1"/>
  <c r="AA102" i="1"/>
  <c r="AA112" i="1" s="1"/>
  <c r="O101" i="1"/>
  <c r="O116" i="1" s="1"/>
  <c r="Q113" i="1"/>
  <c r="S103" i="1"/>
  <c r="S117" i="1" s="1"/>
  <c r="S102" i="1"/>
  <c r="R102" i="1"/>
  <c r="R101" i="1"/>
  <c r="R116" i="1" s="1"/>
  <c r="N103" i="1"/>
  <c r="N117" i="1" s="1"/>
  <c r="N101" i="1"/>
  <c r="N116" i="1" s="1"/>
  <c r="Z102" i="1"/>
  <c r="Z101" i="1"/>
  <c r="Z116" i="1" s="1"/>
  <c r="Z103" i="1"/>
  <c r="Z117" i="1" s="1"/>
  <c r="AD204" i="1"/>
  <c r="AD206" i="1" s="1"/>
  <c r="AA35" i="50"/>
  <c r="AC35" i="50" s="1"/>
  <c r="S185" i="3"/>
  <c r="H218" i="3"/>
  <c r="I185" i="3"/>
  <c r="S324" i="3"/>
  <c r="R334" i="3"/>
  <c r="R345" i="3" s="1"/>
  <c r="R355" i="3" s="1"/>
  <c r="R286" i="3"/>
  <c r="H286" i="3"/>
  <c r="D10" i="46"/>
  <c r="E9" i="46"/>
  <c r="P594" i="1"/>
  <c r="P596" i="1" s="1"/>
  <c r="P332" i="1"/>
  <c r="P382" i="1" s="1"/>
  <c r="P431" i="1" s="1"/>
  <c r="P482" i="1" s="1"/>
  <c r="P531" i="1" s="1"/>
  <c r="P336" i="1"/>
  <c r="P386" i="1" s="1"/>
  <c r="P435" i="1" s="1"/>
  <c r="P486" i="1" s="1"/>
  <c r="P727" i="1"/>
  <c r="P368" i="1"/>
  <c r="P417" i="1" s="1"/>
  <c r="P466" i="1" s="1"/>
  <c r="P517" i="1" s="1"/>
  <c r="P571" i="1" s="1"/>
  <c r="P712" i="1"/>
  <c r="P353" i="1"/>
  <c r="P402" i="1" s="1"/>
  <c r="P711" i="1"/>
  <c r="P726" i="1"/>
  <c r="P725" i="1"/>
  <c r="AE113" i="1"/>
  <c r="P331" i="1"/>
  <c r="P381" i="1" s="1"/>
  <c r="P340" i="1"/>
  <c r="P389" i="1" s="1"/>
  <c r="P438" i="1" s="1"/>
  <c r="P489" i="1" s="1"/>
  <c r="P539" i="1" s="1"/>
  <c r="K1285" i="1"/>
  <c r="K1277" i="1" s="1"/>
  <c r="S109" i="1"/>
  <c r="E40" i="43"/>
  <c r="D42" i="49"/>
  <c r="D65" i="49" s="1"/>
  <c r="G2" i="4"/>
  <c r="L1155" i="1"/>
  <c r="G2" i="49"/>
  <c r="AD211" i="1"/>
  <c r="AD213" i="1" s="1"/>
  <c r="M2" i="1"/>
  <c r="AC204" i="1"/>
  <c r="AC206" i="1" s="1"/>
  <c r="K1391" i="1"/>
  <c r="K1432" i="1" s="1"/>
  <c r="L1206" i="1"/>
  <c r="P597" i="1"/>
  <c r="P357" i="1"/>
  <c r="P406" i="1" s="1"/>
  <c r="P455" i="1" s="1"/>
  <c r="P506" i="1" s="1"/>
  <c r="P559" i="1" s="1"/>
  <c r="P352" i="1"/>
  <c r="P401" i="1" s="1"/>
  <c r="P450" i="1" s="1"/>
  <c r="P501" i="1" s="1"/>
  <c r="P358" i="1"/>
  <c r="P407" i="1" s="1"/>
  <c r="P456" i="1" s="1"/>
  <c r="P507" i="1" s="1"/>
  <c r="P560" i="1" s="1"/>
  <c r="P360" i="1"/>
  <c r="P409" i="1" s="1"/>
  <c r="P458" i="1" s="1"/>
  <c r="P509" i="1" s="1"/>
  <c r="P562" i="1" s="1"/>
  <c r="P366" i="1"/>
  <c r="P415" i="1" s="1"/>
  <c r="P464" i="1" s="1"/>
  <c r="P515" i="1" s="1"/>
  <c r="P569" i="1" s="1"/>
  <c r="P760" i="1"/>
  <c r="P348" i="1"/>
  <c r="P397" i="1" s="1"/>
  <c r="P446" i="1" s="1"/>
  <c r="P497" i="1" s="1"/>
  <c r="P548" i="1" s="1"/>
  <c r="P367" i="1"/>
  <c r="P416" i="1" s="1"/>
  <c r="P465" i="1" s="1"/>
  <c r="P516" i="1" s="1"/>
  <c r="P570" i="1" s="1"/>
  <c r="Z109" i="1"/>
  <c r="Z108" i="1"/>
  <c r="AC109" i="1"/>
  <c r="AC108" i="1"/>
  <c r="AC119" i="1" s="1"/>
  <c r="AC737" i="1" s="1"/>
  <c r="Y109" i="1"/>
  <c r="Y108" i="1"/>
  <c r="N109" i="1"/>
  <c r="N108" i="1"/>
  <c r="W58" i="1"/>
  <c r="W66" i="1"/>
  <c r="W25" i="1" s="1"/>
  <c r="K58" i="1"/>
  <c r="K66" i="1"/>
  <c r="K25" i="1" s="1"/>
  <c r="T58" i="1"/>
  <c r="T66" i="1"/>
  <c r="T25" i="1" s="1"/>
  <c r="U58" i="1"/>
  <c r="U66" i="1"/>
  <c r="U25" i="1" s="1"/>
  <c r="Z58" i="1"/>
  <c r="Z66" i="1"/>
  <c r="Z25" i="1" s="1"/>
  <c r="N58" i="1"/>
  <c r="N66" i="1"/>
  <c r="N25" i="1" s="1"/>
  <c r="X58" i="1"/>
  <c r="X66" i="1"/>
  <c r="X25" i="1" s="1"/>
  <c r="Q58" i="1"/>
  <c r="Q66" i="1"/>
  <c r="Q25" i="1" s="1"/>
  <c r="S58" i="1"/>
  <c r="S66" i="1"/>
  <c r="S25" i="1" s="1"/>
  <c r="AD58" i="1"/>
  <c r="AD51" i="1" s="1"/>
  <c r="AD66" i="1"/>
  <c r="AD25" i="1" s="1"/>
  <c r="Y58" i="1"/>
  <c r="Y66" i="1"/>
  <c r="Y25" i="1" s="1"/>
  <c r="L58" i="1"/>
  <c r="L66" i="1"/>
  <c r="L25" i="1" s="1"/>
  <c r="O58" i="1"/>
  <c r="O66" i="1"/>
  <c r="O25" i="1" s="1"/>
  <c r="AE58" i="1"/>
  <c r="AE66" i="1"/>
  <c r="AE25" i="1" s="1"/>
  <c r="M58" i="1"/>
  <c r="M66" i="1"/>
  <c r="M25" i="1" s="1"/>
  <c r="V58" i="1"/>
  <c r="V66" i="1"/>
  <c r="V25" i="1" s="1"/>
  <c r="AB58" i="1"/>
  <c r="AB66" i="1"/>
  <c r="AB25" i="1" s="1"/>
  <c r="P58" i="1"/>
  <c r="P66" i="1"/>
  <c r="P25" i="1" s="1"/>
  <c r="AC58" i="1"/>
  <c r="AC51" i="1" s="1"/>
  <c r="AC66" i="1"/>
  <c r="AC25" i="1" s="1"/>
  <c r="S204" i="1"/>
  <c r="S206" i="1" s="1"/>
  <c r="L211" i="1"/>
  <c r="L213" i="1" s="1"/>
  <c r="L325" i="1"/>
  <c r="P345" i="1"/>
  <c r="P394" i="1" s="1"/>
  <c r="P728" i="1"/>
  <c r="P375" i="1"/>
  <c r="P424" i="1" s="1"/>
  <c r="P473" i="1" s="1"/>
  <c r="P524" i="1" s="1"/>
  <c r="P346" i="1"/>
  <c r="P395" i="1" s="1"/>
  <c r="P444" i="1" s="1"/>
  <c r="P495" i="1" s="1"/>
  <c r="P546" i="1" s="1"/>
  <c r="P342" i="1"/>
  <c r="P391" i="1" s="1"/>
  <c r="O204" i="1"/>
  <c r="O206" i="1" s="1"/>
  <c r="N204" i="1"/>
  <c r="N206" i="1" s="1"/>
  <c r="F30" i="43"/>
  <c r="F15" i="43"/>
  <c r="F17" i="43" s="1"/>
  <c r="H6" i="46"/>
  <c r="F5" i="4"/>
  <c r="E42" i="4"/>
  <c r="E65" i="4" s="1"/>
  <c r="O211" i="1"/>
  <c r="O213" i="1" s="1"/>
  <c r="Y211" i="1"/>
  <c r="Y213" i="1" s="1"/>
  <c r="P724" i="1"/>
  <c r="P341" i="1"/>
  <c r="P390" i="1" s="1"/>
  <c r="P439" i="1" s="1"/>
  <c r="P490" i="1" s="1"/>
  <c r="P330" i="1"/>
  <c r="P380" i="1" s="1"/>
  <c r="P429" i="1" s="1"/>
  <c r="P480" i="1" s="1"/>
  <c r="P529" i="1" s="1"/>
  <c r="P333" i="1"/>
  <c r="P383" i="1" s="1"/>
  <c r="P432" i="1" s="1"/>
  <c r="P483" i="1" s="1"/>
  <c r="P532" i="1" s="1"/>
  <c r="P356" i="1"/>
  <c r="P405" i="1" s="1"/>
  <c r="P454" i="1" s="1"/>
  <c r="P505" i="1" s="1"/>
  <c r="Y204" i="1"/>
  <c r="Y206" i="1" s="1"/>
  <c r="X211" i="1"/>
  <c r="X213" i="1" s="1"/>
  <c r="AC211" i="1"/>
  <c r="AC213" i="1" s="1"/>
  <c r="Y325" i="1"/>
  <c r="N211" i="1"/>
  <c r="N213" i="1" s="1"/>
  <c r="AC325" i="1"/>
  <c r="AB204" i="1"/>
  <c r="AB206" i="1" s="1"/>
  <c r="T726" i="1"/>
  <c r="B706" i="1"/>
  <c r="B189" i="1"/>
  <c r="AE325" i="1"/>
  <c r="M325" i="1"/>
  <c r="P361" i="1"/>
  <c r="P410" i="1" s="1"/>
  <c r="P459" i="1" s="1"/>
  <c r="P510" i="1" s="1"/>
  <c r="P563" i="1" s="1"/>
  <c r="AA325" i="1"/>
  <c r="L1427" i="1"/>
  <c r="L1391" i="1"/>
  <c r="L1432" i="1" s="1"/>
  <c r="I1880" i="1"/>
  <c r="I1285" i="1"/>
  <c r="I1277" i="1" s="1"/>
  <c r="W211" i="1"/>
  <c r="W213" i="1" s="1"/>
  <c r="AE204" i="1"/>
  <c r="AE206" i="1" s="1"/>
  <c r="T325" i="1"/>
  <c r="S325" i="1"/>
  <c r="C54" i="43"/>
  <c r="D54" i="43" s="1"/>
  <c r="D55" i="43" s="1"/>
  <c r="L1" i="1"/>
  <c r="AC104" i="1"/>
  <c r="AC914" i="1" s="1"/>
  <c r="B143" i="1"/>
  <c r="B151" i="1" s="1"/>
  <c r="B128" i="1"/>
  <c r="F24" i="43"/>
  <c r="Q325" i="1"/>
  <c r="P325" i="1"/>
  <c r="E42" i="49"/>
  <c r="E65" i="49" s="1"/>
  <c r="F5" i="49"/>
  <c r="E24" i="43"/>
  <c r="AC845" i="1"/>
  <c r="K325" i="1"/>
  <c r="F50" i="43"/>
  <c r="F52" i="43" s="1"/>
  <c r="N325" i="1"/>
  <c r="W325" i="1"/>
  <c r="AE845" i="1"/>
  <c r="G255" i="1"/>
  <c r="F10" i="43"/>
  <c r="F11" i="43" s="1"/>
  <c r="AD325" i="1"/>
  <c r="X845" i="1"/>
  <c r="Z845" i="1"/>
  <c r="O325" i="1"/>
  <c r="W204" i="1"/>
  <c r="W206" i="1" s="1"/>
  <c r="Z204" i="1"/>
  <c r="Z206" i="1" s="1"/>
  <c r="M845" i="1"/>
  <c r="U845" i="1"/>
  <c r="AB845" i="1"/>
  <c r="V845" i="1"/>
  <c r="AA845" i="1"/>
  <c r="V325" i="1"/>
  <c r="U325" i="1"/>
  <c r="AB325" i="1"/>
  <c r="R325" i="1"/>
  <c r="Z325" i="1"/>
  <c r="X325" i="1"/>
  <c r="U211" i="1"/>
  <c r="U213" i="1" s="1"/>
  <c r="R845" i="1"/>
  <c r="W845" i="1"/>
  <c r="T845" i="1"/>
  <c r="AD845" i="1"/>
  <c r="N845" i="1"/>
  <c r="S845" i="1"/>
  <c r="F40" i="43"/>
  <c r="Q845" i="1"/>
  <c r="Y845" i="1"/>
  <c r="P845" i="1"/>
  <c r="O845" i="1"/>
  <c r="M204" i="1"/>
  <c r="M206" i="1" s="1"/>
  <c r="D871" i="1"/>
  <c r="P351" i="1"/>
  <c r="P400" i="1" s="1"/>
  <c r="P449" i="1" s="1"/>
  <c r="P500" i="1" s="1"/>
  <c r="P552" i="1" s="1"/>
  <c r="P370" i="1"/>
  <c r="P419" i="1" s="1"/>
  <c r="P468" i="1" s="1"/>
  <c r="P519" i="1" s="1"/>
  <c r="P365" i="1"/>
  <c r="P414" i="1" s="1"/>
  <c r="AB345" i="1"/>
  <c r="AB394" i="1" s="1"/>
  <c r="AB443" i="1" s="1"/>
  <c r="AB727" i="1"/>
  <c r="AB711" i="1"/>
  <c r="R204" i="1"/>
  <c r="R206" i="1" s="1"/>
  <c r="AB211" i="1"/>
  <c r="AB213" i="1" s="1"/>
  <c r="T211" i="1"/>
  <c r="T213" i="1" s="1"/>
  <c r="P211" i="1"/>
  <c r="P213" i="1" s="1"/>
  <c r="K211" i="1"/>
  <c r="K213" i="1" s="1"/>
  <c r="P204" i="1"/>
  <c r="P206" i="1" s="1"/>
  <c r="S211" i="1"/>
  <c r="S213" i="1" s="1"/>
  <c r="V204" i="1"/>
  <c r="V206" i="1" s="1"/>
  <c r="X204" i="1"/>
  <c r="X206" i="1" s="1"/>
  <c r="Z211" i="1"/>
  <c r="Z213" i="1" s="1"/>
  <c r="AE211" i="1"/>
  <c r="AE213" i="1" s="1"/>
  <c r="AA204" i="1"/>
  <c r="AA206" i="1" s="1"/>
  <c r="Q211" i="1"/>
  <c r="Q213" i="1" s="1"/>
  <c r="R211" i="1"/>
  <c r="R213" i="1" s="1"/>
  <c r="T204" i="1"/>
  <c r="T206" i="1" s="1"/>
  <c r="V211" i="1"/>
  <c r="V213" i="1" s="1"/>
  <c r="M211" i="1"/>
  <c r="M213" i="1" s="1"/>
  <c r="AA211" i="1"/>
  <c r="AA213" i="1" s="1"/>
  <c r="U204" i="1"/>
  <c r="U206" i="1" s="1"/>
  <c r="Q204" i="1"/>
  <c r="Q206" i="1" s="1"/>
  <c r="X594" i="1"/>
  <c r="X596" i="1" s="1"/>
  <c r="AB712" i="1"/>
  <c r="AB725" i="1"/>
  <c r="AB594" i="1"/>
  <c r="AB596" i="1" s="1"/>
  <c r="AB765" i="1"/>
  <c r="AB331" i="1"/>
  <c r="AB381" i="1" s="1"/>
  <c r="AB430" i="1" s="1"/>
  <c r="AB728" i="1"/>
  <c r="P372" i="1"/>
  <c r="P359" i="1"/>
  <c r="P408" i="1" s="1"/>
  <c r="P457" i="1" s="1"/>
  <c r="P371" i="1"/>
  <c r="P420" i="1" s="1"/>
  <c r="P469" i="1" s="1"/>
  <c r="P765" i="1"/>
  <c r="P362" i="1"/>
  <c r="P411" i="1" s="1"/>
  <c r="P460" i="1" s="1"/>
  <c r="P511" i="1" s="1"/>
  <c r="P564" i="1" s="1"/>
  <c r="P347" i="1"/>
  <c r="P396" i="1" s="1"/>
  <c r="P445" i="1" s="1"/>
  <c r="P496" i="1" s="1"/>
  <c r="P547" i="1" s="1"/>
  <c r="P373" i="1"/>
  <c r="P422" i="1" s="1"/>
  <c r="P471" i="1" s="1"/>
  <c r="P522" i="1" s="1"/>
  <c r="P576" i="1" s="1"/>
  <c r="P369" i="1"/>
  <c r="P418" i="1" s="1"/>
  <c r="P467" i="1" s="1"/>
  <c r="P334" i="1"/>
  <c r="P384" i="1" s="1"/>
  <c r="P433" i="1" s="1"/>
  <c r="P484" i="1" s="1"/>
  <c r="P533" i="1" s="1"/>
  <c r="P335" i="1"/>
  <c r="P385" i="1" s="1"/>
  <c r="P434" i="1" s="1"/>
  <c r="P485" i="1" s="1"/>
  <c r="P534" i="1" s="1"/>
  <c r="P599" i="1"/>
  <c r="T712" i="1"/>
  <c r="X725" i="1"/>
  <c r="T724" i="1"/>
  <c r="T594" i="1"/>
  <c r="T596" i="1" s="1"/>
  <c r="X728" i="1"/>
  <c r="T711" i="1"/>
  <c r="T727" i="1"/>
  <c r="X726" i="1"/>
  <c r="X711" i="1"/>
  <c r="T725" i="1"/>
  <c r="X712" i="1"/>
  <c r="T728" i="1"/>
  <c r="T331" i="1"/>
  <c r="T381" i="1" s="1"/>
  <c r="T430" i="1" s="1"/>
  <c r="T481" i="1" s="1"/>
  <c r="T530" i="1" s="1"/>
  <c r="T362" i="1"/>
  <c r="T411" i="1" s="1"/>
  <c r="T460" i="1" s="1"/>
  <c r="T511" i="1" s="1"/>
  <c r="T564" i="1" s="1"/>
  <c r="T358" i="1"/>
  <c r="T365" i="1"/>
  <c r="T341" i="1"/>
  <c r="T390" i="1" s="1"/>
  <c r="T439" i="1" s="1"/>
  <c r="T490" i="1" s="1"/>
  <c r="T540" i="1" s="1"/>
  <c r="T370" i="1"/>
  <c r="T419" i="1" s="1"/>
  <c r="T468" i="1" s="1"/>
  <c r="T519" i="1" s="1"/>
  <c r="T573" i="1" s="1"/>
  <c r="T332" i="1"/>
  <c r="T373" i="1"/>
  <c r="T422" i="1" s="1"/>
  <c r="T471" i="1" s="1"/>
  <c r="T372" i="1"/>
  <c r="T421" i="1" s="1"/>
  <c r="T470" i="1" s="1"/>
  <c r="T521" i="1" s="1"/>
  <c r="T575" i="1" s="1"/>
  <c r="T333" i="1"/>
  <c r="T346" i="1"/>
  <c r="T395" i="1" s="1"/>
  <c r="T444" i="1" s="1"/>
  <c r="T760" i="1"/>
  <c r="T347" i="1"/>
  <c r="T396" i="1" s="1"/>
  <c r="T445" i="1" s="1"/>
  <c r="T496" i="1" s="1"/>
  <c r="T547" i="1" s="1"/>
  <c r="T765" i="1"/>
  <c r="T342" i="1"/>
  <c r="T369" i="1"/>
  <c r="T418" i="1" s="1"/>
  <c r="T467" i="1" s="1"/>
  <c r="T518" i="1" s="1"/>
  <c r="T572" i="1" s="1"/>
  <c r="T335" i="1"/>
  <c r="T340" i="1"/>
  <c r="T389" i="1" s="1"/>
  <c r="T438" i="1" s="1"/>
  <c r="T489" i="1" s="1"/>
  <c r="T539" i="1" s="1"/>
  <c r="T371" i="1"/>
  <c r="T420" i="1" s="1"/>
  <c r="T469" i="1" s="1"/>
  <c r="T520" i="1" s="1"/>
  <c r="T574" i="1" s="1"/>
  <c r="T336" i="1"/>
  <c r="T386" i="1" s="1"/>
  <c r="T435" i="1" s="1"/>
  <c r="T486" i="1" s="1"/>
  <c r="T535" i="1" s="1"/>
  <c r="T359" i="1"/>
  <c r="T408" i="1" s="1"/>
  <c r="T457" i="1" s="1"/>
  <c r="T508" i="1" s="1"/>
  <c r="T561" i="1" s="1"/>
  <c r="T597" i="1"/>
  <c r="T361" i="1"/>
  <c r="T410" i="1" s="1"/>
  <c r="T459" i="1" s="1"/>
  <c r="T510" i="1" s="1"/>
  <c r="T563" i="1" s="1"/>
  <c r="T330" i="1"/>
  <c r="T380" i="1" s="1"/>
  <c r="T429" i="1" s="1"/>
  <c r="T366" i="1"/>
  <c r="T415" i="1" s="1"/>
  <c r="T464" i="1" s="1"/>
  <c r="T515" i="1" s="1"/>
  <c r="T569" i="1" s="1"/>
  <c r="T351" i="1"/>
  <c r="T400" i="1" s="1"/>
  <c r="T449" i="1" s="1"/>
  <c r="T352" i="1"/>
  <c r="T401" i="1" s="1"/>
  <c r="T450" i="1" s="1"/>
  <c r="T353" i="1"/>
  <c r="T402" i="1" s="1"/>
  <c r="T451" i="1" s="1"/>
  <c r="T502" i="1" s="1"/>
  <c r="T554" i="1" s="1"/>
  <c r="T368" i="1"/>
  <c r="T417" i="1" s="1"/>
  <c r="T466" i="1" s="1"/>
  <c r="T517" i="1" s="1"/>
  <c r="T571" i="1" s="1"/>
  <c r="T348" i="1"/>
  <c r="T357" i="1"/>
  <c r="T406" i="1" s="1"/>
  <c r="T455" i="1" s="1"/>
  <c r="T375" i="1"/>
  <c r="T424" i="1" s="1"/>
  <c r="T473" i="1" s="1"/>
  <c r="T524" i="1" s="1"/>
  <c r="T579" i="1" s="1"/>
  <c r="T360" i="1"/>
  <c r="T409" i="1" s="1"/>
  <c r="T458" i="1" s="1"/>
  <c r="T509" i="1" s="1"/>
  <c r="T562" i="1" s="1"/>
  <c r="T334" i="1"/>
  <c r="T384" i="1" s="1"/>
  <c r="T433" i="1" s="1"/>
  <c r="T484" i="1" s="1"/>
  <c r="T533" i="1" s="1"/>
  <c r="T345" i="1"/>
  <c r="T394" i="1" s="1"/>
  <c r="T443" i="1" s="1"/>
  <c r="T356" i="1"/>
  <c r="T367" i="1"/>
  <c r="T416" i="1" s="1"/>
  <c r="T465" i="1" s="1"/>
  <c r="T516" i="1" s="1"/>
  <c r="T570" i="1" s="1"/>
  <c r="T599" i="1"/>
  <c r="X367" i="1"/>
  <c r="X416" i="1" s="1"/>
  <c r="X465" i="1" s="1"/>
  <c r="X516" i="1" s="1"/>
  <c r="X570" i="1" s="1"/>
  <c r="X371" i="1"/>
  <c r="X366" i="1"/>
  <c r="X415" i="1" s="1"/>
  <c r="X464" i="1" s="1"/>
  <c r="X515" i="1" s="1"/>
  <c r="X569" i="1" s="1"/>
  <c r="X331" i="1"/>
  <c r="X361" i="1"/>
  <c r="X410" i="1" s="1"/>
  <c r="X459" i="1" s="1"/>
  <c r="X510" i="1" s="1"/>
  <c r="X563" i="1" s="1"/>
  <c r="X369" i="1"/>
  <c r="X418" i="1" s="1"/>
  <c r="X467" i="1" s="1"/>
  <c r="X518" i="1" s="1"/>
  <c r="X572" i="1" s="1"/>
  <c r="X368" i="1"/>
  <c r="X597" i="1"/>
  <c r="X348" i="1"/>
  <c r="X397" i="1" s="1"/>
  <c r="X446" i="1" s="1"/>
  <c r="X497" i="1" s="1"/>
  <c r="X548" i="1" s="1"/>
  <c r="X332" i="1"/>
  <c r="X382" i="1" s="1"/>
  <c r="X431" i="1" s="1"/>
  <c r="X482" i="1" s="1"/>
  <c r="X531" i="1" s="1"/>
  <c r="X357" i="1"/>
  <c r="X406" i="1" s="1"/>
  <c r="X455" i="1" s="1"/>
  <c r="X506" i="1" s="1"/>
  <c r="X559" i="1" s="1"/>
  <c r="X765" i="1"/>
  <c r="X353" i="1"/>
  <c r="X402" i="1" s="1"/>
  <c r="X451" i="1" s="1"/>
  <c r="X502" i="1" s="1"/>
  <c r="X554" i="1" s="1"/>
  <c r="X345" i="1"/>
  <c r="X334" i="1"/>
  <c r="X384" i="1" s="1"/>
  <c r="X433" i="1" s="1"/>
  <c r="X330" i="1"/>
  <c r="X372" i="1"/>
  <c r="X421" i="1" s="1"/>
  <c r="X470" i="1" s="1"/>
  <c r="X521" i="1" s="1"/>
  <c r="X575" i="1" s="1"/>
  <c r="X340" i="1"/>
  <c r="X389" i="1" s="1"/>
  <c r="X438" i="1" s="1"/>
  <c r="X724" i="1"/>
  <c r="X335" i="1"/>
  <c r="X385" i="1" s="1"/>
  <c r="X434" i="1" s="1"/>
  <c r="X485" i="1" s="1"/>
  <c r="X336" i="1"/>
  <c r="X386" i="1" s="1"/>
  <c r="X435" i="1" s="1"/>
  <c r="X486" i="1" s="1"/>
  <c r="X535" i="1" s="1"/>
  <c r="X346" i="1"/>
  <c r="X395" i="1" s="1"/>
  <c r="X444" i="1" s="1"/>
  <c r="X341" i="1"/>
  <c r="X390" i="1" s="1"/>
  <c r="X439" i="1" s="1"/>
  <c r="X490" i="1" s="1"/>
  <c r="X540" i="1" s="1"/>
  <c r="X358" i="1"/>
  <c r="X365" i="1"/>
  <c r="X414" i="1" s="1"/>
  <c r="X463" i="1" s="1"/>
  <c r="X514" i="1" s="1"/>
  <c r="X568" i="1" s="1"/>
  <c r="X356" i="1"/>
  <c r="X360" i="1"/>
  <c r="X409" i="1" s="1"/>
  <c r="X458" i="1" s="1"/>
  <c r="X760" i="1"/>
  <c r="X375" i="1"/>
  <c r="X424" i="1" s="1"/>
  <c r="X473" i="1" s="1"/>
  <c r="X347" i="1"/>
  <c r="X396" i="1" s="1"/>
  <c r="X445" i="1" s="1"/>
  <c r="X370" i="1"/>
  <c r="X373" i="1"/>
  <c r="X333" i="1"/>
  <c r="X383" i="1" s="1"/>
  <c r="X432" i="1" s="1"/>
  <c r="X483" i="1" s="1"/>
  <c r="X532" i="1" s="1"/>
  <c r="X342" i="1"/>
  <c r="X359" i="1"/>
  <c r="X408" i="1" s="1"/>
  <c r="X457" i="1" s="1"/>
  <c r="X508" i="1" s="1"/>
  <c r="X561" i="1" s="1"/>
  <c r="X351" i="1"/>
  <c r="X362" i="1"/>
  <c r="X352" i="1"/>
  <c r="X401" i="1" s="1"/>
  <c r="X450" i="1" s="1"/>
  <c r="X599" i="1"/>
  <c r="Q594" i="1"/>
  <c r="Q596" i="1" s="1"/>
  <c r="Q726" i="1"/>
  <c r="Q362" i="1"/>
  <c r="Q411" i="1" s="1"/>
  <c r="Q460" i="1" s="1"/>
  <c r="Q511" i="1" s="1"/>
  <c r="Q564" i="1" s="1"/>
  <c r="Q365" i="1"/>
  <c r="Q414" i="1" s="1"/>
  <c r="Q463" i="1" s="1"/>
  <c r="Q514" i="1" s="1"/>
  <c r="Q568" i="1" s="1"/>
  <c r="Q358" i="1"/>
  <c r="Q340" i="1"/>
  <c r="Q389" i="1" s="1"/>
  <c r="Q438" i="1" s="1"/>
  <c r="Q489" i="1" s="1"/>
  <c r="Q539" i="1" s="1"/>
  <c r="Q724" i="1"/>
  <c r="Q357" i="1"/>
  <c r="Q406" i="1" s="1"/>
  <c r="Q455" i="1" s="1"/>
  <c r="Q506" i="1" s="1"/>
  <c r="Q559" i="1" s="1"/>
  <c r="Q341" i="1"/>
  <c r="Q335" i="1"/>
  <c r="Q385" i="1" s="1"/>
  <c r="Q434" i="1" s="1"/>
  <c r="Q361" i="1"/>
  <c r="Q410" i="1" s="1"/>
  <c r="Q459" i="1" s="1"/>
  <c r="Q510" i="1" s="1"/>
  <c r="Q563" i="1" s="1"/>
  <c r="Q373" i="1"/>
  <c r="Q422" i="1" s="1"/>
  <c r="Q471" i="1" s="1"/>
  <c r="Q522" i="1" s="1"/>
  <c r="Q576" i="1" s="1"/>
  <c r="Q370" i="1"/>
  <c r="Q419" i="1" s="1"/>
  <c r="Q468" i="1" s="1"/>
  <c r="Q519" i="1" s="1"/>
  <c r="Q573" i="1" s="1"/>
  <c r="Q367" i="1"/>
  <c r="Q375" i="1"/>
  <c r="Q332" i="1"/>
  <c r="Q382" i="1" s="1"/>
  <c r="Q431" i="1" s="1"/>
  <c r="Q336" i="1"/>
  <c r="Q386" i="1" s="1"/>
  <c r="Q435" i="1" s="1"/>
  <c r="Q486" i="1" s="1"/>
  <c r="Q535" i="1" s="1"/>
  <c r="Q353" i="1"/>
  <c r="Q712" i="1"/>
  <c r="Q728" i="1"/>
  <c r="Q372" i="1"/>
  <c r="Q421" i="1" s="1"/>
  <c r="Q470" i="1" s="1"/>
  <c r="Q521" i="1" s="1"/>
  <c r="Q575" i="1" s="1"/>
  <c r="Q330" i="1"/>
  <c r="Q331" i="1"/>
  <c r="Q381" i="1" s="1"/>
  <c r="Q430" i="1" s="1"/>
  <c r="Q481" i="1" s="1"/>
  <c r="Q530" i="1" s="1"/>
  <c r="Q760" i="1"/>
  <c r="Q727" i="1"/>
  <c r="Q725" i="1"/>
  <c r="Q711" i="1"/>
  <c r="Q348" i="1"/>
  <c r="Q351" i="1"/>
  <c r="Q334" i="1"/>
  <c r="Q346" i="1"/>
  <c r="Q360" i="1"/>
  <c r="Q409" i="1" s="1"/>
  <c r="Q458" i="1" s="1"/>
  <c r="Q509" i="1" s="1"/>
  <c r="Q562" i="1" s="1"/>
  <c r="Q333" i="1"/>
  <c r="Q383" i="1" s="1"/>
  <c r="Q432" i="1" s="1"/>
  <c r="Q483" i="1" s="1"/>
  <c r="Q532" i="1" s="1"/>
  <c r="Q352" i="1"/>
  <c r="Q765" i="1"/>
  <c r="Q345" i="1"/>
  <c r="Q394" i="1" s="1"/>
  <c r="Q443" i="1" s="1"/>
  <c r="Q494" i="1" s="1"/>
  <c r="Q545" i="1" s="1"/>
  <c r="Q342" i="1"/>
  <c r="Q391" i="1" s="1"/>
  <c r="Q440" i="1" s="1"/>
  <c r="Q491" i="1" s="1"/>
  <c r="Q541" i="1" s="1"/>
  <c r="Q356" i="1"/>
  <c r="Q347" i="1"/>
  <c r="Q396" i="1" s="1"/>
  <c r="Q445" i="1" s="1"/>
  <c r="Q496" i="1" s="1"/>
  <c r="Q547" i="1" s="1"/>
  <c r="Q359" i="1"/>
  <c r="Q371" i="1"/>
  <c r="Q420" i="1" s="1"/>
  <c r="Q469" i="1" s="1"/>
  <c r="Q369" i="1"/>
  <c r="Q418" i="1" s="1"/>
  <c r="Q467" i="1" s="1"/>
  <c r="Q518" i="1" s="1"/>
  <c r="Q572" i="1" s="1"/>
  <c r="Q366" i="1"/>
  <c r="Q415" i="1" s="1"/>
  <c r="Q464" i="1" s="1"/>
  <c r="Q368" i="1"/>
  <c r="Q417" i="1" s="1"/>
  <c r="Q466" i="1" s="1"/>
  <c r="Q517" i="1" s="1"/>
  <c r="Q571" i="1" s="1"/>
  <c r="Q597" i="1"/>
  <c r="Q599" i="1"/>
  <c r="W594" i="1"/>
  <c r="W596" i="1" s="1"/>
  <c r="W726" i="1"/>
  <c r="W711" i="1"/>
  <c r="W725" i="1"/>
  <c r="W712" i="1"/>
  <c r="W373" i="1"/>
  <c r="W422" i="1" s="1"/>
  <c r="W471" i="1" s="1"/>
  <c r="W522" i="1" s="1"/>
  <c r="W576" i="1" s="1"/>
  <c r="W367" i="1"/>
  <c r="W416" i="1" s="1"/>
  <c r="W465" i="1" s="1"/>
  <c r="W516" i="1" s="1"/>
  <c r="W570" i="1" s="1"/>
  <c r="W357" i="1"/>
  <c r="W406" i="1" s="1"/>
  <c r="W455" i="1" s="1"/>
  <c r="W506" i="1" s="1"/>
  <c r="W559" i="1" s="1"/>
  <c r="W334" i="1"/>
  <c r="W384" i="1" s="1"/>
  <c r="W433" i="1" s="1"/>
  <c r="W484" i="1" s="1"/>
  <c r="W533" i="1" s="1"/>
  <c r="W728" i="1"/>
  <c r="W724" i="1"/>
  <c r="W347" i="1"/>
  <c r="W396" i="1" s="1"/>
  <c r="W445" i="1" s="1"/>
  <c r="W496" i="1" s="1"/>
  <c r="W547" i="1" s="1"/>
  <c r="W332" i="1"/>
  <c r="W336" i="1"/>
  <c r="W760" i="1"/>
  <c r="W727" i="1"/>
  <c r="W353" i="1"/>
  <c r="W402" i="1" s="1"/>
  <c r="W451" i="1" s="1"/>
  <c r="W366" i="1"/>
  <c r="W415" i="1" s="1"/>
  <c r="W464" i="1" s="1"/>
  <c r="W330" i="1"/>
  <c r="W359" i="1"/>
  <c r="W408" i="1" s="1"/>
  <c r="W457" i="1" s="1"/>
  <c r="W508" i="1" s="1"/>
  <c r="W561" i="1" s="1"/>
  <c r="W375" i="1"/>
  <c r="W424" i="1" s="1"/>
  <c r="W473" i="1" s="1"/>
  <c r="W361" i="1"/>
  <c r="W410" i="1" s="1"/>
  <c r="W459" i="1" s="1"/>
  <c r="W510" i="1" s="1"/>
  <c r="W563" i="1" s="1"/>
  <c r="W352" i="1"/>
  <c r="W401" i="1" s="1"/>
  <c r="W450" i="1" s="1"/>
  <c r="W501" i="1" s="1"/>
  <c r="W553" i="1" s="1"/>
  <c r="W368" i="1"/>
  <c r="W417" i="1" s="1"/>
  <c r="W466" i="1" s="1"/>
  <c r="W517" i="1" s="1"/>
  <c r="W571" i="1" s="1"/>
  <c r="W342" i="1"/>
  <c r="W335" i="1"/>
  <c r="W385" i="1" s="1"/>
  <c r="W434" i="1" s="1"/>
  <c r="W362" i="1"/>
  <c r="W358" i="1"/>
  <c r="W407" i="1" s="1"/>
  <c r="W456" i="1" s="1"/>
  <c r="W507" i="1" s="1"/>
  <c r="W560" i="1" s="1"/>
  <c r="W348" i="1"/>
  <c r="W397" i="1" s="1"/>
  <c r="W446" i="1" s="1"/>
  <c r="W351" i="1"/>
  <c r="W341" i="1"/>
  <c r="W333" i="1"/>
  <c r="W365" i="1"/>
  <c r="W414" i="1" s="1"/>
  <c r="W463" i="1" s="1"/>
  <c r="W514" i="1" s="1"/>
  <c r="W568" i="1" s="1"/>
  <c r="W765" i="1"/>
  <c r="W370" i="1"/>
  <c r="W331" i="1"/>
  <c r="W340" i="1"/>
  <c r="W345" i="1"/>
  <c r="W597" i="1"/>
  <c r="W346" i="1"/>
  <c r="W395" i="1" s="1"/>
  <c r="W444" i="1" s="1"/>
  <c r="W495" i="1" s="1"/>
  <c r="W546" i="1" s="1"/>
  <c r="W360" i="1"/>
  <c r="W409" i="1" s="1"/>
  <c r="W458" i="1" s="1"/>
  <c r="W371" i="1"/>
  <c r="W420" i="1" s="1"/>
  <c r="W469" i="1" s="1"/>
  <c r="W520" i="1" s="1"/>
  <c r="W574" i="1" s="1"/>
  <c r="W372" i="1"/>
  <c r="W369" i="1"/>
  <c r="W418" i="1" s="1"/>
  <c r="W467" i="1" s="1"/>
  <c r="W518" i="1" s="1"/>
  <c r="W572" i="1" s="1"/>
  <c r="W356" i="1"/>
  <c r="W405" i="1" s="1"/>
  <c r="W454" i="1" s="1"/>
  <c r="W599" i="1"/>
  <c r="AB726" i="1"/>
  <c r="AB348" i="1"/>
  <c r="AB336" i="1"/>
  <c r="AB353" i="1"/>
  <c r="AB342" i="1"/>
  <c r="AB391" i="1" s="1"/>
  <c r="AB440" i="1" s="1"/>
  <c r="AB491" i="1" s="1"/>
  <c r="AB541" i="1" s="1"/>
  <c r="AB360" i="1"/>
  <c r="AB409" i="1" s="1"/>
  <c r="AB458" i="1" s="1"/>
  <c r="AB509" i="1" s="1"/>
  <c r="AB562" i="1" s="1"/>
  <c r="AB367" i="1"/>
  <c r="AB416" i="1" s="1"/>
  <c r="AB465" i="1" s="1"/>
  <c r="AB516" i="1" s="1"/>
  <c r="AB570" i="1" s="1"/>
  <c r="AB366" i="1"/>
  <c r="AB358" i="1"/>
  <c r="AB361" i="1"/>
  <c r="AB410" i="1" s="1"/>
  <c r="AB459" i="1" s="1"/>
  <c r="AB510" i="1" s="1"/>
  <c r="AB563" i="1" s="1"/>
  <c r="AB359" i="1"/>
  <c r="AB362" i="1"/>
  <c r="AB411" i="1" s="1"/>
  <c r="AB460" i="1" s="1"/>
  <c r="AB511" i="1" s="1"/>
  <c r="AB564" i="1" s="1"/>
  <c r="AB369" i="1"/>
  <c r="AB330" i="1"/>
  <c r="AB380" i="1" s="1"/>
  <c r="AB429" i="1" s="1"/>
  <c r="AB480" i="1" s="1"/>
  <c r="AB529" i="1" s="1"/>
  <c r="AB368" i="1"/>
  <c r="AB371" i="1"/>
  <c r="AB356" i="1"/>
  <c r="AB405" i="1" s="1"/>
  <c r="AB454" i="1" s="1"/>
  <c r="AB505" i="1" s="1"/>
  <c r="AB558" i="1" s="1"/>
  <c r="AB357" i="1"/>
  <c r="AB372" i="1"/>
  <c r="AB341" i="1"/>
  <c r="AB352" i="1"/>
  <c r="AB401" i="1" s="1"/>
  <c r="AB450" i="1" s="1"/>
  <c r="AB501" i="1" s="1"/>
  <c r="AB553" i="1" s="1"/>
  <c r="AB335" i="1"/>
  <c r="AB385" i="1" s="1"/>
  <c r="AB434" i="1" s="1"/>
  <c r="AB340" i="1"/>
  <c r="AB334" i="1"/>
  <c r="AB346" i="1"/>
  <c r="AB760" i="1"/>
  <c r="AB347" i="1"/>
  <c r="AB375" i="1"/>
  <c r="AB424" i="1" s="1"/>
  <c r="AB473" i="1" s="1"/>
  <c r="AB524" i="1" s="1"/>
  <c r="AB579" i="1" s="1"/>
  <c r="AB332" i="1"/>
  <c r="AB382" i="1" s="1"/>
  <c r="AB431" i="1" s="1"/>
  <c r="AB482" i="1" s="1"/>
  <c r="AB531" i="1" s="1"/>
  <c r="AB370" i="1"/>
  <c r="AB419" i="1" s="1"/>
  <c r="AB468" i="1" s="1"/>
  <c r="AB519" i="1" s="1"/>
  <c r="AB573" i="1" s="1"/>
  <c r="AB365" i="1"/>
  <c r="AB414" i="1" s="1"/>
  <c r="AB463" i="1" s="1"/>
  <c r="AB514" i="1" s="1"/>
  <c r="AB568" i="1" s="1"/>
  <c r="AB351" i="1"/>
  <c r="AB400" i="1" s="1"/>
  <c r="AB449" i="1" s="1"/>
  <c r="AB500" i="1" s="1"/>
  <c r="AB552" i="1" s="1"/>
  <c r="AB373" i="1"/>
  <c r="AB422" i="1" s="1"/>
  <c r="AB471" i="1" s="1"/>
  <c r="AB522" i="1" s="1"/>
  <c r="AB576" i="1" s="1"/>
  <c r="AB597" i="1"/>
  <c r="AB333" i="1"/>
  <c r="AB599" i="1"/>
  <c r="AA728" i="1"/>
  <c r="AA724" i="1"/>
  <c r="AA711" i="1"/>
  <c r="AA370" i="1"/>
  <c r="AA727" i="1"/>
  <c r="AA726" i="1"/>
  <c r="AA371" i="1"/>
  <c r="AA420" i="1" s="1"/>
  <c r="AA469" i="1" s="1"/>
  <c r="AA520" i="1" s="1"/>
  <c r="AA574" i="1" s="1"/>
  <c r="AA594" i="1"/>
  <c r="AA596" i="1" s="1"/>
  <c r="AA712" i="1"/>
  <c r="AA725" i="1"/>
  <c r="AA342" i="1"/>
  <c r="AA391" i="1" s="1"/>
  <c r="AA440" i="1" s="1"/>
  <c r="AA372" i="1"/>
  <c r="AA421" i="1" s="1"/>
  <c r="AA470" i="1" s="1"/>
  <c r="AA521" i="1" s="1"/>
  <c r="AA575" i="1" s="1"/>
  <c r="AA333" i="1"/>
  <c r="AA352" i="1"/>
  <c r="AA340" i="1"/>
  <c r="AA334" i="1"/>
  <c r="AA597" i="1"/>
  <c r="AA346" i="1"/>
  <c r="AA330" i="1"/>
  <c r="AA359" i="1"/>
  <c r="AA331" i="1"/>
  <c r="AA765" i="1"/>
  <c r="AA366" i="1"/>
  <c r="AA368" i="1"/>
  <c r="AA417" i="1" s="1"/>
  <c r="AA466" i="1" s="1"/>
  <c r="AA517" i="1" s="1"/>
  <c r="AA571" i="1" s="1"/>
  <c r="AA345" i="1"/>
  <c r="AA394" i="1" s="1"/>
  <c r="AA443" i="1" s="1"/>
  <c r="AA760" i="1"/>
  <c r="AA351" i="1"/>
  <c r="AA400" i="1" s="1"/>
  <c r="AA449" i="1" s="1"/>
  <c r="AA500" i="1" s="1"/>
  <c r="AA552" i="1" s="1"/>
  <c r="AA358" i="1"/>
  <c r="AA348" i="1"/>
  <c r="AA397" i="1" s="1"/>
  <c r="AA446" i="1" s="1"/>
  <c r="AA373" i="1"/>
  <c r="AA332" i="1"/>
  <c r="AA357" i="1"/>
  <c r="AA347" i="1"/>
  <c r="AA362" i="1"/>
  <c r="AA411" i="1" s="1"/>
  <c r="AA460" i="1" s="1"/>
  <c r="AA511" i="1" s="1"/>
  <c r="AA564" i="1" s="1"/>
  <c r="AA360" i="1"/>
  <c r="AA356" i="1"/>
  <c r="AA336" i="1"/>
  <c r="AA386" i="1" s="1"/>
  <c r="AA435" i="1" s="1"/>
  <c r="AA486" i="1" s="1"/>
  <c r="AA535" i="1" s="1"/>
  <c r="AA369" i="1"/>
  <c r="AA361" i="1"/>
  <c r="AA365" i="1"/>
  <c r="AA367" i="1"/>
  <c r="AA335" i="1"/>
  <c r="AA341" i="1"/>
  <c r="AA375" i="1"/>
  <c r="AA353" i="1"/>
  <c r="AA599" i="1"/>
  <c r="I920" i="1" l="1"/>
  <c r="K920" i="1"/>
  <c r="E82" i="1"/>
  <c r="D25" i="1" s="1"/>
  <c r="AE865" i="1"/>
  <c r="I725" i="1"/>
  <c r="S760" i="1"/>
  <c r="S370" i="1"/>
  <c r="S419" i="1" s="1"/>
  <c r="S468" i="1" s="1"/>
  <c r="S519" i="1" s="1"/>
  <c r="S573" i="1" s="1"/>
  <c r="S336" i="1"/>
  <c r="S386" i="1" s="1"/>
  <c r="S435" i="1" s="1"/>
  <c r="S486" i="1" s="1"/>
  <c r="S535" i="1" s="1"/>
  <c r="N370" i="1"/>
  <c r="N419" i="1" s="1"/>
  <c r="N468" i="1" s="1"/>
  <c r="N519" i="1" s="1"/>
  <c r="N573" i="1" s="1"/>
  <c r="N112" i="1"/>
  <c r="N119" i="1" s="1"/>
  <c r="N737" i="1" s="1"/>
  <c r="O369" i="1"/>
  <c r="O418" i="1" s="1"/>
  <c r="O467" i="1" s="1"/>
  <c r="O518" i="1" s="1"/>
  <c r="O572" i="1" s="1"/>
  <c r="N334" i="1"/>
  <c r="N384" i="1" s="1"/>
  <c r="N433" i="1" s="1"/>
  <c r="N484" i="1" s="1"/>
  <c r="N533" i="1" s="1"/>
  <c r="Y865" i="1"/>
  <c r="W865" i="1"/>
  <c r="N359" i="1"/>
  <c r="N408" i="1" s="1"/>
  <c r="N457" i="1" s="1"/>
  <c r="N508" i="1" s="1"/>
  <c r="N561" i="1" s="1"/>
  <c r="Y597" i="1"/>
  <c r="Y351" i="1"/>
  <c r="Y400" i="1" s="1"/>
  <c r="Y449" i="1" s="1"/>
  <c r="Y500" i="1" s="1"/>
  <c r="Y552" i="1" s="1"/>
  <c r="Q241" i="1"/>
  <c r="AD340" i="1"/>
  <c r="AD389" i="1" s="1"/>
  <c r="AD438" i="1" s="1"/>
  <c r="AD358" i="1"/>
  <c r="AD407" i="1" s="1"/>
  <c r="AD456" i="1" s="1"/>
  <c r="AD345" i="1"/>
  <c r="AD394" i="1" s="1"/>
  <c r="AD443" i="1" s="1"/>
  <c r="K241" i="1"/>
  <c r="AD372" i="1"/>
  <c r="AD421" i="1" s="1"/>
  <c r="AD470" i="1" s="1"/>
  <c r="J241" i="1"/>
  <c r="J245" i="1" s="1"/>
  <c r="J198" i="1" s="1"/>
  <c r="AD348" i="1"/>
  <c r="AD397" i="1" s="1"/>
  <c r="AD446" i="1" s="1"/>
  <c r="AD497" i="1" s="1"/>
  <c r="AD548" i="1" s="1"/>
  <c r="AD373" i="1"/>
  <c r="AD422" i="1" s="1"/>
  <c r="AD471" i="1" s="1"/>
  <c r="AD522" i="1" s="1"/>
  <c r="AD576" i="1" s="1"/>
  <c r="AD347" i="1"/>
  <c r="AD396" i="1" s="1"/>
  <c r="AD445" i="1" s="1"/>
  <c r="AD712" i="1"/>
  <c r="U241" i="1"/>
  <c r="AB241" i="1"/>
  <c r="T241" i="1"/>
  <c r="R241" i="1"/>
  <c r="O108" i="1"/>
  <c r="AD724" i="1"/>
  <c r="AD362" i="1"/>
  <c r="AD411" i="1" s="1"/>
  <c r="AD460" i="1" s="1"/>
  <c r="AD356" i="1"/>
  <c r="AD405" i="1" s="1"/>
  <c r="AD454" i="1" s="1"/>
  <c r="AD505" i="1" s="1"/>
  <c r="AD558" i="1" s="1"/>
  <c r="AE241" i="1"/>
  <c r="O241" i="1"/>
  <c r="S360" i="1"/>
  <c r="S409" i="1" s="1"/>
  <c r="S458" i="1" s="1"/>
  <c r="S509" i="1" s="1"/>
  <c r="S562" i="1" s="1"/>
  <c r="S340" i="1"/>
  <c r="S389" i="1" s="1"/>
  <c r="S438" i="1" s="1"/>
  <c r="S359" i="1"/>
  <c r="S408" i="1" s="1"/>
  <c r="S457" i="1" s="1"/>
  <c r="S508" i="1" s="1"/>
  <c r="S561" i="1" s="1"/>
  <c r="S357" i="1"/>
  <c r="S406" i="1" s="1"/>
  <c r="S455" i="1" s="1"/>
  <c r="S506" i="1" s="1"/>
  <c r="S559" i="1" s="1"/>
  <c r="S375" i="1"/>
  <c r="S424" i="1" s="1"/>
  <c r="S473" i="1" s="1"/>
  <c r="S726" i="1"/>
  <c r="S599" i="1"/>
  <c r="S352" i="1"/>
  <c r="S401" i="1" s="1"/>
  <c r="S450" i="1" s="1"/>
  <c r="S501" i="1" s="1"/>
  <c r="S553" i="1" s="1"/>
  <c r="S342" i="1"/>
  <c r="S391" i="1" s="1"/>
  <c r="S440" i="1" s="1"/>
  <c r="S491" i="1" s="1"/>
  <c r="S541" i="1" s="1"/>
  <c r="S367" i="1"/>
  <c r="S416" i="1" s="1"/>
  <c r="S465" i="1" s="1"/>
  <c r="S765" i="1"/>
  <c r="S766" i="1" s="1"/>
  <c r="S728" i="1"/>
  <c r="S712" i="1"/>
  <c r="S362" i="1"/>
  <c r="S411" i="1" s="1"/>
  <c r="S460" i="1" s="1"/>
  <c r="S511" i="1" s="1"/>
  <c r="S564" i="1" s="1"/>
  <c r="S373" i="1"/>
  <c r="S422" i="1" s="1"/>
  <c r="S471" i="1" s="1"/>
  <c r="S368" i="1"/>
  <c r="S417" i="1" s="1"/>
  <c r="S466" i="1" s="1"/>
  <c r="S517" i="1" s="1"/>
  <c r="S571" i="1" s="1"/>
  <c r="S331" i="1"/>
  <c r="S381" i="1" s="1"/>
  <c r="S430" i="1" s="1"/>
  <c r="S481" i="1" s="1"/>
  <c r="S530" i="1" s="1"/>
  <c r="S371" i="1"/>
  <c r="S420" i="1" s="1"/>
  <c r="S469" i="1" s="1"/>
  <c r="S520" i="1" s="1"/>
  <c r="S574" i="1" s="1"/>
  <c r="S597" i="1"/>
  <c r="S369" i="1"/>
  <c r="S418" i="1" s="1"/>
  <c r="S467" i="1" s="1"/>
  <c r="S518" i="1" s="1"/>
  <c r="S572" i="1" s="1"/>
  <c r="M104" i="1"/>
  <c r="M914" i="1" s="1"/>
  <c r="M915" i="1" s="1"/>
  <c r="M108" i="1"/>
  <c r="M119" i="1" s="1"/>
  <c r="M737" i="1" s="1"/>
  <c r="S334" i="1"/>
  <c r="S384" i="1" s="1"/>
  <c r="S433" i="1" s="1"/>
  <c r="S484" i="1" s="1"/>
  <c r="S533" i="1" s="1"/>
  <c r="S346" i="1"/>
  <c r="S395" i="1" s="1"/>
  <c r="S444" i="1" s="1"/>
  <c r="S727" i="1"/>
  <c r="S358" i="1"/>
  <c r="S407" i="1" s="1"/>
  <c r="S456" i="1" s="1"/>
  <c r="S507" i="1" s="1"/>
  <c r="S560" i="1" s="1"/>
  <c r="S347" i="1"/>
  <c r="S396" i="1" s="1"/>
  <c r="S445" i="1" s="1"/>
  <c r="S496" i="1" s="1"/>
  <c r="S547" i="1" s="1"/>
  <c r="S330" i="1"/>
  <c r="S380" i="1" s="1"/>
  <c r="S429" i="1" s="1"/>
  <c r="S480" i="1" s="1"/>
  <c r="S529" i="1" s="1"/>
  <c r="S345" i="1"/>
  <c r="S394" i="1" s="1"/>
  <c r="S443" i="1" s="1"/>
  <c r="S494" i="1" s="1"/>
  <c r="S545" i="1" s="1"/>
  <c r="S711" i="1"/>
  <c r="S333" i="1"/>
  <c r="S383" i="1" s="1"/>
  <c r="S432" i="1" s="1"/>
  <c r="S483" i="1" s="1"/>
  <c r="S532" i="1" s="1"/>
  <c r="S366" i="1"/>
  <c r="S415" i="1" s="1"/>
  <c r="S464" i="1" s="1"/>
  <c r="S515" i="1" s="1"/>
  <c r="S569" i="1" s="1"/>
  <c r="S348" i="1"/>
  <c r="S397" i="1" s="1"/>
  <c r="S446" i="1" s="1"/>
  <c r="S497" i="1" s="1"/>
  <c r="S548" i="1" s="1"/>
  <c r="S594" i="1"/>
  <c r="S596" i="1" s="1"/>
  <c r="S351" i="1"/>
  <c r="S400" i="1" s="1"/>
  <c r="S449" i="1" s="1"/>
  <c r="S500" i="1" s="1"/>
  <c r="S552" i="1" s="1"/>
  <c r="S356" i="1"/>
  <c r="S405" i="1" s="1"/>
  <c r="S454" i="1" s="1"/>
  <c r="S505" i="1" s="1"/>
  <c r="S558" i="1" s="1"/>
  <c r="S361" i="1"/>
  <c r="S410" i="1" s="1"/>
  <c r="S459" i="1" s="1"/>
  <c r="S510" i="1" s="1"/>
  <c r="S563" i="1" s="1"/>
  <c r="S341" i="1"/>
  <c r="S390" i="1" s="1"/>
  <c r="S439" i="1" s="1"/>
  <c r="S490" i="1" s="1"/>
  <c r="S540" i="1" s="1"/>
  <c r="S335" i="1"/>
  <c r="S385" i="1" s="1"/>
  <c r="S434" i="1" s="1"/>
  <c r="S485" i="1" s="1"/>
  <c r="S534" i="1" s="1"/>
  <c r="S724" i="1"/>
  <c r="S365" i="1"/>
  <c r="S414" i="1" s="1"/>
  <c r="S463" i="1" s="1"/>
  <c r="S725" i="1"/>
  <c r="S353" i="1"/>
  <c r="S402" i="1" s="1"/>
  <c r="S451" i="1" s="1"/>
  <c r="S502" i="1" s="1"/>
  <c r="S554" i="1" s="1"/>
  <c r="S332" i="1"/>
  <c r="S382" i="1" s="1"/>
  <c r="S431" i="1" s="1"/>
  <c r="S482" i="1" s="1"/>
  <c r="S531" i="1" s="1"/>
  <c r="S372" i="1"/>
  <c r="S421" i="1" s="1"/>
  <c r="S470" i="1" s="1"/>
  <c r="S521" i="1" s="1"/>
  <c r="S575" i="1" s="1"/>
  <c r="M120" i="1"/>
  <c r="M748" i="1" s="1"/>
  <c r="M751" i="1" s="1"/>
  <c r="S759" i="1"/>
  <c r="X37" i="50"/>
  <c r="Y37" i="50" s="1"/>
  <c r="Z37" i="50" s="1"/>
  <c r="AA37" i="50" s="1"/>
  <c r="AC37" i="50" s="1"/>
  <c r="W38" i="50"/>
  <c r="AB38" i="50" s="1"/>
  <c r="K43" i="45"/>
  <c r="D391" i="3" s="1"/>
  <c r="AD333" i="1"/>
  <c r="AD383" i="1" s="1"/>
  <c r="AD432" i="1" s="1"/>
  <c r="AD483" i="1" s="1"/>
  <c r="AD532" i="1" s="1"/>
  <c r="AD241" i="1"/>
  <c r="V241" i="1"/>
  <c r="Y241" i="1"/>
  <c r="M241" i="1"/>
  <c r="S241" i="1"/>
  <c r="AD359" i="1"/>
  <c r="AD408" i="1" s="1"/>
  <c r="AD457" i="1" s="1"/>
  <c r="AD508" i="1" s="1"/>
  <c r="AD561" i="1" s="1"/>
  <c r="AD357" i="1"/>
  <c r="AD406" i="1" s="1"/>
  <c r="AD455" i="1" s="1"/>
  <c r="AD506" i="1" s="1"/>
  <c r="AD559" i="1" s="1"/>
  <c r="AD765" i="1"/>
  <c r="AD766" i="1" s="1"/>
  <c r="AD367" i="1"/>
  <c r="AD416" i="1" s="1"/>
  <c r="AD465" i="1" s="1"/>
  <c r="AD516" i="1" s="1"/>
  <c r="AD570" i="1" s="1"/>
  <c r="AD597" i="1"/>
  <c r="AD332" i="1"/>
  <c r="AD382" i="1" s="1"/>
  <c r="AD431" i="1" s="1"/>
  <c r="AD482" i="1" s="1"/>
  <c r="AD531" i="1" s="1"/>
  <c r="AD335" i="1"/>
  <c r="AD385" i="1" s="1"/>
  <c r="AD434" i="1" s="1"/>
  <c r="AD760" i="1"/>
  <c r="AD365" i="1"/>
  <c r="AD414" i="1" s="1"/>
  <c r="AD463" i="1" s="1"/>
  <c r="AD361" i="1"/>
  <c r="AD410" i="1" s="1"/>
  <c r="AD459" i="1" s="1"/>
  <c r="AD366" i="1"/>
  <c r="AD415" i="1" s="1"/>
  <c r="AD464" i="1" s="1"/>
  <c r="AD515" i="1" s="1"/>
  <c r="AD569" i="1" s="1"/>
  <c r="AD368" i="1"/>
  <c r="AD417" i="1" s="1"/>
  <c r="AD466" i="1" s="1"/>
  <c r="AD341" i="1"/>
  <c r="AD390" i="1" s="1"/>
  <c r="AD439" i="1" s="1"/>
  <c r="AD711" i="1"/>
  <c r="AD594" i="1"/>
  <c r="AD596" i="1" s="1"/>
  <c r="W241" i="1"/>
  <c r="Z241" i="1"/>
  <c r="N241" i="1"/>
  <c r="R108" i="1"/>
  <c r="AD599" i="1"/>
  <c r="AD352" i="1"/>
  <c r="AD401" i="1" s="1"/>
  <c r="AD450" i="1" s="1"/>
  <c r="AD501" i="1" s="1"/>
  <c r="AD553" i="1" s="1"/>
  <c r="AD353" i="1"/>
  <c r="AD402" i="1" s="1"/>
  <c r="AD451" i="1" s="1"/>
  <c r="AD342" i="1"/>
  <c r="AD391" i="1" s="1"/>
  <c r="AD440" i="1" s="1"/>
  <c r="AD491" i="1" s="1"/>
  <c r="AD541" i="1" s="1"/>
  <c r="AD334" i="1"/>
  <c r="AD384" i="1" s="1"/>
  <c r="AD433" i="1" s="1"/>
  <c r="AD375" i="1"/>
  <c r="AD424" i="1" s="1"/>
  <c r="AD473" i="1" s="1"/>
  <c r="AD728" i="1"/>
  <c r="AD726" i="1"/>
  <c r="AD330" i="1"/>
  <c r="AD380" i="1" s="1"/>
  <c r="AD429" i="1" s="1"/>
  <c r="AD331" i="1"/>
  <c r="AD381" i="1" s="1"/>
  <c r="AD430" i="1" s="1"/>
  <c r="AD370" i="1"/>
  <c r="AD419" i="1" s="1"/>
  <c r="AD468" i="1" s="1"/>
  <c r="AD519" i="1" s="1"/>
  <c r="AD573" i="1" s="1"/>
  <c r="AD371" i="1"/>
  <c r="AD420" i="1" s="1"/>
  <c r="AD469" i="1" s="1"/>
  <c r="AD520" i="1" s="1"/>
  <c r="AD574" i="1" s="1"/>
  <c r="AD346" i="1"/>
  <c r="AD395" i="1" s="1"/>
  <c r="AD444" i="1" s="1"/>
  <c r="AD495" i="1" s="1"/>
  <c r="AD546" i="1" s="1"/>
  <c r="AD360" i="1"/>
  <c r="AD409" i="1" s="1"/>
  <c r="AD458" i="1" s="1"/>
  <c r="AD336" i="1"/>
  <c r="AD386" i="1" s="1"/>
  <c r="AD435" i="1" s="1"/>
  <c r="AD351" i="1"/>
  <c r="AD400" i="1" s="1"/>
  <c r="AD449" i="1" s="1"/>
  <c r="AD369" i="1"/>
  <c r="AD418" i="1" s="1"/>
  <c r="AD467" i="1" s="1"/>
  <c r="AD518" i="1" s="1"/>
  <c r="AD572" i="1" s="1"/>
  <c r="AD727" i="1"/>
  <c r="X241" i="1"/>
  <c r="AC241" i="1"/>
  <c r="AA241" i="1"/>
  <c r="L241" i="1"/>
  <c r="P241" i="1"/>
  <c r="AB51" i="1"/>
  <c r="AB54" i="1" s="1"/>
  <c r="M61" i="1"/>
  <c r="M51" i="1"/>
  <c r="M54" i="1" s="1"/>
  <c r="O51" i="1"/>
  <c r="O54" i="1" s="1"/>
  <c r="Y51" i="1"/>
  <c r="Y54" i="1" s="1"/>
  <c r="S51" i="1"/>
  <c r="S54" i="1" s="1"/>
  <c r="X51" i="1"/>
  <c r="X54" i="1" s="1"/>
  <c r="Z61" i="1"/>
  <c r="Z51" i="1"/>
  <c r="Z54" i="1" s="1"/>
  <c r="T51" i="1"/>
  <c r="T54" i="1" s="1"/>
  <c r="W51" i="1"/>
  <c r="W54" i="1" s="1"/>
  <c r="P61" i="1"/>
  <c r="P51" i="1"/>
  <c r="P54" i="1" s="1"/>
  <c r="V51" i="1"/>
  <c r="V54" i="1" s="1"/>
  <c r="AE61" i="1"/>
  <c r="AE51" i="1"/>
  <c r="AE54" i="1" s="1"/>
  <c r="L51" i="1"/>
  <c r="L54" i="1" s="1"/>
  <c r="Q61" i="1"/>
  <c r="Q51" i="1"/>
  <c r="Q54" i="1" s="1"/>
  <c r="N61" i="1"/>
  <c r="N51" i="1"/>
  <c r="N54" i="1" s="1"/>
  <c r="U51" i="1"/>
  <c r="U54" i="1" s="1"/>
  <c r="K61" i="1"/>
  <c r="K51" i="1"/>
  <c r="K54" i="1" s="1"/>
  <c r="L594" i="1"/>
  <c r="L596" i="1" s="1"/>
  <c r="K345" i="1"/>
  <c r="K394" i="1" s="1"/>
  <c r="K443" i="1" s="1"/>
  <c r="K494" i="1" s="1"/>
  <c r="N368" i="1"/>
  <c r="N417" i="1" s="1"/>
  <c r="N466" i="1" s="1"/>
  <c r="N517" i="1" s="1"/>
  <c r="N571" i="1" s="1"/>
  <c r="N365" i="1"/>
  <c r="N414" i="1" s="1"/>
  <c r="N463" i="1" s="1"/>
  <c r="N514" i="1" s="1"/>
  <c r="N568" i="1" s="1"/>
  <c r="N726" i="1"/>
  <c r="N373" i="1"/>
  <c r="N422" i="1" s="1"/>
  <c r="N471" i="1" s="1"/>
  <c r="N522" i="1" s="1"/>
  <c r="N576" i="1" s="1"/>
  <c r="N764" i="1"/>
  <c r="Y346" i="1"/>
  <c r="Y395" i="1" s="1"/>
  <c r="Y444" i="1" s="1"/>
  <c r="Y495" i="1" s="1"/>
  <c r="Y546" i="1" s="1"/>
  <c r="K348" i="1"/>
  <c r="K397" i="1" s="1"/>
  <c r="K446" i="1" s="1"/>
  <c r="K497" i="1" s="1"/>
  <c r="O712" i="1"/>
  <c r="N341" i="1"/>
  <c r="N390" i="1" s="1"/>
  <c r="N439" i="1" s="1"/>
  <c r="N490" i="1" s="1"/>
  <c r="N540" i="1" s="1"/>
  <c r="N340" i="1"/>
  <c r="N389" i="1" s="1"/>
  <c r="N438" i="1" s="1"/>
  <c r="N489" i="1" s="1"/>
  <c r="N539" i="1" s="1"/>
  <c r="N724" i="1"/>
  <c r="N712" i="1"/>
  <c r="Y362" i="1"/>
  <c r="Y411" i="1" s="1"/>
  <c r="Y460" i="1" s="1"/>
  <c r="Y511" i="1" s="1"/>
  <c r="Y599" i="1"/>
  <c r="Y711" i="1"/>
  <c r="K335" i="1"/>
  <c r="K385" i="1" s="1"/>
  <c r="K434" i="1" s="1"/>
  <c r="K485" i="1" s="1"/>
  <c r="O333" i="1"/>
  <c r="O383" i="1" s="1"/>
  <c r="O432" i="1" s="1"/>
  <c r="O483" i="1" s="1"/>
  <c r="O532" i="1" s="1"/>
  <c r="N760" i="1"/>
  <c r="N366" i="1"/>
  <c r="N415" i="1" s="1"/>
  <c r="N464" i="1" s="1"/>
  <c r="N515" i="1" s="1"/>
  <c r="N569" i="1" s="1"/>
  <c r="Y331" i="1"/>
  <c r="Y381" i="1" s="1"/>
  <c r="Y430" i="1" s="1"/>
  <c r="Y481" i="1" s="1"/>
  <c r="Y530" i="1" s="1"/>
  <c r="Y365" i="1"/>
  <c r="Y414" i="1" s="1"/>
  <c r="Y463" i="1" s="1"/>
  <c r="Y514" i="1" s="1"/>
  <c r="Y568" i="1" s="1"/>
  <c r="Y373" i="1"/>
  <c r="Y422" i="1" s="1"/>
  <c r="Y471" i="1" s="1"/>
  <c r="Y522" i="1" s="1"/>
  <c r="Y576" i="1" s="1"/>
  <c r="K360" i="1"/>
  <c r="K409" i="1" s="1"/>
  <c r="K458" i="1" s="1"/>
  <c r="K509" i="1" s="1"/>
  <c r="K351" i="1"/>
  <c r="K400" i="1" s="1"/>
  <c r="K449" i="1" s="1"/>
  <c r="K500" i="1" s="1"/>
  <c r="K372" i="1"/>
  <c r="K421" i="1" s="1"/>
  <c r="K470" i="1" s="1"/>
  <c r="K521" i="1" s="1"/>
  <c r="O345" i="1"/>
  <c r="O394" i="1" s="1"/>
  <c r="O443" i="1" s="1"/>
  <c r="O494" i="1" s="1"/>
  <c r="O545" i="1" s="1"/>
  <c r="O370" i="1"/>
  <c r="O419" i="1" s="1"/>
  <c r="O468" i="1" s="1"/>
  <c r="O519" i="1" s="1"/>
  <c r="O573" i="1" s="1"/>
  <c r="O594" i="1"/>
  <c r="O596" i="1" s="1"/>
  <c r="N352" i="1"/>
  <c r="N401" i="1" s="1"/>
  <c r="N450" i="1" s="1"/>
  <c r="N501" i="1" s="1"/>
  <c r="N553" i="1" s="1"/>
  <c r="N330" i="1"/>
  <c r="N380" i="1" s="1"/>
  <c r="N429" i="1" s="1"/>
  <c r="N480" i="1" s="1"/>
  <c r="N529" i="1" s="1"/>
  <c r="N345" i="1"/>
  <c r="N394" i="1" s="1"/>
  <c r="N443" i="1" s="1"/>
  <c r="N494" i="1" s="1"/>
  <c r="N545" i="1" s="1"/>
  <c r="N372" i="1"/>
  <c r="N421" i="1" s="1"/>
  <c r="N371" i="1"/>
  <c r="N420" i="1" s="1"/>
  <c r="N469" i="1" s="1"/>
  <c r="N520" i="1" s="1"/>
  <c r="N574" i="1" s="1"/>
  <c r="N369" i="1"/>
  <c r="N418" i="1" s="1"/>
  <c r="N467" i="1" s="1"/>
  <c r="N518" i="1" s="1"/>
  <c r="N572" i="1" s="1"/>
  <c r="N351" i="1"/>
  <c r="N400" i="1" s="1"/>
  <c r="N449" i="1" s="1"/>
  <c r="N500" i="1" s="1"/>
  <c r="N552" i="1" s="1"/>
  <c r="N358" i="1"/>
  <c r="N407" i="1" s="1"/>
  <c r="N456" i="1" s="1"/>
  <c r="N507" i="1" s="1"/>
  <c r="N560" i="1" s="1"/>
  <c r="N597" i="1"/>
  <c r="N357" i="1"/>
  <c r="N406" i="1" s="1"/>
  <c r="N455" i="1" s="1"/>
  <c r="N506" i="1" s="1"/>
  <c r="N559" i="1" s="1"/>
  <c r="N594" i="1"/>
  <c r="N596" i="1" s="1"/>
  <c r="N332" i="1"/>
  <c r="N382" i="1" s="1"/>
  <c r="N431" i="1" s="1"/>
  <c r="N482" i="1" s="1"/>
  <c r="N531" i="1" s="1"/>
  <c r="N759" i="1"/>
  <c r="K362" i="1"/>
  <c r="K411" i="1" s="1"/>
  <c r="K460" i="1" s="1"/>
  <c r="K511" i="1" s="1"/>
  <c r="K336" i="1"/>
  <c r="K386" i="1" s="1"/>
  <c r="K435" i="1" s="1"/>
  <c r="K486" i="1" s="1"/>
  <c r="K711" i="1"/>
  <c r="O348" i="1"/>
  <c r="O397" i="1" s="1"/>
  <c r="O446" i="1" s="1"/>
  <c r="O726" i="1"/>
  <c r="O340" i="1"/>
  <c r="O389" i="1" s="1"/>
  <c r="O438" i="1" s="1"/>
  <c r="O489" i="1" s="1"/>
  <c r="O539" i="1" s="1"/>
  <c r="N331" i="1"/>
  <c r="N381" i="1" s="1"/>
  <c r="N430" i="1" s="1"/>
  <c r="N481" i="1" s="1"/>
  <c r="N530" i="1" s="1"/>
  <c r="N347" i="1"/>
  <c r="N396" i="1" s="1"/>
  <c r="N445" i="1" s="1"/>
  <c r="N496" i="1" s="1"/>
  <c r="N547" i="1" s="1"/>
  <c r="N336" i="1"/>
  <c r="N386" i="1" s="1"/>
  <c r="N435" i="1" s="1"/>
  <c r="N486" i="1" s="1"/>
  <c r="N535" i="1" s="1"/>
  <c r="N728" i="1"/>
  <c r="N362" i="1"/>
  <c r="N411" i="1" s="1"/>
  <c r="N460" i="1" s="1"/>
  <c r="N511" i="1" s="1"/>
  <c r="N564" i="1" s="1"/>
  <c r="N335" i="1"/>
  <c r="N385" i="1" s="1"/>
  <c r="N434" i="1" s="1"/>
  <c r="N485" i="1" s="1"/>
  <c r="N534" i="1" s="1"/>
  <c r="N599" i="1"/>
  <c r="N356" i="1"/>
  <c r="N405" i="1" s="1"/>
  <c r="N454" i="1" s="1"/>
  <c r="N505" i="1" s="1"/>
  <c r="N558" i="1" s="1"/>
  <c r="N348" i="1"/>
  <c r="N397" i="1" s="1"/>
  <c r="N446" i="1" s="1"/>
  <c r="N497" i="1" s="1"/>
  <c r="N548" i="1" s="1"/>
  <c r="N711" i="1"/>
  <c r="O764" i="1"/>
  <c r="Y333" i="1"/>
  <c r="Y383" i="1" s="1"/>
  <c r="Y432" i="1" s="1"/>
  <c r="Y483" i="1" s="1"/>
  <c r="Y532" i="1" s="1"/>
  <c r="Y330" i="1"/>
  <c r="Y380" i="1" s="1"/>
  <c r="Y429" i="1" s="1"/>
  <c r="Y336" i="1"/>
  <c r="Y386" i="1" s="1"/>
  <c r="Y435" i="1" s="1"/>
  <c r="Y486" i="1" s="1"/>
  <c r="Y535" i="1" s="1"/>
  <c r="K366" i="1"/>
  <c r="K415" i="1" s="1"/>
  <c r="K464" i="1" s="1"/>
  <c r="K515" i="1" s="1"/>
  <c r="K358" i="1"/>
  <c r="K407" i="1" s="1"/>
  <c r="K456" i="1" s="1"/>
  <c r="K507" i="1" s="1"/>
  <c r="K594" i="1"/>
  <c r="K596" i="1" s="1"/>
  <c r="O347" i="1"/>
  <c r="O396" i="1" s="1"/>
  <c r="O445" i="1" s="1"/>
  <c r="O496" i="1" s="1"/>
  <c r="O547" i="1" s="1"/>
  <c r="O335" i="1"/>
  <c r="O385" i="1" s="1"/>
  <c r="O434" i="1" s="1"/>
  <c r="O361" i="1"/>
  <c r="O410" i="1" s="1"/>
  <c r="O459" i="1" s="1"/>
  <c r="O510" i="1" s="1"/>
  <c r="O563" i="1" s="1"/>
  <c r="N360" i="1"/>
  <c r="N409" i="1" s="1"/>
  <c r="N458" i="1" s="1"/>
  <c r="N509" i="1" s="1"/>
  <c r="N562" i="1" s="1"/>
  <c r="N367" i="1"/>
  <c r="N416" i="1" s="1"/>
  <c r="N465" i="1" s="1"/>
  <c r="N516" i="1" s="1"/>
  <c r="N570" i="1" s="1"/>
  <c r="N353" i="1"/>
  <c r="N402" i="1" s="1"/>
  <c r="N451" i="1" s="1"/>
  <c r="N502" i="1" s="1"/>
  <c r="N554" i="1" s="1"/>
  <c r="N375" i="1"/>
  <c r="N424" i="1" s="1"/>
  <c r="N725" i="1"/>
  <c r="N361" i="1"/>
  <c r="N410" i="1" s="1"/>
  <c r="N459" i="1" s="1"/>
  <c r="N510" i="1" s="1"/>
  <c r="N563" i="1" s="1"/>
  <c r="N333" i="1"/>
  <c r="N383" i="1" s="1"/>
  <c r="N432" i="1" s="1"/>
  <c r="N483" i="1" s="1"/>
  <c r="N532" i="1" s="1"/>
  <c r="N727" i="1"/>
  <c r="N346" i="1"/>
  <c r="N395" i="1" s="1"/>
  <c r="N444" i="1" s="1"/>
  <c r="N495" i="1" s="1"/>
  <c r="N546" i="1" s="1"/>
  <c r="N765" i="1"/>
  <c r="L366" i="1"/>
  <c r="L415" i="1" s="1"/>
  <c r="L464" i="1" s="1"/>
  <c r="L515" i="1" s="1"/>
  <c r="I372" i="1"/>
  <c r="I421" i="1" s="1"/>
  <c r="I470" i="1" s="1"/>
  <c r="I521" i="1" s="1"/>
  <c r="V366" i="1"/>
  <c r="V415" i="1" s="1"/>
  <c r="V464" i="1" s="1"/>
  <c r="L367" i="1"/>
  <c r="L416" i="1" s="1"/>
  <c r="L465" i="1" s="1"/>
  <c r="L516" i="1" s="1"/>
  <c r="L358" i="1"/>
  <c r="L407" i="1" s="1"/>
  <c r="L456" i="1" s="1"/>
  <c r="L507" i="1" s="1"/>
  <c r="I726" i="1"/>
  <c r="L597" i="1"/>
  <c r="L725" i="1"/>
  <c r="L331" i="1"/>
  <c r="L381" i="1" s="1"/>
  <c r="L430" i="1" s="1"/>
  <c r="L481" i="1" s="1"/>
  <c r="L371" i="1"/>
  <c r="L420" i="1" s="1"/>
  <c r="L469" i="1" s="1"/>
  <c r="L520" i="1" s="1"/>
  <c r="I369" i="1"/>
  <c r="I418" i="1" s="1"/>
  <c r="I467" i="1" s="1"/>
  <c r="I518" i="1" s="1"/>
  <c r="L373" i="1"/>
  <c r="L422" i="1" s="1"/>
  <c r="L471" i="1" s="1"/>
  <c r="L522" i="1" s="1"/>
  <c r="L351" i="1"/>
  <c r="L400" i="1" s="1"/>
  <c r="L449" i="1" s="1"/>
  <c r="L500" i="1" s="1"/>
  <c r="L342" i="1"/>
  <c r="L391" i="1" s="1"/>
  <c r="L440" i="1" s="1"/>
  <c r="L491" i="1" s="1"/>
  <c r="I765" i="1"/>
  <c r="I342" i="1"/>
  <c r="I391" i="1" s="1"/>
  <c r="I440" i="1" s="1"/>
  <c r="I491" i="1" s="1"/>
  <c r="AD865" i="1"/>
  <c r="Y112" i="1"/>
  <c r="Y119" i="1" s="1"/>
  <c r="Y737" i="1" s="1"/>
  <c r="T109" i="1"/>
  <c r="T120" i="1" s="1"/>
  <c r="T748" i="1" s="1"/>
  <c r="T751" i="1" s="1"/>
  <c r="P104" i="1"/>
  <c r="P914" i="1" s="1"/>
  <c r="L330" i="1"/>
  <c r="L380" i="1" s="1"/>
  <c r="L429" i="1" s="1"/>
  <c r="L480" i="1" s="1"/>
  <c r="L765" i="1"/>
  <c r="L336" i="1"/>
  <c r="L386" i="1" s="1"/>
  <c r="L435" i="1" s="1"/>
  <c r="L486" i="1" s="1"/>
  <c r="L726" i="1"/>
  <c r="L711" i="1"/>
  <c r="L724" i="1"/>
  <c r="L599" i="1"/>
  <c r="L340" i="1"/>
  <c r="L389" i="1" s="1"/>
  <c r="L438" i="1" s="1"/>
  <c r="L489" i="1" s="1"/>
  <c r="L368" i="1"/>
  <c r="L417" i="1" s="1"/>
  <c r="L466" i="1" s="1"/>
  <c r="L517" i="1" s="1"/>
  <c r="L357" i="1"/>
  <c r="L406" i="1" s="1"/>
  <c r="L455" i="1" s="1"/>
  <c r="L506" i="1" s="1"/>
  <c r="L360" i="1"/>
  <c r="L409" i="1" s="1"/>
  <c r="L458" i="1" s="1"/>
  <c r="L509" i="1" s="1"/>
  <c r="L359" i="1"/>
  <c r="L408" i="1" s="1"/>
  <c r="L457" i="1" s="1"/>
  <c r="L508" i="1" s="1"/>
  <c r="L727" i="1"/>
  <c r="T243" i="1"/>
  <c r="Y104" i="1"/>
  <c r="Y682" i="1" s="1"/>
  <c r="I594" i="1"/>
  <c r="I596" i="1" s="1"/>
  <c r="I346" i="1"/>
  <c r="I395" i="1" s="1"/>
  <c r="I444" i="1" s="1"/>
  <c r="I495" i="1" s="1"/>
  <c r="I332" i="1"/>
  <c r="I382" i="1" s="1"/>
  <c r="I431" i="1" s="1"/>
  <c r="I482" i="1" s="1"/>
  <c r="I341" i="1"/>
  <c r="I390" i="1" s="1"/>
  <c r="I439" i="1" s="1"/>
  <c r="I490" i="1" s="1"/>
  <c r="I728" i="1"/>
  <c r="I360" i="1"/>
  <c r="I409" i="1" s="1"/>
  <c r="I458" i="1" s="1"/>
  <c r="I509" i="1" s="1"/>
  <c r="L760" i="1"/>
  <c r="L362" i="1"/>
  <c r="L411" i="1" s="1"/>
  <c r="L460" i="1" s="1"/>
  <c r="L511" i="1" s="1"/>
  <c r="L335" i="1"/>
  <c r="L385" i="1" s="1"/>
  <c r="L434" i="1" s="1"/>
  <c r="L485" i="1" s="1"/>
  <c r="L348" i="1"/>
  <c r="L397" i="1" s="1"/>
  <c r="L446" i="1" s="1"/>
  <c r="L497" i="1" s="1"/>
  <c r="L341" i="1"/>
  <c r="L390" i="1" s="1"/>
  <c r="L439" i="1" s="1"/>
  <c r="L490" i="1" s="1"/>
  <c r="L365" i="1"/>
  <c r="L414" i="1" s="1"/>
  <c r="L463" i="1" s="1"/>
  <c r="L514" i="1" s="1"/>
  <c r="L728" i="1"/>
  <c r="L369" i="1"/>
  <c r="L418" i="1" s="1"/>
  <c r="L467" i="1" s="1"/>
  <c r="L518" i="1" s="1"/>
  <c r="L356" i="1"/>
  <c r="L405" i="1" s="1"/>
  <c r="L454" i="1" s="1"/>
  <c r="L505" i="1" s="1"/>
  <c r="L370" i="1"/>
  <c r="L419" i="1" s="1"/>
  <c r="L468" i="1" s="1"/>
  <c r="L519" i="1" s="1"/>
  <c r="P108" i="1"/>
  <c r="P119" i="1" s="1"/>
  <c r="P737" i="1" s="1"/>
  <c r="I336" i="1"/>
  <c r="I386" i="1" s="1"/>
  <c r="I435" i="1" s="1"/>
  <c r="I486" i="1" s="1"/>
  <c r="I352" i="1"/>
  <c r="I401" i="1" s="1"/>
  <c r="I450" i="1" s="1"/>
  <c r="I501" i="1" s="1"/>
  <c r="I345" i="1"/>
  <c r="I394" i="1" s="1"/>
  <c r="I443" i="1" s="1"/>
  <c r="I494" i="1" s="1"/>
  <c r="I347" i="1"/>
  <c r="I396" i="1" s="1"/>
  <c r="I445" i="1" s="1"/>
  <c r="I496" i="1" s="1"/>
  <c r="I760" i="1"/>
  <c r="I366" i="1"/>
  <c r="I415" i="1" s="1"/>
  <c r="I464" i="1" s="1"/>
  <c r="I515" i="1" s="1"/>
  <c r="Z865" i="1"/>
  <c r="L375" i="1"/>
  <c r="L424" i="1" s="1"/>
  <c r="L473" i="1" s="1"/>
  <c r="L524" i="1" s="1"/>
  <c r="L372" i="1"/>
  <c r="L421" i="1" s="1"/>
  <c r="L470" i="1" s="1"/>
  <c r="L521" i="1" s="1"/>
  <c r="L361" i="1"/>
  <c r="L410" i="1" s="1"/>
  <c r="L459" i="1" s="1"/>
  <c r="L510" i="1" s="1"/>
  <c r="L352" i="1"/>
  <c r="L401" i="1" s="1"/>
  <c r="L450" i="1" s="1"/>
  <c r="L501" i="1" s="1"/>
  <c r="L345" i="1"/>
  <c r="L394" i="1" s="1"/>
  <c r="L443" i="1" s="1"/>
  <c r="L494" i="1" s="1"/>
  <c r="L332" i="1"/>
  <c r="L382" i="1" s="1"/>
  <c r="L431" i="1" s="1"/>
  <c r="L482" i="1" s="1"/>
  <c r="L347" i="1"/>
  <c r="L396" i="1" s="1"/>
  <c r="L445" i="1" s="1"/>
  <c r="L496" i="1" s="1"/>
  <c r="L712" i="1"/>
  <c r="L333" i="1"/>
  <c r="L383" i="1" s="1"/>
  <c r="L432" i="1" s="1"/>
  <c r="L483" i="1" s="1"/>
  <c r="L334" i="1"/>
  <c r="L384" i="1" s="1"/>
  <c r="L433" i="1" s="1"/>
  <c r="L484" i="1" s="1"/>
  <c r="L353" i="1"/>
  <c r="L402" i="1" s="1"/>
  <c r="L451" i="1" s="1"/>
  <c r="L502" i="1" s="1"/>
  <c r="I597" i="1"/>
  <c r="I368" i="1"/>
  <c r="I417" i="1" s="1"/>
  <c r="I466" i="1" s="1"/>
  <c r="I517" i="1" s="1"/>
  <c r="I712" i="1"/>
  <c r="I365" i="1"/>
  <c r="I414" i="1" s="1"/>
  <c r="I463" i="1" s="1"/>
  <c r="I514" i="1" s="1"/>
  <c r="I335" i="1"/>
  <c r="I385" i="1" s="1"/>
  <c r="I434" i="1" s="1"/>
  <c r="I485" i="1" s="1"/>
  <c r="I711" i="1"/>
  <c r="S865" i="1"/>
  <c r="D30" i="1"/>
  <c r="AA865" i="1"/>
  <c r="AC865" i="1"/>
  <c r="D22" i="1"/>
  <c r="Q120" i="1"/>
  <c r="Q748" i="1" s="1"/>
  <c r="Q751" i="1" s="1"/>
  <c r="Y372" i="1"/>
  <c r="Y421" i="1" s="1"/>
  <c r="Y470" i="1" s="1"/>
  <c r="Y521" i="1" s="1"/>
  <c r="Y575" i="1" s="1"/>
  <c r="Y347" i="1"/>
  <c r="Y396" i="1" s="1"/>
  <c r="Y445" i="1" s="1"/>
  <c r="Y496" i="1" s="1"/>
  <c r="Y547" i="1" s="1"/>
  <c r="Y375" i="1"/>
  <c r="Y424" i="1" s="1"/>
  <c r="Y473" i="1" s="1"/>
  <c r="Y726" i="1"/>
  <c r="Y358" i="1"/>
  <c r="Y407" i="1" s="1"/>
  <c r="Y456" i="1" s="1"/>
  <c r="Y507" i="1" s="1"/>
  <c r="Y560" i="1" s="1"/>
  <c r="Y728" i="1"/>
  <c r="K368" i="1"/>
  <c r="K417" i="1" s="1"/>
  <c r="K466" i="1" s="1"/>
  <c r="K517" i="1" s="1"/>
  <c r="K330" i="1"/>
  <c r="K380" i="1" s="1"/>
  <c r="K429" i="1" s="1"/>
  <c r="K480" i="1" s="1"/>
  <c r="K352" i="1"/>
  <c r="K401" i="1" s="1"/>
  <c r="K450" i="1" s="1"/>
  <c r="K501" i="1" s="1"/>
  <c r="K712" i="1"/>
  <c r="O366" i="1"/>
  <c r="O415" i="1" s="1"/>
  <c r="O464" i="1" s="1"/>
  <c r="O515" i="1" s="1"/>
  <c r="O569" i="1" s="1"/>
  <c r="O599" i="1"/>
  <c r="O373" i="1"/>
  <c r="O422" i="1" s="1"/>
  <c r="O471" i="1" s="1"/>
  <c r="O522" i="1" s="1"/>
  <c r="O576" i="1" s="1"/>
  <c r="O341" i="1"/>
  <c r="O390" i="1" s="1"/>
  <c r="O439" i="1" s="1"/>
  <c r="O490" i="1" s="1"/>
  <c r="O540" i="1" s="1"/>
  <c r="Y352" i="1"/>
  <c r="Y401" i="1" s="1"/>
  <c r="Y450" i="1" s="1"/>
  <c r="Y712" i="1"/>
  <c r="K359" i="1"/>
  <c r="K408" i="1" s="1"/>
  <c r="K457" i="1" s="1"/>
  <c r="K508" i="1" s="1"/>
  <c r="K341" i="1"/>
  <c r="K390" i="1" s="1"/>
  <c r="K439" i="1" s="1"/>
  <c r="K490" i="1" s="1"/>
  <c r="K333" i="1"/>
  <c r="K383" i="1" s="1"/>
  <c r="K432" i="1" s="1"/>
  <c r="K483" i="1" s="1"/>
  <c r="K334" i="1"/>
  <c r="K384" i="1" s="1"/>
  <c r="K433" i="1" s="1"/>
  <c r="K484" i="1" s="1"/>
  <c r="K346" i="1"/>
  <c r="K395" i="1" s="1"/>
  <c r="K444" i="1" s="1"/>
  <c r="K495" i="1" s="1"/>
  <c r="K724" i="1"/>
  <c r="O352" i="1"/>
  <c r="O401" i="1" s="1"/>
  <c r="O450" i="1" s="1"/>
  <c r="O501" i="1" s="1"/>
  <c r="O553" i="1" s="1"/>
  <c r="O346" i="1"/>
  <c r="O395" i="1" s="1"/>
  <c r="O444" i="1" s="1"/>
  <c r="O495" i="1" s="1"/>
  <c r="O546" i="1" s="1"/>
  <c r="O372" i="1"/>
  <c r="O421" i="1" s="1"/>
  <c r="O470" i="1" s="1"/>
  <c r="O521" i="1" s="1"/>
  <c r="O575" i="1" s="1"/>
  <c r="O334" i="1"/>
  <c r="O384" i="1" s="1"/>
  <c r="O433" i="1" s="1"/>
  <c r="O484" i="1" s="1"/>
  <c r="O533" i="1" s="1"/>
  <c r="O362" i="1"/>
  <c r="O411" i="1" s="1"/>
  <c r="O460" i="1" s="1"/>
  <c r="O511" i="1" s="1"/>
  <c r="O564" i="1" s="1"/>
  <c r="O759" i="1"/>
  <c r="Y369" i="1"/>
  <c r="Y418" i="1" s="1"/>
  <c r="Y467" i="1" s="1"/>
  <c r="Y361" i="1"/>
  <c r="Y410" i="1" s="1"/>
  <c r="Y459" i="1" s="1"/>
  <c r="Y510" i="1" s="1"/>
  <c r="Y563" i="1" s="1"/>
  <c r="Y359" i="1"/>
  <c r="Y408" i="1" s="1"/>
  <c r="Y457" i="1" s="1"/>
  <c r="Y348" i="1"/>
  <c r="Y397" i="1" s="1"/>
  <c r="Y446" i="1" s="1"/>
  <c r="Y334" i="1"/>
  <c r="Y384" i="1" s="1"/>
  <c r="Y433" i="1" s="1"/>
  <c r="Y484" i="1" s="1"/>
  <c r="Y533" i="1" s="1"/>
  <c r="Y724" i="1"/>
  <c r="Y360" i="1"/>
  <c r="Y409" i="1" s="1"/>
  <c r="Y458" i="1" s="1"/>
  <c r="Y340" i="1"/>
  <c r="Y389" i="1" s="1"/>
  <c r="Y438" i="1" s="1"/>
  <c r="Y489" i="1" s="1"/>
  <c r="Y539" i="1" s="1"/>
  <c r="Y725" i="1"/>
  <c r="Y341" i="1"/>
  <c r="Y390" i="1" s="1"/>
  <c r="Y439" i="1" s="1"/>
  <c r="Y490" i="1" s="1"/>
  <c r="Y540" i="1" s="1"/>
  <c r="Y760" i="1"/>
  <c r="K375" i="1"/>
  <c r="K424" i="1" s="1"/>
  <c r="K473" i="1" s="1"/>
  <c r="K524" i="1" s="1"/>
  <c r="K599" i="1"/>
  <c r="K357" i="1"/>
  <c r="K406" i="1" s="1"/>
  <c r="K455" i="1" s="1"/>
  <c r="K506" i="1" s="1"/>
  <c r="K760" i="1"/>
  <c r="K765" i="1"/>
  <c r="K597" i="1"/>
  <c r="K353" i="1"/>
  <c r="K402" i="1" s="1"/>
  <c r="K451" i="1" s="1"/>
  <c r="K502" i="1" s="1"/>
  <c r="K356" i="1"/>
  <c r="K405" i="1" s="1"/>
  <c r="K454" i="1" s="1"/>
  <c r="K505" i="1" s="1"/>
  <c r="K342" i="1"/>
  <c r="K391" i="1" s="1"/>
  <c r="K440" i="1" s="1"/>
  <c r="K491" i="1" s="1"/>
  <c r="K727" i="1"/>
  <c r="K728" i="1"/>
  <c r="O375" i="1"/>
  <c r="O424" i="1" s="1"/>
  <c r="O473" i="1" s="1"/>
  <c r="O524" i="1" s="1"/>
  <c r="O579" i="1" s="1"/>
  <c r="O336" i="1"/>
  <c r="O386" i="1" s="1"/>
  <c r="O435" i="1" s="1"/>
  <c r="O486" i="1" s="1"/>
  <c r="O535" i="1" s="1"/>
  <c r="O332" i="1"/>
  <c r="O382" i="1" s="1"/>
  <c r="O431" i="1" s="1"/>
  <c r="O482" i="1" s="1"/>
  <c r="O531" i="1" s="1"/>
  <c r="O353" i="1"/>
  <c r="O402" i="1" s="1"/>
  <c r="O451" i="1" s="1"/>
  <c r="O502" i="1" s="1"/>
  <c r="O554" i="1" s="1"/>
  <c r="O765" i="1"/>
  <c r="O760" i="1"/>
  <c r="O358" i="1"/>
  <c r="O407" i="1" s="1"/>
  <c r="O456" i="1" s="1"/>
  <c r="O507" i="1" s="1"/>
  <c r="O560" i="1" s="1"/>
  <c r="O711" i="1"/>
  <c r="O356" i="1"/>
  <c r="O405" i="1" s="1"/>
  <c r="O454" i="1" s="1"/>
  <c r="O505" i="1" s="1"/>
  <c r="O558" i="1" s="1"/>
  <c r="O342" i="1"/>
  <c r="O391" i="1" s="1"/>
  <c r="O440" i="1" s="1"/>
  <c r="O724" i="1"/>
  <c r="I351" i="1"/>
  <c r="I400" i="1" s="1"/>
  <c r="I449" i="1" s="1"/>
  <c r="I500" i="1" s="1"/>
  <c r="I333" i="1"/>
  <c r="I383" i="1" s="1"/>
  <c r="I432" i="1" s="1"/>
  <c r="I483" i="1" s="1"/>
  <c r="I358" i="1"/>
  <c r="I407" i="1" s="1"/>
  <c r="I456" i="1" s="1"/>
  <c r="I507" i="1" s="1"/>
  <c r="I599" i="1"/>
  <c r="I357" i="1"/>
  <c r="I406" i="1" s="1"/>
  <c r="I455" i="1" s="1"/>
  <c r="I506" i="1" s="1"/>
  <c r="I330" i="1"/>
  <c r="I380" i="1" s="1"/>
  <c r="I429" i="1" s="1"/>
  <c r="I480" i="1" s="1"/>
  <c r="I353" i="1"/>
  <c r="I402" i="1" s="1"/>
  <c r="I451" i="1" s="1"/>
  <c r="I502" i="1" s="1"/>
  <c r="I373" i="1"/>
  <c r="I422" i="1" s="1"/>
  <c r="I471" i="1" s="1"/>
  <c r="I522" i="1" s="1"/>
  <c r="I367" i="1"/>
  <c r="I416" i="1" s="1"/>
  <c r="I465" i="1" s="1"/>
  <c r="I516" i="1" s="1"/>
  <c r="I348" i="1"/>
  <c r="I397" i="1" s="1"/>
  <c r="I446" i="1" s="1"/>
  <c r="I497" i="1" s="1"/>
  <c r="I370" i="1"/>
  <c r="I419" i="1" s="1"/>
  <c r="I468" i="1" s="1"/>
  <c r="I519" i="1" s="1"/>
  <c r="Y366" i="1"/>
  <c r="Y415" i="1" s="1"/>
  <c r="Y464" i="1" s="1"/>
  <c r="Y515" i="1" s="1"/>
  <c r="Y569" i="1" s="1"/>
  <c r="Y368" i="1"/>
  <c r="Y417" i="1" s="1"/>
  <c r="Y466" i="1" s="1"/>
  <c r="Y517" i="1" s="1"/>
  <c r="Y571" i="1" s="1"/>
  <c r="Y370" i="1"/>
  <c r="Y419" i="1" s="1"/>
  <c r="Y468" i="1" s="1"/>
  <c r="Y519" i="1" s="1"/>
  <c r="Y573" i="1" s="1"/>
  <c r="Y353" i="1"/>
  <c r="Y402" i="1" s="1"/>
  <c r="Y451" i="1" s="1"/>
  <c r="K365" i="1"/>
  <c r="K414" i="1" s="1"/>
  <c r="K463" i="1" s="1"/>
  <c r="K514" i="1" s="1"/>
  <c r="O330" i="1"/>
  <c r="O380" i="1" s="1"/>
  <c r="O429" i="1" s="1"/>
  <c r="O480" i="1" s="1"/>
  <c r="O529" i="1" s="1"/>
  <c r="O331" i="1"/>
  <c r="O381" i="1" s="1"/>
  <c r="O430" i="1" s="1"/>
  <c r="O481" i="1" s="1"/>
  <c r="O530" i="1" s="1"/>
  <c r="Y356" i="1"/>
  <c r="Y405" i="1" s="1"/>
  <c r="Y454" i="1" s="1"/>
  <c r="Y367" i="1"/>
  <c r="Y416" i="1" s="1"/>
  <c r="Y465" i="1" s="1"/>
  <c r="Y342" i="1"/>
  <c r="Y391" i="1" s="1"/>
  <c r="Y440" i="1" s="1"/>
  <c r="Y357" i="1"/>
  <c r="Y406" i="1" s="1"/>
  <c r="Y455" i="1" s="1"/>
  <c r="Y345" i="1"/>
  <c r="Y394" i="1" s="1"/>
  <c r="Y443" i="1" s="1"/>
  <c r="Y594" i="1"/>
  <c r="Y596" i="1" s="1"/>
  <c r="Y765" i="1"/>
  <c r="Y766" i="1" s="1"/>
  <c r="Y335" i="1"/>
  <c r="Y385" i="1" s="1"/>
  <c r="Y434" i="1" s="1"/>
  <c r="Y485" i="1" s="1"/>
  <c r="Y534" i="1" s="1"/>
  <c r="Y727" i="1"/>
  <c r="Y371" i="1"/>
  <c r="Y420" i="1" s="1"/>
  <c r="Y469" i="1" s="1"/>
  <c r="K373" i="1"/>
  <c r="K422" i="1" s="1"/>
  <c r="K471" i="1" s="1"/>
  <c r="K522" i="1" s="1"/>
  <c r="K340" i="1"/>
  <c r="K389" i="1" s="1"/>
  <c r="K438" i="1" s="1"/>
  <c r="K489" i="1" s="1"/>
  <c r="K367" i="1"/>
  <c r="K416" i="1" s="1"/>
  <c r="K465" i="1" s="1"/>
  <c r="K516" i="1" s="1"/>
  <c r="K347" i="1"/>
  <c r="K396" i="1" s="1"/>
  <c r="K445" i="1" s="1"/>
  <c r="K496" i="1" s="1"/>
  <c r="K331" i="1"/>
  <c r="K381" i="1" s="1"/>
  <c r="K430" i="1" s="1"/>
  <c r="K481" i="1" s="1"/>
  <c r="K332" i="1"/>
  <c r="K382" i="1" s="1"/>
  <c r="K431" i="1" s="1"/>
  <c r="K482" i="1" s="1"/>
  <c r="K369" i="1"/>
  <c r="K418" i="1" s="1"/>
  <c r="K467" i="1" s="1"/>
  <c r="K518" i="1" s="1"/>
  <c r="K370" i="1"/>
  <c r="K419" i="1" s="1"/>
  <c r="K468" i="1" s="1"/>
  <c r="K519" i="1" s="1"/>
  <c r="K371" i="1"/>
  <c r="K420" i="1" s="1"/>
  <c r="K469" i="1" s="1"/>
  <c r="K520" i="1" s="1"/>
  <c r="K361" i="1"/>
  <c r="K410" i="1" s="1"/>
  <c r="K459" i="1" s="1"/>
  <c r="K510" i="1" s="1"/>
  <c r="K725" i="1"/>
  <c r="O360" i="1"/>
  <c r="O409" i="1" s="1"/>
  <c r="O458" i="1" s="1"/>
  <c r="O509" i="1" s="1"/>
  <c r="O562" i="1" s="1"/>
  <c r="O357" i="1"/>
  <c r="O406" i="1" s="1"/>
  <c r="O455" i="1" s="1"/>
  <c r="O506" i="1" s="1"/>
  <c r="O559" i="1" s="1"/>
  <c r="O725" i="1"/>
  <c r="O359" i="1"/>
  <c r="O408" i="1" s="1"/>
  <c r="O457" i="1" s="1"/>
  <c r="O508" i="1" s="1"/>
  <c r="O561" i="1" s="1"/>
  <c r="O597" i="1"/>
  <c r="O365" i="1"/>
  <c r="O414" i="1" s="1"/>
  <c r="O463" i="1" s="1"/>
  <c r="O514" i="1" s="1"/>
  <c r="O568" i="1" s="1"/>
  <c r="O368" i="1"/>
  <c r="O417" i="1" s="1"/>
  <c r="O466" i="1" s="1"/>
  <c r="O517" i="1" s="1"/>
  <c r="O571" i="1" s="1"/>
  <c r="O371" i="1"/>
  <c r="O420" i="1" s="1"/>
  <c r="O469" i="1" s="1"/>
  <c r="O520" i="1" s="1"/>
  <c r="O574" i="1" s="1"/>
  <c r="O727" i="1"/>
  <c r="O367" i="1"/>
  <c r="O416" i="1" s="1"/>
  <c r="O465" i="1" s="1"/>
  <c r="O351" i="1"/>
  <c r="O400" i="1" s="1"/>
  <c r="O449" i="1" s="1"/>
  <c r="O500" i="1" s="1"/>
  <c r="O552" i="1" s="1"/>
  <c r="I361" i="1"/>
  <c r="I410" i="1" s="1"/>
  <c r="I459" i="1" s="1"/>
  <c r="I510" i="1" s="1"/>
  <c r="I340" i="1"/>
  <c r="I389" i="1" s="1"/>
  <c r="I438" i="1" s="1"/>
  <c r="I489" i="1" s="1"/>
  <c r="I362" i="1"/>
  <c r="I411" i="1" s="1"/>
  <c r="I460" i="1" s="1"/>
  <c r="I511" i="1" s="1"/>
  <c r="I727" i="1"/>
  <c r="I371" i="1"/>
  <c r="I420" i="1" s="1"/>
  <c r="I469" i="1" s="1"/>
  <c r="I520" i="1" s="1"/>
  <c r="I334" i="1"/>
  <c r="I384" i="1" s="1"/>
  <c r="I433" i="1" s="1"/>
  <c r="I484" i="1" s="1"/>
  <c r="I359" i="1"/>
  <c r="I408" i="1" s="1"/>
  <c r="I457" i="1" s="1"/>
  <c r="I508" i="1" s="1"/>
  <c r="I724" i="1"/>
  <c r="I331" i="1"/>
  <c r="I381" i="1" s="1"/>
  <c r="I430" i="1" s="1"/>
  <c r="I481" i="1" s="1"/>
  <c r="I356" i="1"/>
  <c r="I405" i="1" s="1"/>
  <c r="I454" i="1" s="1"/>
  <c r="I505" i="1" s="1"/>
  <c r="Q108" i="1"/>
  <c r="D26" i="1"/>
  <c r="D36" i="1"/>
  <c r="AB113" i="1"/>
  <c r="AB120" i="1" s="1"/>
  <c r="AB748" i="1" s="1"/>
  <c r="AB751" i="1" s="1"/>
  <c r="U865" i="1"/>
  <c r="P865" i="1"/>
  <c r="V109" i="1"/>
  <c r="Q104" i="1"/>
  <c r="Q682" i="1" s="1"/>
  <c r="N865" i="1"/>
  <c r="AA108" i="1"/>
  <c r="AA119" i="1" s="1"/>
  <c r="AA737" i="1" s="1"/>
  <c r="Q865" i="1"/>
  <c r="G852" i="53"/>
  <c r="AE332" i="1"/>
  <c r="AE382" i="1" s="1"/>
  <c r="AE431" i="1" s="1"/>
  <c r="AE370" i="1"/>
  <c r="AE419" i="1" s="1"/>
  <c r="AE468" i="1" s="1"/>
  <c r="AE348" i="1"/>
  <c r="AE397" i="1" s="1"/>
  <c r="AE446" i="1" s="1"/>
  <c r="AE712" i="1"/>
  <c r="M597" i="1"/>
  <c r="U345" i="1"/>
  <c r="U394" i="1" s="1"/>
  <c r="U443" i="1" s="1"/>
  <c r="U494" i="1" s="1"/>
  <c r="U545" i="1" s="1"/>
  <c r="M357" i="1"/>
  <c r="M406" i="1" s="1"/>
  <c r="M455" i="1" s="1"/>
  <c r="M506" i="1" s="1"/>
  <c r="M559" i="1" s="1"/>
  <c r="AE333" i="1"/>
  <c r="AE383" i="1" s="1"/>
  <c r="AE432" i="1" s="1"/>
  <c r="M365" i="1"/>
  <c r="M414" i="1" s="1"/>
  <c r="M463" i="1" s="1"/>
  <c r="M514" i="1" s="1"/>
  <c r="M568" i="1" s="1"/>
  <c r="AE372" i="1"/>
  <c r="AE421" i="1" s="1"/>
  <c r="AE470" i="1" s="1"/>
  <c r="M367" i="1"/>
  <c r="M416" i="1" s="1"/>
  <c r="M465" i="1" s="1"/>
  <c r="M516" i="1" s="1"/>
  <c r="M570" i="1" s="1"/>
  <c r="M724" i="1"/>
  <c r="U331" i="1"/>
  <c r="U381" i="1" s="1"/>
  <c r="U430" i="1" s="1"/>
  <c r="U481" i="1" s="1"/>
  <c r="U530" i="1" s="1"/>
  <c r="U334" i="1"/>
  <c r="U384" i="1" s="1"/>
  <c r="U433" i="1" s="1"/>
  <c r="U484" i="1" s="1"/>
  <c r="U533" i="1" s="1"/>
  <c r="AE373" i="1"/>
  <c r="AE422" i="1" s="1"/>
  <c r="AE471" i="1" s="1"/>
  <c r="AE728" i="1"/>
  <c r="M352" i="1"/>
  <c r="M401" i="1" s="1"/>
  <c r="M450" i="1" s="1"/>
  <c r="M501" i="1" s="1"/>
  <c r="M553" i="1" s="1"/>
  <c r="M725" i="1"/>
  <c r="M360" i="1"/>
  <c r="M409" i="1" s="1"/>
  <c r="M458" i="1" s="1"/>
  <c r="M509" i="1" s="1"/>
  <c r="M562" i="1" s="1"/>
  <c r="M335" i="1"/>
  <c r="M385" i="1" s="1"/>
  <c r="M434" i="1" s="1"/>
  <c r="M485" i="1" s="1"/>
  <c r="M534" i="1" s="1"/>
  <c r="U724" i="1"/>
  <c r="J346" i="1"/>
  <c r="J395" i="1" s="1"/>
  <c r="J444" i="1" s="1"/>
  <c r="J495" i="1" s="1"/>
  <c r="AE352" i="1"/>
  <c r="AE401" i="1" s="1"/>
  <c r="AE450" i="1" s="1"/>
  <c r="AE341" i="1"/>
  <c r="AE390" i="1" s="1"/>
  <c r="AE439" i="1" s="1"/>
  <c r="AE726" i="1"/>
  <c r="AE727" i="1"/>
  <c r="AE359" i="1"/>
  <c r="AE408" i="1" s="1"/>
  <c r="AE457" i="1" s="1"/>
  <c r="AE346" i="1"/>
  <c r="AE395" i="1" s="1"/>
  <c r="AE444" i="1" s="1"/>
  <c r="AE594" i="1"/>
  <c r="AE596" i="1" s="1"/>
  <c r="AE597" i="1"/>
  <c r="AE342" i="1"/>
  <c r="AE391" i="1" s="1"/>
  <c r="AE440" i="1" s="1"/>
  <c r="AE711" i="1"/>
  <c r="M342" i="1"/>
  <c r="M391" i="1" s="1"/>
  <c r="M440" i="1" s="1"/>
  <c r="M491" i="1" s="1"/>
  <c r="M541" i="1" s="1"/>
  <c r="M371" i="1"/>
  <c r="M420" i="1" s="1"/>
  <c r="M469" i="1" s="1"/>
  <c r="M520" i="1" s="1"/>
  <c r="M574" i="1" s="1"/>
  <c r="U332" i="1"/>
  <c r="U382" i="1" s="1"/>
  <c r="U431" i="1" s="1"/>
  <c r="U482" i="1" s="1"/>
  <c r="U531" i="1" s="1"/>
  <c r="AE365" i="1"/>
  <c r="AE414" i="1" s="1"/>
  <c r="AE463" i="1" s="1"/>
  <c r="AE368" i="1"/>
  <c r="AE417" i="1" s="1"/>
  <c r="AE466" i="1" s="1"/>
  <c r="AE335" i="1"/>
  <c r="AE385" i="1" s="1"/>
  <c r="AE434" i="1" s="1"/>
  <c r="AE375" i="1"/>
  <c r="AE424" i="1" s="1"/>
  <c r="AE473" i="1" s="1"/>
  <c r="AE765" i="1"/>
  <c r="AE766" i="1" s="1"/>
  <c r="AE334" i="1"/>
  <c r="AE384" i="1" s="1"/>
  <c r="AE433" i="1" s="1"/>
  <c r="M331" i="1"/>
  <c r="M381" i="1" s="1"/>
  <c r="M430" i="1" s="1"/>
  <c r="M481" i="1" s="1"/>
  <c r="M530" i="1" s="1"/>
  <c r="M341" i="1"/>
  <c r="M390" i="1" s="1"/>
  <c r="M439" i="1" s="1"/>
  <c r="M490" i="1" s="1"/>
  <c r="M540" i="1" s="1"/>
  <c r="M356" i="1"/>
  <c r="M405" i="1" s="1"/>
  <c r="M454" i="1" s="1"/>
  <c r="M505" i="1" s="1"/>
  <c r="M558" i="1" s="1"/>
  <c r="M362" i="1"/>
  <c r="M411" i="1" s="1"/>
  <c r="M460" i="1" s="1"/>
  <c r="M511" i="1" s="1"/>
  <c r="M564" i="1" s="1"/>
  <c r="M333" i="1"/>
  <c r="M383" i="1" s="1"/>
  <c r="M432" i="1" s="1"/>
  <c r="M483" i="1" s="1"/>
  <c r="M532" i="1" s="1"/>
  <c r="M332" i="1"/>
  <c r="M382" i="1" s="1"/>
  <c r="M431" i="1" s="1"/>
  <c r="M482" i="1" s="1"/>
  <c r="M531" i="1" s="1"/>
  <c r="U375" i="1"/>
  <c r="U424" i="1" s="1"/>
  <c r="U473" i="1" s="1"/>
  <c r="U524" i="1" s="1"/>
  <c r="U579" i="1" s="1"/>
  <c r="U725" i="1"/>
  <c r="U362" i="1"/>
  <c r="U411" i="1" s="1"/>
  <c r="U460" i="1" s="1"/>
  <c r="U511" i="1" s="1"/>
  <c r="U564" i="1" s="1"/>
  <c r="U341" i="1"/>
  <c r="U390" i="1" s="1"/>
  <c r="U439" i="1" s="1"/>
  <c r="U490" i="1" s="1"/>
  <c r="U540" i="1" s="1"/>
  <c r="U358" i="1"/>
  <c r="U407" i="1" s="1"/>
  <c r="U456" i="1" s="1"/>
  <c r="U507" i="1" s="1"/>
  <c r="U560" i="1" s="1"/>
  <c r="U340" i="1"/>
  <c r="U389" i="1" s="1"/>
  <c r="U438" i="1" s="1"/>
  <c r="U489" i="1" s="1"/>
  <c r="U539" i="1" s="1"/>
  <c r="J341" i="1"/>
  <c r="J390" i="1" s="1"/>
  <c r="J439" i="1" s="1"/>
  <c r="J490" i="1" s="1"/>
  <c r="AE362" i="1"/>
  <c r="AE411" i="1" s="1"/>
  <c r="AE460" i="1" s="1"/>
  <c r="AE345" i="1"/>
  <c r="AE394" i="1" s="1"/>
  <c r="AE443" i="1" s="1"/>
  <c r="AE330" i="1"/>
  <c r="AE380" i="1" s="1"/>
  <c r="AE429" i="1" s="1"/>
  <c r="AE357" i="1"/>
  <c r="AE406" i="1" s="1"/>
  <c r="AE455" i="1" s="1"/>
  <c r="AE351" i="1"/>
  <c r="AE400" i="1" s="1"/>
  <c r="AE449" i="1" s="1"/>
  <c r="AE336" i="1"/>
  <c r="AE386" i="1" s="1"/>
  <c r="AE435" i="1" s="1"/>
  <c r="AE360" i="1"/>
  <c r="AE409" i="1" s="1"/>
  <c r="AE458" i="1" s="1"/>
  <c r="AE361" i="1"/>
  <c r="AE410" i="1" s="1"/>
  <c r="AE459" i="1" s="1"/>
  <c r="AE724" i="1"/>
  <c r="AE331" i="1"/>
  <c r="AE381" i="1" s="1"/>
  <c r="AE430" i="1" s="1"/>
  <c r="M336" i="1"/>
  <c r="M386" i="1" s="1"/>
  <c r="M435" i="1" s="1"/>
  <c r="M486" i="1" s="1"/>
  <c r="M535" i="1" s="1"/>
  <c r="M351" i="1"/>
  <c r="M400" i="1" s="1"/>
  <c r="M449" i="1" s="1"/>
  <c r="M500" i="1" s="1"/>
  <c r="M552" i="1" s="1"/>
  <c r="M599" i="1"/>
  <c r="M626" i="1" s="1"/>
  <c r="M661" i="1" s="1"/>
  <c r="M760" i="1"/>
  <c r="M369" i="1"/>
  <c r="M418" i="1" s="1"/>
  <c r="M467" i="1" s="1"/>
  <c r="M518" i="1" s="1"/>
  <c r="M572" i="1" s="1"/>
  <c r="M594" i="1"/>
  <c r="M596" i="1" s="1"/>
  <c r="U765" i="1"/>
  <c r="U599" i="1"/>
  <c r="U356" i="1"/>
  <c r="U405" i="1" s="1"/>
  <c r="U454" i="1" s="1"/>
  <c r="U505" i="1" s="1"/>
  <c r="U558" i="1" s="1"/>
  <c r="U342" i="1"/>
  <c r="U391" i="1" s="1"/>
  <c r="U440" i="1" s="1"/>
  <c r="U491" i="1" s="1"/>
  <c r="U541" i="1" s="1"/>
  <c r="U726" i="1"/>
  <c r="U348" i="1"/>
  <c r="U397" i="1" s="1"/>
  <c r="U446" i="1" s="1"/>
  <c r="U497" i="1" s="1"/>
  <c r="U548" i="1" s="1"/>
  <c r="M759" i="1"/>
  <c r="J594" i="1"/>
  <c r="J596" i="1" s="1"/>
  <c r="J347" i="1"/>
  <c r="J396" i="1" s="1"/>
  <c r="J445" i="1" s="1"/>
  <c r="J496" i="1" s="1"/>
  <c r="U597" i="1"/>
  <c r="U335" i="1"/>
  <c r="U385" i="1" s="1"/>
  <c r="U434" i="1" s="1"/>
  <c r="U485" i="1" s="1"/>
  <c r="U534" i="1" s="1"/>
  <c r="U373" i="1"/>
  <c r="U422" i="1" s="1"/>
  <c r="U471" i="1" s="1"/>
  <c r="U522" i="1" s="1"/>
  <c r="U576" i="1" s="1"/>
  <c r="U366" i="1"/>
  <c r="U415" i="1" s="1"/>
  <c r="U464" i="1" s="1"/>
  <c r="U515" i="1" s="1"/>
  <c r="U569" i="1" s="1"/>
  <c r="U365" i="1"/>
  <c r="U414" i="1" s="1"/>
  <c r="U463" i="1" s="1"/>
  <c r="U514" i="1" s="1"/>
  <c r="U568" i="1" s="1"/>
  <c r="U594" i="1"/>
  <c r="U596" i="1" s="1"/>
  <c r="U759" i="1"/>
  <c r="V759" i="1" s="1"/>
  <c r="V764" i="1" s="1"/>
  <c r="J340" i="1"/>
  <c r="J389" i="1" s="1"/>
  <c r="J438" i="1" s="1"/>
  <c r="J489" i="1" s="1"/>
  <c r="J724" i="1"/>
  <c r="J711" i="1"/>
  <c r="J728" i="1"/>
  <c r="J725" i="1"/>
  <c r="AE599" i="1"/>
  <c r="AE371" i="1"/>
  <c r="AE420" i="1" s="1"/>
  <c r="AE469" i="1" s="1"/>
  <c r="AE366" i="1"/>
  <c r="AE415" i="1" s="1"/>
  <c r="AE464" i="1" s="1"/>
  <c r="AE358" i="1"/>
  <c r="AE407" i="1" s="1"/>
  <c r="AE456" i="1" s="1"/>
  <c r="AE369" i="1"/>
  <c r="AE418" i="1" s="1"/>
  <c r="AE467" i="1" s="1"/>
  <c r="AE347" i="1"/>
  <c r="AE396" i="1" s="1"/>
  <c r="AE445" i="1" s="1"/>
  <c r="AE356" i="1"/>
  <c r="AE405" i="1" s="1"/>
  <c r="AE454" i="1" s="1"/>
  <c r="AE353" i="1"/>
  <c r="AE402" i="1" s="1"/>
  <c r="AE451" i="1" s="1"/>
  <c r="AE367" i="1"/>
  <c r="AE416" i="1" s="1"/>
  <c r="AE465" i="1" s="1"/>
  <c r="AE760" i="1"/>
  <c r="AE340" i="1"/>
  <c r="AE389" i="1" s="1"/>
  <c r="AE438" i="1" s="1"/>
  <c r="M346" i="1"/>
  <c r="M395" i="1" s="1"/>
  <c r="M444" i="1" s="1"/>
  <c r="M495" i="1" s="1"/>
  <c r="M546" i="1" s="1"/>
  <c r="M765" i="1"/>
  <c r="M766" i="1" s="1"/>
  <c r="M370" i="1"/>
  <c r="M419" i="1" s="1"/>
  <c r="M468" i="1" s="1"/>
  <c r="M519" i="1" s="1"/>
  <c r="M573" i="1" s="1"/>
  <c r="M345" i="1"/>
  <c r="M394" i="1" s="1"/>
  <c r="M443" i="1" s="1"/>
  <c r="M494" i="1" s="1"/>
  <c r="M545" i="1" s="1"/>
  <c r="M366" i="1"/>
  <c r="M415" i="1" s="1"/>
  <c r="M464" i="1" s="1"/>
  <c r="M515" i="1" s="1"/>
  <c r="M569" i="1" s="1"/>
  <c r="M728" i="1"/>
  <c r="M358" i="1"/>
  <c r="M407" i="1" s="1"/>
  <c r="M456" i="1" s="1"/>
  <c r="M334" i="1"/>
  <c r="M384" i="1" s="1"/>
  <c r="M433" i="1" s="1"/>
  <c r="M726" i="1"/>
  <c r="M359" i="1"/>
  <c r="M408" i="1" s="1"/>
  <c r="M457" i="1" s="1"/>
  <c r="M508" i="1" s="1"/>
  <c r="M561" i="1" s="1"/>
  <c r="M373" i="1"/>
  <c r="M422" i="1" s="1"/>
  <c r="M471" i="1" s="1"/>
  <c r="M522" i="1" s="1"/>
  <c r="M576" i="1" s="1"/>
  <c r="U367" i="1"/>
  <c r="U416" i="1" s="1"/>
  <c r="U465" i="1" s="1"/>
  <c r="U516" i="1" s="1"/>
  <c r="U570" i="1" s="1"/>
  <c r="U347" i="1"/>
  <c r="U396" i="1" s="1"/>
  <c r="U445" i="1" s="1"/>
  <c r="U496" i="1" s="1"/>
  <c r="U547" i="1" s="1"/>
  <c r="U352" i="1"/>
  <c r="U401" i="1" s="1"/>
  <c r="U450" i="1" s="1"/>
  <c r="U361" i="1"/>
  <c r="U410" i="1" s="1"/>
  <c r="U459" i="1" s="1"/>
  <c r="U510" i="1" s="1"/>
  <c r="U563" i="1" s="1"/>
  <c r="U711" i="1"/>
  <c r="U369" i="1"/>
  <c r="U418" i="1" s="1"/>
  <c r="U467" i="1" s="1"/>
  <c r="U518" i="1" s="1"/>
  <c r="U572" i="1" s="1"/>
  <c r="U353" i="1"/>
  <c r="U402" i="1" s="1"/>
  <c r="U451" i="1" s="1"/>
  <c r="U502" i="1" s="1"/>
  <c r="U554" i="1" s="1"/>
  <c r="U360" i="1"/>
  <c r="U409" i="1" s="1"/>
  <c r="U458" i="1" s="1"/>
  <c r="U509" i="1" s="1"/>
  <c r="U562" i="1" s="1"/>
  <c r="U368" i="1"/>
  <c r="U417" i="1" s="1"/>
  <c r="U466" i="1" s="1"/>
  <c r="U517" i="1" s="1"/>
  <c r="U571" i="1" s="1"/>
  <c r="U351" i="1"/>
  <c r="U400" i="1" s="1"/>
  <c r="U449" i="1" s="1"/>
  <c r="U712" i="1"/>
  <c r="U764" i="1"/>
  <c r="J357" i="1"/>
  <c r="J406" i="1" s="1"/>
  <c r="J455" i="1" s="1"/>
  <c r="J506" i="1" s="1"/>
  <c r="J362" i="1"/>
  <c r="J411" i="1" s="1"/>
  <c r="J460" i="1" s="1"/>
  <c r="J511" i="1" s="1"/>
  <c r="J345" i="1"/>
  <c r="J394" i="1" s="1"/>
  <c r="J443" i="1" s="1"/>
  <c r="J494" i="1" s="1"/>
  <c r="J365" i="1"/>
  <c r="J414" i="1" s="1"/>
  <c r="J463" i="1" s="1"/>
  <c r="J514" i="1" s="1"/>
  <c r="J331" i="1"/>
  <c r="J381" i="1" s="1"/>
  <c r="J430" i="1" s="1"/>
  <c r="J481" i="1" s="1"/>
  <c r="M330" i="1"/>
  <c r="M380" i="1" s="1"/>
  <c r="M429" i="1" s="1"/>
  <c r="M375" i="1"/>
  <c r="M424" i="1" s="1"/>
  <c r="M473" i="1" s="1"/>
  <c r="M524" i="1" s="1"/>
  <c r="M579" i="1" s="1"/>
  <c r="M711" i="1"/>
  <c r="M372" i="1"/>
  <c r="M421" i="1" s="1"/>
  <c r="M470" i="1" s="1"/>
  <c r="M521" i="1" s="1"/>
  <c r="M575" i="1" s="1"/>
  <c r="M348" i="1"/>
  <c r="M397" i="1" s="1"/>
  <c r="M446" i="1" s="1"/>
  <c r="M340" i="1"/>
  <c r="M389" i="1" s="1"/>
  <c r="M438" i="1" s="1"/>
  <c r="M489" i="1" s="1"/>
  <c r="M539" i="1" s="1"/>
  <c r="M347" i="1"/>
  <c r="M396" i="1" s="1"/>
  <c r="M445" i="1" s="1"/>
  <c r="M496" i="1" s="1"/>
  <c r="M547" i="1" s="1"/>
  <c r="M368" i="1"/>
  <c r="M417" i="1" s="1"/>
  <c r="M466" i="1" s="1"/>
  <c r="M517" i="1" s="1"/>
  <c r="M571" i="1" s="1"/>
  <c r="M361" i="1"/>
  <c r="M410" i="1" s="1"/>
  <c r="M459" i="1" s="1"/>
  <c r="M510" i="1" s="1"/>
  <c r="M563" i="1" s="1"/>
  <c r="M712" i="1"/>
  <c r="M353" i="1"/>
  <c r="M402" i="1" s="1"/>
  <c r="M451" i="1" s="1"/>
  <c r="M502" i="1" s="1"/>
  <c r="M554" i="1" s="1"/>
  <c r="M727" i="1"/>
  <c r="U330" i="1"/>
  <c r="U380" i="1" s="1"/>
  <c r="U429" i="1" s="1"/>
  <c r="U480" i="1" s="1"/>
  <c r="U529" i="1" s="1"/>
  <c r="U357" i="1"/>
  <c r="U406" i="1" s="1"/>
  <c r="U455" i="1" s="1"/>
  <c r="U506" i="1" s="1"/>
  <c r="U559" i="1" s="1"/>
  <c r="U346" i="1"/>
  <c r="U395" i="1" s="1"/>
  <c r="U444" i="1" s="1"/>
  <c r="U333" i="1"/>
  <c r="U383" i="1" s="1"/>
  <c r="U432" i="1" s="1"/>
  <c r="U483" i="1" s="1"/>
  <c r="U532" i="1" s="1"/>
  <c r="U371" i="1"/>
  <c r="U420" i="1" s="1"/>
  <c r="U469" i="1" s="1"/>
  <c r="U520" i="1" s="1"/>
  <c r="U728" i="1"/>
  <c r="U336" i="1"/>
  <c r="U386" i="1" s="1"/>
  <c r="U435" i="1" s="1"/>
  <c r="U486" i="1" s="1"/>
  <c r="U535" i="1" s="1"/>
  <c r="U372" i="1"/>
  <c r="U421" i="1" s="1"/>
  <c r="U470" i="1" s="1"/>
  <c r="U521" i="1" s="1"/>
  <c r="U575" i="1" s="1"/>
  <c r="U760" i="1"/>
  <c r="U770" i="1" s="1"/>
  <c r="U370" i="1"/>
  <c r="U419" i="1" s="1"/>
  <c r="U468" i="1" s="1"/>
  <c r="U519" i="1" s="1"/>
  <c r="U573" i="1" s="1"/>
  <c r="U359" i="1"/>
  <c r="U408" i="1" s="1"/>
  <c r="U457" i="1" s="1"/>
  <c r="U508" i="1" s="1"/>
  <c r="U561" i="1" s="1"/>
  <c r="J367" i="1"/>
  <c r="J416" i="1" s="1"/>
  <c r="J465" i="1" s="1"/>
  <c r="J516" i="1" s="1"/>
  <c r="J368" i="1"/>
  <c r="J417" i="1" s="1"/>
  <c r="J466" i="1" s="1"/>
  <c r="J517" i="1" s="1"/>
  <c r="J361" i="1"/>
  <c r="J410" i="1" s="1"/>
  <c r="J459" i="1" s="1"/>
  <c r="J510" i="1" s="1"/>
  <c r="J369" i="1"/>
  <c r="J418" i="1" s="1"/>
  <c r="J467" i="1" s="1"/>
  <c r="J518" i="1" s="1"/>
  <c r="J335" i="1"/>
  <c r="J385" i="1" s="1"/>
  <c r="J434" i="1" s="1"/>
  <c r="J485" i="1" s="1"/>
  <c r="AC353" i="1"/>
  <c r="AC402" i="1" s="1"/>
  <c r="AC451" i="1" s="1"/>
  <c r="J727" i="1"/>
  <c r="J352" i="1"/>
  <c r="J401" i="1" s="1"/>
  <c r="J450" i="1" s="1"/>
  <c r="J501" i="1" s="1"/>
  <c r="J372" i="1"/>
  <c r="J421" i="1" s="1"/>
  <c r="J470" i="1" s="1"/>
  <c r="J521" i="1" s="1"/>
  <c r="J760" i="1"/>
  <c r="J330" i="1"/>
  <c r="J380" i="1" s="1"/>
  <c r="J429" i="1" s="1"/>
  <c r="J480" i="1" s="1"/>
  <c r="J353" i="1"/>
  <c r="J402" i="1" s="1"/>
  <c r="J451" i="1" s="1"/>
  <c r="J502" i="1" s="1"/>
  <c r="J373" i="1"/>
  <c r="J422" i="1" s="1"/>
  <c r="J471" i="1" s="1"/>
  <c r="J522" i="1" s="1"/>
  <c r="J351" i="1"/>
  <c r="J400" i="1" s="1"/>
  <c r="J449" i="1" s="1"/>
  <c r="J500" i="1" s="1"/>
  <c r="J342" i="1"/>
  <c r="J391" i="1" s="1"/>
  <c r="J440" i="1" s="1"/>
  <c r="J491" i="1" s="1"/>
  <c r="AC342" i="1"/>
  <c r="AC391" i="1" s="1"/>
  <c r="AC440" i="1" s="1"/>
  <c r="J336" i="1"/>
  <c r="J386" i="1" s="1"/>
  <c r="J435" i="1" s="1"/>
  <c r="J486" i="1" s="1"/>
  <c r="J333" i="1"/>
  <c r="J383" i="1" s="1"/>
  <c r="J432" i="1" s="1"/>
  <c r="J483" i="1" s="1"/>
  <c r="J358" i="1"/>
  <c r="J407" i="1" s="1"/>
  <c r="J456" i="1" s="1"/>
  <c r="J507" i="1" s="1"/>
  <c r="J597" i="1"/>
  <c r="J332" i="1"/>
  <c r="J382" i="1" s="1"/>
  <c r="J431" i="1" s="1"/>
  <c r="J482" i="1" s="1"/>
  <c r="J334" i="1"/>
  <c r="J384" i="1" s="1"/>
  <c r="J433" i="1" s="1"/>
  <c r="J484" i="1" s="1"/>
  <c r="J359" i="1"/>
  <c r="J408" i="1" s="1"/>
  <c r="J457" i="1" s="1"/>
  <c r="J508" i="1" s="1"/>
  <c r="J599" i="1"/>
  <c r="J371" i="1"/>
  <c r="J420" i="1" s="1"/>
  <c r="J469" i="1" s="1"/>
  <c r="J520" i="1" s="1"/>
  <c r="J356" i="1"/>
  <c r="J405" i="1" s="1"/>
  <c r="J454" i="1" s="1"/>
  <c r="J505" i="1" s="1"/>
  <c r="R351" i="1"/>
  <c r="R400" i="1" s="1"/>
  <c r="R449" i="1" s="1"/>
  <c r="R500" i="1" s="1"/>
  <c r="R552" i="1" s="1"/>
  <c r="J348" i="1"/>
  <c r="J397" i="1" s="1"/>
  <c r="J446" i="1" s="1"/>
  <c r="J497" i="1" s="1"/>
  <c r="AC367" i="1"/>
  <c r="AC416" i="1" s="1"/>
  <c r="AC465" i="1" s="1"/>
  <c r="AC516" i="1" s="1"/>
  <c r="AC570" i="1" s="1"/>
  <c r="AC724" i="1"/>
  <c r="J360" i="1"/>
  <c r="J409" i="1" s="1"/>
  <c r="J458" i="1" s="1"/>
  <c r="J509" i="1" s="1"/>
  <c r="AC336" i="1"/>
  <c r="AC386" i="1" s="1"/>
  <c r="AC435" i="1" s="1"/>
  <c r="AC346" i="1"/>
  <c r="AC395" i="1" s="1"/>
  <c r="AC444" i="1" s="1"/>
  <c r="AC495" i="1" s="1"/>
  <c r="AC546" i="1" s="1"/>
  <c r="AC362" i="1"/>
  <c r="AC411" i="1" s="1"/>
  <c r="AC460" i="1" s="1"/>
  <c r="AC511" i="1" s="1"/>
  <c r="AC564" i="1" s="1"/>
  <c r="AC352" i="1"/>
  <c r="AC401" i="1" s="1"/>
  <c r="AC450" i="1" s="1"/>
  <c r="AC728" i="1"/>
  <c r="R352" i="1"/>
  <c r="R401" i="1" s="1"/>
  <c r="R450" i="1" s="1"/>
  <c r="R366" i="1"/>
  <c r="R415" i="1" s="1"/>
  <c r="R464" i="1" s="1"/>
  <c r="R515" i="1" s="1"/>
  <c r="R569" i="1" s="1"/>
  <c r="AC360" i="1"/>
  <c r="AC409" i="1" s="1"/>
  <c r="AC458" i="1" s="1"/>
  <c r="T766" i="1"/>
  <c r="T790" i="1" s="1"/>
  <c r="R371" i="1"/>
  <c r="R420" i="1" s="1"/>
  <c r="R469" i="1" s="1"/>
  <c r="R594" i="1"/>
  <c r="R596" i="1" s="1"/>
  <c r="R334" i="1"/>
  <c r="R384" i="1" s="1"/>
  <c r="R433" i="1" s="1"/>
  <c r="R484" i="1" s="1"/>
  <c r="R533" i="1" s="1"/>
  <c r="R340" i="1"/>
  <c r="R389" i="1" s="1"/>
  <c r="J370" i="1"/>
  <c r="J419" i="1" s="1"/>
  <c r="J468" i="1" s="1"/>
  <c r="J519" i="1" s="1"/>
  <c r="AC334" i="1"/>
  <c r="AC384" i="1" s="1"/>
  <c r="AC433" i="1" s="1"/>
  <c r="AC484" i="1" s="1"/>
  <c r="AC533" i="1" s="1"/>
  <c r="AC369" i="1"/>
  <c r="AC418" i="1" s="1"/>
  <c r="AC467" i="1" s="1"/>
  <c r="AC518" i="1" s="1"/>
  <c r="AC572" i="1" s="1"/>
  <c r="AC765" i="1"/>
  <c r="AC766" i="1" s="1"/>
  <c r="AC332" i="1"/>
  <c r="AC382" i="1" s="1"/>
  <c r="AC431" i="1" s="1"/>
  <c r="AC482" i="1" s="1"/>
  <c r="AC531" i="1" s="1"/>
  <c r="AC597" i="1"/>
  <c r="AC650" i="1" s="1"/>
  <c r="AC668" i="1" s="1"/>
  <c r="AC684" i="1" s="1"/>
  <c r="AC359" i="1"/>
  <c r="AC408" i="1" s="1"/>
  <c r="AC457" i="1" s="1"/>
  <c r="AC712" i="1"/>
  <c r="R345" i="1"/>
  <c r="R394" i="1" s="1"/>
  <c r="R443" i="1" s="1"/>
  <c r="R494" i="1" s="1"/>
  <c r="R545" i="1" s="1"/>
  <c r="R341" i="1"/>
  <c r="R390" i="1" s="1"/>
  <c r="R439" i="1" s="1"/>
  <c r="R490" i="1" s="1"/>
  <c r="R540" i="1" s="1"/>
  <c r="J712" i="1"/>
  <c r="AC365" i="1"/>
  <c r="AC414" i="1" s="1"/>
  <c r="AC463" i="1" s="1"/>
  <c r="AC514" i="1" s="1"/>
  <c r="AC568" i="1" s="1"/>
  <c r="AC373" i="1"/>
  <c r="AC422" i="1" s="1"/>
  <c r="AC471" i="1" s="1"/>
  <c r="AC368" i="1"/>
  <c r="AC417" i="1" s="1"/>
  <c r="AC466" i="1" s="1"/>
  <c r="AC517" i="1" s="1"/>
  <c r="AC571" i="1" s="1"/>
  <c r="AC330" i="1"/>
  <c r="AC380" i="1" s="1"/>
  <c r="AC429" i="1" s="1"/>
  <c r="AC480" i="1" s="1"/>
  <c r="AC529" i="1" s="1"/>
  <c r="AC333" i="1"/>
  <c r="AC383" i="1" s="1"/>
  <c r="AC432" i="1" s="1"/>
  <c r="AC483" i="1" s="1"/>
  <c r="AC532" i="1" s="1"/>
  <c r="AC371" i="1"/>
  <c r="AC420" i="1" s="1"/>
  <c r="AC469" i="1" s="1"/>
  <c r="AC520" i="1" s="1"/>
  <c r="AC574" i="1" s="1"/>
  <c r="AC348" i="1"/>
  <c r="AC397" i="1" s="1"/>
  <c r="AC446" i="1" s="1"/>
  <c r="AC727" i="1"/>
  <c r="AC594" i="1"/>
  <c r="AC596" i="1" s="1"/>
  <c r="AC620" i="1" s="1"/>
  <c r="R346" i="1"/>
  <c r="R395" i="1" s="1"/>
  <c r="R444" i="1" s="1"/>
  <c r="R495" i="1" s="1"/>
  <c r="R546" i="1" s="1"/>
  <c r="R375" i="1"/>
  <c r="R424" i="1" s="1"/>
  <c r="R473" i="1" s="1"/>
  <c r="R524" i="1" s="1"/>
  <c r="R579" i="1" s="1"/>
  <c r="R599" i="1"/>
  <c r="R712" i="1"/>
  <c r="R342" i="1"/>
  <c r="R391" i="1" s="1"/>
  <c r="R440" i="1" s="1"/>
  <c r="R491" i="1" s="1"/>
  <c r="R541" i="1" s="1"/>
  <c r="R373" i="1"/>
  <c r="R422" i="1" s="1"/>
  <c r="R471" i="1" s="1"/>
  <c r="R362" i="1"/>
  <c r="R411" i="1" s="1"/>
  <c r="AC370" i="1"/>
  <c r="AC419" i="1" s="1"/>
  <c r="AC468" i="1" s="1"/>
  <c r="AC357" i="1"/>
  <c r="AC406" i="1" s="1"/>
  <c r="AC455" i="1" s="1"/>
  <c r="AC341" i="1"/>
  <c r="AC390" i="1" s="1"/>
  <c r="AC439" i="1" s="1"/>
  <c r="AC356" i="1"/>
  <c r="AC405" i="1" s="1"/>
  <c r="AC454" i="1" s="1"/>
  <c r="AC351" i="1"/>
  <c r="AC400" i="1" s="1"/>
  <c r="AC449" i="1" s="1"/>
  <c r="AC500" i="1" s="1"/>
  <c r="AC552" i="1" s="1"/>
  <c r="AC366" i="1"/>
  <c r="AC415" i="1" s="1"/>
  <c r="AC464" i="1" s="1"/>
  <c r="AC358" i="1"/>
  <c r="AC407" i="1" s="1"/>
  <c r="AC456" i="1" s="1"/>
  <c r="AC725" i="1"/>
  <c r="R765" i="1"/>
  <c r="R331" i="1"/>
  <c r="R381" i="1" s="1"/>
  <c r="R430" i="1" s="1"/>
  <c r="R481" i="1" s="1"/>
  <c r="R530" i="1" s="1"/>
  <c r="R357" i="1"/>
  <c r="R406" i="1" s="1"/>
  <c r="R455" i="1" s="1"/>
  <c r="R506" i="1" s="1"/>
  <c r="R559" i="1" s="1"/>
  <c r="R372" i="1"/>
  <c r="R421" i="1" s="1"/>
  <c r="R470" i="1" s="1"/>
  <c r="R521" i="1" s="1"/>
  <c r="R575" i="1" s="1"/>
  <c r="R361" i="1"/>
  <c r="R410" i="1" s="1"/>
  <c r="R459" i="1" s="1"/>
  <c r="R510" i="1" s="1"/>
  <c r="R563" i="1" s="1"/>
  <c r="R353" i="1"/>
  <c r="R402" i="1" s="1"/>
  <c r="R451" i="1" s="1"/>
  <c r="R502" i="1" s="1"/>
  <c r="R554" i="1" s="1"/>
  <c r="R335" i="1"/>
  <c r="R385" i="1" s="1"/>
  <c r="R434" i="1" s="1"/>
  <c r="R485" i="1" s="1"/>
  <c r="R336" i="1"/>
  <c r="R386" i="1" s="1"/>
  <c r="R435" i="1" s="1"/>
  <c r="R486" i="1" s="1"/>
  <c r="R535" i="1" s="1"/>
  <c r="R333" i="1"/>
  <c r="R383" i="1" s="1"/>
  <c r="R432" i="1" s="1"/>
  <c r="R483" i="1" s="1"/>
  <c r="R532" i="1" s="1"/>
  <c r="J765" i="1"/>
  <c r="R368" i="1"/>
  <c r="R417" i="1" s="1"/>
  <c r="R466" i="1" s="1"/>
  <c r="R517" i="1" s="1"/>
  <c r="R571" i="1" s="1"/>
  <c r="R347" i="1"/>
  <c r="R396" i="1" s="1"/>
  <c r="R445" i="1" s="1"/>
  <c r="R496" i="1" s="1"/>
  <c r="R547" i="1" s="1"/>
  <c r="R370" i="1"/>
  <c r="R419" i="1" s="1"/>
  <c r="R468" i="1" s="1"/>
  <c r="R519" i="1" s="1"/>
  <c r="R573" i="1" s="1"/>
  <c r="R358" i="1"/>
  <c r="R407" i="1" s="1"/>
  <c r="R456" i="1" s="1"/>
  <c r="R507" i="1" s="1"/>
  <c r="R560" i="1" s="1"/>
  <c r="R360" i="1"/>
  <c r="R409" i="1" s="1"/>
  <c r="R458" i="1" s="1"/>
  <c r="R509" i="1" s="1"/>
  <c r="R562" i="1" s="1"/>
  <c r="R711" i="1"/>
  <c r="R728" i="1"/>
  <c r="R369" i="1"/>
  <c r="R418" i="1" s="1"/>
  <c r="R760" i="1"/>
  <c r="R359" i="1"/>
  <c r="R408" i="1" s="1"/>
  <c r="R457" i="1" s="1"/>
  <c r="R508" i="1" s="1"/>
  <c r="R561" i="1" s="1"/>
  <c r="R764" i="1"/>
  <c r="E729" i="1"/>
  <c r="E734" i="1" s="1"/>
  <c r="V360" i="1"/>
  <c r="V409" i="1" s="1"/>
  <c r="V458" i="1" s="1"/>
  <c r="V509" i="1" s="1"/>
  <c r="V562" i="1" s="1"/>
  <c r="V727" i="1"/>
  <c r="Z370" i="1"/>
  <c r="Z419" i="1" s="1"/>
  <c r="Z468" i="1" s="1"/>
  <c r="Z519" i="1" s="1"/>
  <c r="Z573" i="1" s="1"/>
  <c r="Z365" i="1"/>
  <c r="Z414" i="1" s="1"/>
  <c r="Z463" i="1" s="1"/>
  <c r="Z514" i="1" s="1"/>
  <c r="Z568" i="1" s="1"/>
  <c r="Z369" i="1"/>
  <c r="Z418" i="1" s="1"/>
  <c r="Z467" i="1" s="1"/>
  <c r="Z518" i="1" s="1"/>
  <c r="Z572" i="1" s="1"/>
  <c r="V351" i="1"/>
  <c r="V400" i="1" s="1"/>
  <c r="V449" i="1" s="1"/>
  <c r="V500" i="1" s="1"/>
  <c r="V552" i="1" s="1"/>
  <c r="V760" i="1"/>
  <c r="AA243" i="1"/>
  <c r="J366" i="1"/>
  <c r="J415" i="1" s="1"/>
  <c r="J464" i="1" s="1"/>
  <c r="J515" i="1" s="1"/>
  <c r="J726" i="1"/>
  <c r="V371" i="1"/>
  <c r="V420" i="1" s="1"/>
  <c r="V469" i="1" s="1"/>
  <c r="V520" i="1" s="1"/>
  <c r="V574" i="1" s="1"/>
  <c r="V362" i="1"/>
  <c r="V411" i="1" s="1"/>
  <c r="V460" i="1" s="1"/>
  <c r="V511" i="1" s="1"/>
  <c r="V564" i="1" s="1"/>
  <c r="K243" i="1"/>
  <c r="Z335" i="1"/>
  <c r="Z385" i="1" s="1"/>
  <c r="Z434" i="1" s="1"/>
  <c r="Z485" i="1" s="1"/>
  <c r="Z534" i="1" s="1"/>
  <c r="Z362" i="1"/>
  <c r="Z411" i="1" s="1"/>
  <c r="Z460" i="1" s="1"/>
  <c r="Z511" i="1" s="1"/>
  <c r="Z564" i="1" s="1"/>
  <c r="Z333" i="1"/>
  <c r="Z383" i="1" s="1"/>
  <c r="Z432" i="1" s="1"/>
  <c r="Z483" i="1" s="1"/>
  <c r="Z532" i="1" s="1"/>
  <c r="Z359" i="1"/>
  <c r="Z408" i="1" s="1"/>
  <c r="Z457" i="1" s="1"/>
  <c r="Z508" i="1" s="1"/>
  <c r="Z561" i="1" s="1"/>
  <c r="Z727" i="1"/>
  <c r="V341" i="1"/>
  <c r="V390" i="1" s="1"/>
  <c r="V439" i="1" s="1"/>
  <c r="V490" i="1" s="1"/>
  <c r="V540" i="1" s="1"/>
  <c r="Z351" i="1"/>
  <c r="Z400" i="1" s="1"/>
  <c r="Z449" i="1" s="1"/>
  <c r="Z500" i="1" s="1"/>
  <c r="Z552" i="1" s="1"/>
  <c r="Z367" i="1"/>
  <c r="Z416" i="1" s="1"/>
  <c r="Z465" i="1" s="1"/>
  <c r="Z516" i="1" s="1"/>
  <c r="Z570" i="1" s="1"/>
  <c r="Z711" i="1"/>
  <c r="V358" i="1"/>
  <c r="V407" i="1" s="1"/>
  <c r="V456" i="1" s="1"/>
  <c r="V507" i="1" s="1"/>
  <c r="V560" i="1" s="1"/>
  <c r="V724" i="1"/>
  <c r="V335" i="1"/>
  <c r="V385" i="1" s="1"/>
  <c r="V434" i="1" s="1"/>
  <c r="M243" i="1"/>
  <c r="Y243" i="1"/>
  <c r="I243" i="1"/>
  <c r="I245" i="1" s="1"/>
  <c r="I198" i="1" s="1"/>
  <c r="L1526" i="1"/>
  <c r="L1527" i="1"/>
  <c r="L1528" i="1"/>
  <c r="L1522" i="1"/>
  <c r="L1523" i="1"/>
  <c r="L1524" i="1"/>
  <c r="L926" i="1"/>
  <c r="J759" i="53"/>
  <c r="J727" i="53"/>
  <c r="J368" i="53"/>
  <c r="J417" i="53" s="1"/>
  <c r="J466" i="53" s="1"/>
  <c r="J517" i="53" s="1"/>
  <c r="J571" i="53" s="1"/>
  <c r="J340" i="53"/>
  <c r="J389" i="53" s="1"/>
  <c r="J438" i="53" s="1"/>
  <c r="J489" i="53" s="1"/>
  <c r="J539" i="53" s="1"/>
  <c r="J711" i="53"/>
  <c r="J351" i="53"/>
  <c r="J400" i="53" s="1"/>
  <c r="J449" i="53" s="1"/>
  <c r="J500" i="53" s="1"/>
  <c r="J552" i="53" s="1"/>
  <c r="J371" i="53"/>
  <c r="J420" i="53" s="1"/>
  <c r="J469" i="53" s="1"/>
  <c r="J520" i="53" s="1"/>
  <c r="J574" i="53" s="1"/>
  <c r="J342" i="53"/>
  <c r="J391" i="53" s="1"/>
  <c r="J440" i="53" s="1"/>
  <c r="J491" i="53" s="1"/>
  <c r="J541" i="53" s="1"/>
  <c r="J341" i="53"/>
  <c r="J390" i="53" s="1"/>
  <c r="J439" i="53" s="1"/>
  <c r="J490" i="53" s="1"/>
  <c r="J540" i="53" s="1"/>
  <c r="J375" i="53"/>
  <c r="J424" i="53" s="1"/>
  <c r="J473" i="53" s="1"/>
  <c r="J524" i="53" s="1"/>
  <c r="J579" i="53" s="1"/>
  <c r="J370" i="53"/>
  <c r="J419" i="53" s="1"/>
  <c r="J468" i="53" s="1"/>
  <c r="J519" i="53" s="1"/>
  <c r="J573" i="53" s="1"/>
  <c r="J725" i="53"/>
  <c r="J712" i="53"/>
  <c r="J361" i="53"/>
  <c r="J410" i="53" s="1"/>
  <c r="J459" i="53" s="1"/>
  <c r="J510" i="53" s="1"/>
  <c r="J563" i="53" s="1"/>
  <c r="J336" i="53"/>
  <c r="J386" i="53" s="1"/>
  <c r="J435" i="53" s="1"/>
  <c r="J486" i="53" s="1"/>
  <c r="J535" i="53" s="1"/>
  <c r="J372" i="53"/>
  <c r="J421" i="53" s="1"/>
  <c r="J470" i="53" s="1"/>
  <c r="J521" i="53" s="1"/>
  <c r="J575" i="53" s="1"/>
  <c r="J345" i="53"/>
  <c r="J394" i="53" s="1"/>
  <c r="J443" i="53" s="1"/>
  <c r="J494" i="53" s="1"/>
  <c r="J545" i="53" s="1"/>
  <c r="J365" i="53"/>
  <c r="J414" i="53" s="1"/>
  <c r="J463" i="53" s="1"/>
  <c r="J514" i="53" s="1"/>
  <c r="J568" i="53" s="1"/>
  <c r="J334" i="53"/>
  <c r="J384" i="53" s="1"/>
  <c r="J433" i="53" s="1"/>
  <c r="J484" i="53" s="1"/>
  <c r="J533" i="53" s="1"/>
  <c r="J353" i="53"/>
  <c r="J402" i="53" s="1"/>
  <c r="J451" i="53" s="1"/>
  <c r="J502" i="53" s="1"/>
  <c r="J554" i="53" s="1"/>
  <c r="J347" i="53"/>
  <c r="J396" i="53" s="1"/>
  <c r="J445" i="53" s="1"/>
  <c r="J496" i="53" s="1"/>
  <c r="J547" i="53" s="1"/>
  <c r="J360" i="53"/>
  <c r="J409" i="53" s="1"/>
  <c r="J458" i="53" s="1"/>
  <c r="J509" i="53" s="1"/>
  <c r="J562" i="53" s="1"/>
  <c r="J728" i="53"/>
  <c r="J597" i="53"/>
  <c r="J650" i="53" s="1"/>
  <c r="J668" i="53" s="1"/>
  <c r="J684" i="53" s="1"/>
  <c r="J352" i="53"/>
  <c r="J401" i="53" s="1"/>
  <c r="J450" i="53" s="1"/>
  <c r="J501" i="53" s="1"/>
  <c r="J553" i="53" s="1"/>
  <c r="J332" i="53"/>
  <c r="J382" i="53" s="1"/>
  <c r="J431" i="53" s="1"/>
  <c r="J482" i="53" s="1"/>
  <c r="J531" i="53" s="1"/>
  <c r="J367" i="53"/>
  <c r="J416" i="53" s="1"/>
  <c r="J465" i="53" s="1"/>
  <c r="J516" i="53" s="1"/>
  <c r="J570" i="53" s="1"/>
  <c r="J335" i="53"/>
  <c r="J385" i="53" s="1"/>
  <c r="J434" i="53" s="1"/>
  <c r="J485" i="53" s="1"/>
  <c r="J534" i="53" s="1"/>
  <c r="J357" i="53"/>
  <c r="J406" i="53" s="1"/>
  <c r="J455" i="53" s="1"/>
  <c r="J506" i="53" s="1"/>
  <c r="J559" i="53" s="1"/>
  <c r="J330" i="53"/>
  <c r="J380" i="53" s="1"/>
  <c r="J429" i="53" s="1"/>
  <c r="J480" i="53" s="1"/>
  <c r="J529" i="53" s="1"/>
  <c r="J369" i="53"/>
  <c r="J418" i="53" s="1"/>
  <c r="J467" i="53" s="1"/>
  <c r="J518" i="53" s="1"/>
  <c r="J572" i="53" s="1"/>
  <c r="J333" i="53"/>
  <c r="J383" i="53" s="1"/>
  <c r="J432" i="53" s="1"/>
  <c r="J483" i="53" s="1"/>
  <c r="J532" i="53" s="1"/>
  <c r="J359" i="53"/>
  <c r="J408" i="53" s="1"/>
  <c r="J457" i="53" s="1"/>
  <c r="J508" i="53" s="1"/>
  <c r="J561" i="53" s="1"/>
  <c r="J346" i="53"/>
  <c r="J395" i="53" s="1"/>
  <c r="J444" i="53" s="1"/>
  <c r="J495" i="53" s="1"/>
  <c r="J546" i="53" s="1"/>
  <c r="J348" i="53"/>
  <c r="J397" i="53" s="1"/>
  <c r="J446" i="53" s="1"/>
  <c r="J497" i="53" s="1"/>
  <c r="J548" i="53" s="1"/>
  <c r="J366" i="53"/>
  <c r="J415" i="53" s="1"/>
  <c r="J464" i="53" s="1"/>
  <c r="J515" i="53" s="1"/>
  <c r="J569" i="53" s="1"/>
  <c r="J726" i="53"/>
  <c r="J362" i="53"/>
  <c r="J411" i="53" s="1"/>
  <c r="J460" i="53" s="1"/>
  <c r="J511" i="53" s="1"/>
  <c r="J564" i="53" s="1"/>
  <c r="J724" i="53"/>
  <c r="J358" i="53"/>
  <c r="J407" i="53" s="1"/>
  <c r="J456" i="53" s="1"/>
  <c r="J507" i="53" s="1"/>
  <c r="J560" i="53" s="1"/>
  <c r="J599" i="53"/>
  <c r="J626" i="53" s="1"/>
  <c r="J661" i="53" s="1"/>
  <c r="J331" i="53"/>
  <c r="J381" i="53" s="1"/>
  <c r="J430" i="53" s="1"/>
  <c r="J481" i="53" s="1"/>
  <c r="J530" i="53" s="1"/>
  <c r="J356" i="53"/>
  <c r="J405" i="53" s="1"/>
  <c r="J454" i="53" s="1"/>
  <c r="J505" i="53" s="1"/>
  <c r="J558" i="53" s="1"/>
  <c r="J373" i="53"/>
  <c r="J422" i="53" s="1"/>
  <c r="J471" i="53" s="1"/>
  <c r="J522" i="53" s="1"/>
  <c r="J576" i="53" s="1"/>
  <c r="J594" i="53"/>
  <c r="J596" i="53" s="1"/>
  <c r="I241" i="53"/>
  <c r="J241" i="53"/>
  <c r="V241" i="53"/>
  <c r="Q241" i="53"/>
  <c r="L241" i="53"/>
  <c r="M241" i="53"/>
  <c r="O241" i="53"/>
  <c r="P241" i="53"/>
  <c r="R241" i="53"/>
  <c r="N241" i="53"/>
  <c r="T241" i="53"/>
  <c r="K241" i="53"/>
  <c r="U241" i="53"/>
  <c r="S241" i="53"/>
  <c r="Q759" i="53"/>
  <c r="Q726" i="53"/>
  <c r="Q727" i="53"/>
  <c r="Q368" i="53"/>
  <c r="Q417" i="53" s="1"/>
  <c r="Q466" i="53" s="1"/>
  <c r="Q517" i="53" s="1"/>
  <c r="Q571" i="53" s="1"/>
  <c r="Q359" i="53"/>
  <c r="Q408" i="53" s="1"/>
  <c r="Q457" i="53" s="1"/>
  <c r="Q508" i="53" s="1"/>
  <c r="Q561" i="53" s="1"/>
  <c r="Q336" i="53"/>
  <c r="Q386" i="53" s="1"/>
  <c r="Q435" i="53" s="1"/>
  <c r="Q486" i="53" s="1"/>
  <c r="Q535" i="53" s="1"/>
  <c r="Q597" i="53"/>
  <c r="Q650" i="53" s="1"/>
  <c r="Q668" i="53" s="1"/>
  <c r="Q684" i="53" s="1"/>
  <c r="Q342" i="53"/>
  <c r="Q391" i="53" s="1"/>
  <c r="Q440" i="53" s="1"/>
  <c r="Q491" i="53" s="1"/>
  <c r="Q541" i="53" s="1"/>
  <c r="Q360" i="53"/>
  <c r="Q409" i="53" s="1"/>
  <c r="Q458" i="53" s="1"/>
  <c r="Q509" i="53" s="1"/>
  <c r="Q562" i="53" s="1"/>
  <c r="Q345" i="53"/>
  <c r="Q394" i="53" s="1"/>
  <c r="Q443" i="53" s="1"/>
  <c r="Q494" i="53" s="1"/>
  <c r="Q545" i="53" s="1"/>
  <c r="Q341" i="53"/>
  <c r="Q390" i="53" s="1"/>
  <c r="Q439" i="53" s="1"/>
  <c r="Q490" i="53" s="1"/>
  <c r="Q540" i="53" s="1"/>
  <c r="Q373" i="53"/>
  <c r="Q422" i="53" s="1"/>
  <c r="Q471" i="53" s="1"/>
  <c r="Q522" i="53" s="1"/>
  <c r="Q576" i="53" s="1"/>
  <c r="Q711" i="53"/>
  <c r="Q372" i="53"/>
  <c r="Q421" i="53" s="1"/>
  <c r="Q470" i="53" s="1"/>
  <c r="Q521" i="53" s="1"/>
  <c r="Q575" i="53" s="1"/>
  <c r="Q371" i="53"/>
  <c r="Q420" i="53" s="1"/>
  <c r="Q469" i="53" s="1"/>
  <c r="Q520" i="53" s="1"/>
  <c r="Q574" i="53" s="1"/>
  <c r="Q348" i="53"/>
  <c r="Q397" i="53" s="1"/>
  <c r="Q446" i="53" s="1"/>
  <c r="Q497" i="53" s="1"/>
  <c r="Q548" i="53" s="1"/>
  <c r="Q332" i="53"/>
  <c r="Q382" i="53" s="1"/>
  <c r="Q431" i="53" s="1"/>
  <c r="Q482" i="53" s="1"/>
  <c r="Q531" i="53" s="1"/>
  <c r="Q353" i="53"/>
  <c r="Q402" i="53" s="1"/>
  <c r="Q451" i="53" s="1"/>
  <c r="Q502" i="53" s="1"/>
  <c r="Q554" i="53" s="1"/>
  <c r="Q367" i="53"/>
  <c r="Q416" i="53" s="1"/>
  <c r="Q465" i="53" s="1"/>
  <c r="Q516" i="53" s="1"/>
  <c r="Q570" i="53" s="1"/>
  <c r="Q356" i="53"/>
  <c r="Q405" i="53" s="1"/>
  <c r="Q454" i="53" s="1"/>
  <c r="Q505" i="53" s="1"/>
  <c r="Q558" i="53" s="1"/>
  <c r="Q333" i="53"/>
  <c r="Q383" i="53" s="1"/>
  <c r="Q432" i="53" s="1"/>
  <c r="Q483" i="53" s="1"/>
  <c r="Q532" i="53" s="1"/>
  <c r="Q375" i="53"/>
  <c r="Q424" i="53" s="1"/>
  <c r="Q473" i="53" s="1"/>
  <c r="Q524" i="53" s="1"/>
  <c r="Q579" i="53" s="1"/>
  <c r="Q725" i="53"/>
  <c r="Q362" i="53"/>
  <c r="Q411" i="53" s="1"/>
  <c r="Q460" i="53" s="1"/>
  <c r="Q511" i="53" s="1"/>
  <c r="Q564" i="53" s="1"/>
  <c r="Q330" i="53"/>
  <c r="Q380" i="53" s="1"/>
  <c r="Q429" i="53" s="1"/>
  <c r="Q480" i="53" s="1"/>
  <c r="Q529" i="53" s="1"/>
  <c r="Q361" i="53"/>
  <c r="Q410" i="53" s="1"/>
  <c r="Q459" i="53" s="1"/>
  <c r="Q510" i="53" s="1"/>
  <c r="Q563" i="53" s="1"/>
  <c r="Q331" i="53"/>
  <c r="Q381" i="53" s="1"/>
  <c r="Q430" i="53" s="1"/>
  <c r="Q481" i="53" s="1"/>
  <c r="Q530" i="53" s="1"/>
  <c r="Q724" i="53"/>
  <c r="Q334" i="53"/>
  <c r="Q384" i="53" s="1"/>
  <c r="Q433" i="53" s="1"/>
  <c r="Q484" i="53" s="1"/>
  <c r="Q533" i="53" s="1"/>
  <c r="Q335" i="53"/>
  <c r="Q385" i="53" s="1"/>
  <c r="Q434" i="53" s="1"/>
  <c r="Q485" i="53" s="1"/>
  <c r="Q534" i="53" s="1"/>
  <c r="Q712" i="53"/>
  <c r="Q358" i="53"/>
  <c r="Q407" i="53" s="1"/>
  <c r="Q456" i="53" s="1"/>
  <c r="Q507" i="53" s="1"/>
  <c r="Q560" i="53" s="1"/>
  <c r="Q369" i="53"/>
  <c r="Q418" i="53" s="1"/>
  <c r="Q467" i="53" s="1"/>
  <c r="Q518" i="53" s="1"/>
  <c r="Q572" i="53" s="1"/>
  <c r="Q357" i="53"/>
  <c r="Q406" i="53" s="1"/>
  <c r="Q455" i="53" s="1"/>
  <c r="Q506" i="53" s="1"/>
  <c r="Q559" i="53" s="1"/>
  <c r="Q365" i="53"/>
  <c r="Q414" i="53" s="1"/>
  <c r="Q463" i="53" s="1"/>
  <c r="Q514" i="53" s="1"/>
  <c r="Q568" i="53" s="1"/>
  <c r="Q728" i="53"/>
  <c r="Q370" i="53"/>
  <c r="Q419" i="53" s="1"/>
  <c r="Q468" i="53" s="1"/>
  <c r="Q519" i="53" s="1"/>
  <c r="Q573" i="53" s="1"/>
  <c r="Q346" i="53"/>
  <c r="Q395" i="53" s="1"/>
  <c r="Q444" i="53" s="1"/>
  <c r="Q495" i="53" s="1"/>
  <c r="Q546" i="53" s="1"/>
  <c r="Q351" i="53"/>
  <c r="Q400" i="53" s="1"/>
  <c r="Q449" i="53" s="1"/>
  <c r="Q500" i="53" s="1"/>
  <c r="Q552" i="53" s="1"/>
  <c r="Q347" i="53"/>
  <c r="Q396" i="53" s="1"/>
  <c r="Q445" i="53" s="1"/>
  <c r="Q496" i="53" s="1"/>
  <c r="Q547" i="53" s="1"/>
  <c r="Q352" i="53"/>
  <c r="Q401" i="53" s="1"/>
  <c r="Q450" i="53" s="1"/>
  <c r="Q501" i="53" s="1"/>
  <c r="Q553" i="53" s="1"/>
  <c r="Q366" i="53"/>
  <c r="Q415" i="53" s="1"/>
  <c r="Q464" i="53" s="1"/>
  <c r="Q515" i="53" s="1"/>
  <c r="Q569" i="53" s="1"/>
  <c r="Q340" i="53"/>
  <c r="Q389" i="53" s="1"/>
  <c r="Q438" i="53" s="1"/>
  <c r="Q489" i="53" s="1"/>
  <c r="Q539" i="53" s="1"/>
  <c r="Q599" i="53"/>
  <c r="Q626" i="53" s="1"/>
  <c r="Q661" i="53" s="1"/>
  <c r="Q594" i="53"/>
  <c r="Q596" i="53" s="1"/>
  <c r="Z361" i="1"/>
  <c r="Z410" i="1" s="1"/>
  <c r="Z459" i="1" s="1"/>
  <c r="Z340" i="1"/>
  <c r="Z389" i="1" s="1"/>
  <c r="Z438" i="1" s="1"/>
  <c r="Z489" i="1" s="1"/>
  <c r="Z539" i="1" s="1"/>
  <c r="Z760" i="1"/>
  <c r="Z371" i="1"/>
  <c r="Z420" i="1" s="1"/>
  <c r="Z469" i="1" s="1"/>
  <c r="Z520" i="1" s="1"/>
  <c r="Z574" i="1" s="1"/>
  <c r="Z368" i="1"/>
  <c r="Z417" i="1" s="1"/>
  <c r="Z466" i="1" s="1"/>
  <c r="Z517" i="1" s="1"/>
  <c r="Z571" i="1" s="1"/>
  <c r="Z342" i="1"/>
  <c r="Z391" i="1" s="1"/>
  <c r="Z440" i="1" s="1"/>
  <c r="Z491" i="1" s="1"/>
  <c r="Z541" i="1" s="1"/>
  <c r="Z712" i="1"/>
  <c r="Z725" i="1"/>
  <c r="V599" i="1"/>
  <c r="V375" i="1"/>
  <c r="V424" i="1" s="1"/>
  <c r="V473" i="1" s="1"/>
  <c r="V524" i="1" s="1"/>
  <c r="V579" i="1" s="1"/>
  <c r="V347" i="1"/>
  <c r="V396" i="1" s="1"/>
  <c r="V445" i="1" s="1"/>
  <c r="V496" i="1" s="1"/>
  <c r="V547" i="1" s="1"/>
  <c r="Q243" i="1"/>
  <c r="O759" i="53"/>
  <c r="O727" i="53"/>
  <c r="O597" i="53"/>
  <c r="O650" i="53" s="1"/>
  <c r="O668" i="53" s="1"/>
  <c r="O684" i="53" s="1"/>
  <c r="O369" i="53"/>
  <c r="O418" i="53" s="1"/>
  <c r="O467" i="53" s="1"/>
  <c r="O518" i="53" s="1"/>
  <c r="O572" i="53" s="1"/>
  <c r="O360" i="53"/>
  <c r="O409" i="53" s="1"/>
  <c r="O458" i="53" s="1"/>
  <c r="O509" i="53" s="1"/>
  <c r="O562" i="53" s="1"/>
  <c r="O335" i="53"/>
  <c r="O385" i="53" s="1"/>
  <c r="O434" i="53" s="1"/>
  <c r="O485" i="53" s="1"/>
  <c r="O534" i="53" s="1"/>
  <c r="O372" i="53"/>
  <c r="O421" i="53" s="1"/>
  <c r="O470" i="53" s="1"/>
  <c r="O521" i="53" s="1"/>
  <c r="O575" i="53" s="1"/>
  <c r="O726" i="53"/>
  <c r="O348" i="53"/>
  <c r="O397" i="53" s="1"/>
  <c r="O446" i="53" s="1"/>
  <c r="O497" i="53" s="1"/>
  <c r="O548" i="53" s="1"/>
  <c r="O332" i="53"/>
  <c r="O382" i="53" s="1"/>
  <c r="O431" i="53" s="1"/>
  <c r="O482" i="53" s="1"/>
  <c r="O531" i="53" s="1"/>
  <c r="O361" i="53"/>
  <c r="O410" i="53" s="1"/>
  <c r="O459" i="53" s="1"/>
  <c r="O510" i="53" s="1"/>
  <c r="O563" i="53" s="1"/>
  <c r="O340" i="53"/>
  <c r="O389" i="53" s="1"/>
  <c r="O438" i="53" s="1"/>
  <c r="O489" i="53" s="1"/>
  <c r="O539" i="53" s="1"/>
  <c r="O712" i="53"/>
  <c r="O373" i="53"/>
  <c r="O422" i="53" s="1"/>
  <c r="O471" i="53" s="1"/>
  <c r="O522" i="53" s="1"/>
  <c r="O576" i="53" s="1"/>
  <c r="O365" i="53"/>
  <c r="O414" i="53" s="1"/>
  <c r="O463" i="53" s="1"/>
  <c r="O514" i="53" s="1"/>
  <c r="O568" i="53" s="1"/>
  <c r="O347" i="53"/>
  <c r="O396" i="53" s="1"/>
  <c r="O445" i="53" s="1"/>
  <c r="O496" i="53" s="1"/>
  <c r="O547" i="53" s="1"/>
  <c r="O331" i="53"/>
  <c r="O381" i="53" s="1"/>
  <c r="O430" i="53" s="1"/>
  <c r="O481" i="53" s="1"/>
  <c r="O530" i="53" s="1"/>
  <c r="O352" i="53"/>
  <c r="O401" i="53" s="1"/>
  <c r="O450" i="53" s="1"/>
  <c r="O501" i="53" s="1"/>
  <c r="O553" i="53" s="1"/>
  <c r="O362" i="53"/>
  <c r="O411" i="53" s="1"/>
  <c r="O460" i="53" s="1"/>
  <c r="O511" i="53" s="1"/>
  <c r="O564" i="53" s="1"/>
  <c r="O336" i="53"/>
  <c r="O386" i="53" s="1"/>
  <c r="O435" i="53" s="1"/>
  <c r="O486" i="53" s="1"/>
  <c r="O535" i="53" s="1"/>
  <c r="O368" i="53"/>
  <c r="O417" i="53" s="1"/>
  <c r="O466" i="53" s="1"/>
  <c r="O517" i="53" s="1"/>
  <c r="O571" i="53" s="1"/>
  <c r="O351" i="53"/>
  <c r="O400" i="53" s="1"/>
  <c r="O449" i="53" s="1"/>
  <c r="O500" i="53" s="1"/>
  <c r="O552" i="53" s="1"/>
  <c r="O711" i="53"/>
  <c r="O371" i="53"/>
  <c r="O420" i="53" s="1"/>
  <c r="O469" i="53" s="1"/>
  <c r="O520" i="53" s="1"/>
  <c r="O574" i="53" s="1"/>
  <c r="O345" i="53"/>
  <c r="O394" i="53" s="1"/>
  <c r="O443" i="53" s="1"/>
  <c r="O494" i="53" s="1"/>
  <c r="O545" i="53" s="1"/>
  <c r="O341" i="53"/>
  <c r="O390" i="53" s="1"/>
  <c r="O439" i="53" s="1"/>
  <c r="O490" i="53" s="1"/>
  <c r="O540" i="53" s="1"/>
  <c r="O334" i="53"/>
  <c r="O384" i="53" s="1"/>
  <c r="O433" i="53" s="1"/>
  <c r="O484" i="53" s="1"/>
  <c r="O533" i="53" s="1"/>
  <c r="O342" i="53"/>
  <c r="O391" i="53" s="1"/>
  <c r="O440" i="53" s="1"/>
  <c r="O491" i="53" s="1"/>
  <c r="O541" i="53" s="1"/>
  <c r="O725" i="53"/>
  <c r="O367" i="53"/>
  <c r="O416" i="53" s="1"/>
  <c r="O465" i="53" s="1"/>
  <c r="O516" i="53" s="1"/>
  <c r="O570" i="53" s="1"/>
  <c r="O333" i="53"/>
  <c r="O383" i="53" s="1"/>
  <c r="O432" i="53" s="1"/>
  <c r="O483" i="53" s="1"/>
  <c r="O532" i="53" s="1"/>
  <c r="O370" i="53"/>
  <c r="O419" i="53" s="1"/>
  <c r="O468" i="53" s="1"/>
  <c r="O519" i="53" s="1"/>
  <c r="O573" i="53" s="1"/>
  <c r="O330" i="53"/>
  <c r="O380" i="53" s="1"/>
  <c r="O429" i="53" s="1"/>
  <c r="O480" i="53" s="1"/>
  <c r="O529" i="53" s="1"/>
  <c r="O728" i="53"/>
  <c r="O366" i="53"/>
  <c r="O415" i="53" s="1"/>
  <c r="O464" i="53" s="1"/>
  <c r="O515" i="53" s="1"/>
  <c r="O569" i="53" s="1"/>
  <c r="O375" i="53"/>
  <c r="O424" i="53" s="1"/>
  <c r="O473" i="53" s="1"/>
  <c r="O524" i="53" s="1"/>
  <c r="O579" i="53" s="1"/>
  <c r="O358" i="53"/>
  <c r="O407" i="53" s="1"/>
  <c r="O456" i="53" s="1"/>
  <c r="O507" i="53" s="1"/>
  <c r="O560" i="53" s="1"/>
  <c r="O353" i="53"/>
  <c r="O402" i="53" s="1"/>
  <c r="O451" i="53" s="1"/>
  <c r="O502" i="53" s="1"/>
  <c r="O554" i="53" s="1"/>
  <c r="O356" i="53"/>
  <c r="O405" i="53" s="1"/>
  <c r="O454" i="53" s="1"/>
  <c r="O505" i="53" s="1"/>
  <c r="O558" i="53" s="1"/>
  <c r="O359" i="53"/>
  <c r="O408" i="53" s="1"/>
  <c r="O457" i="53" s="1"/>
  <c r="O508" i="53" s="1"/>
  <c r="O561" i="53" s="1"/>
  <c r="O346" i="53"/>
  <c r="O395" i="53" s="1"/>
  <c r="O444" i="53" s="1"/>
  <c r="O495" i="53" s="1"/>
  <c r="O546" i="53" s="1"/>
  <c r="O724" i="53"/>
  <c r="O357" i="53"/>
  <c r="O406" i="53" s="1"/>
  <c r="O455" i="53" s="1"/>
  <c r="O506" i="53" s="1"/>
  <c r="O559" i="53" s="1"/>
  <c r="O599" i="53"/>
  <c r="O626" i="53" s="1"/>
  <c r="O661" i="53" s="1"/>
  <c r="O594" i="53"/>
  <c r="O596" i="53" s="1"/>
  <c r="J243" i="53"/>
  <c r="V243" i="53"/>
  <c r="Q243" i="53"/>
  <c r="L243" i="53"/>
  <c r="I243" i="53"/>
  <c r="O243" i="53"/>
  <c r="N243" i="53"/>
  <c r="T243" i="53"/>
  <c r="K243" i="53"/>
  <c r="P243" i="53"/>
  <c r="R243" i="53"/>
  <c r="M243" i="53"/>
  <c r="U243" i="53"/>
  <c r="S243" i="53"/>
  <c r="V759" i="53"/>
  <c r="V711" i="53"/>
  <c r="V597" i="53"/>
  <c r="V650" i="53" s="1"/>
  <c r="V668" i="53" s="1"/>
  <c r="V684" i="53" s="1"/>
  <c r="V358" i="53"/>
  <c r="V407" i="53" s="1"/>
  <c r="V456" i="53" s="1"/>
  <c r="V507" i="53" s="1"/>
  <c r="V560" i="53" s="1"/>
  <c r="V359" i="53"/>
  <c r="V408" i="53" s="1"/>
  <c r="V457" i="53" s="1"/>
  <c r="V508" i="53" s="1"/>
  <c r="V561" i="53" s="1"/>
  <c r="V370" i="53"/>
  <c r="V419" i="53" s="1"/>
  <c r="V468" i="53" s="1"/>
  <c r="V519" i="53" s="1"/>
  <c r="V573" i="53" s="1"/>
  <c r="V345" i="53"/>
  <c r="V394" i="53" s="1"/>
  <c r="V443" i="53" s="1"/>
  <c r="V494" i="53" s="1"/>
  <c r="V545" i="53" s="1"/>
  <c r="V368" i="53"/>
  <c r="V417" i="53" s="1"/>
  <c r="V466" i="53" s="1"/>
  <c r="V517" i="53" s="1"/>
  <c r="V571" i="53" s="1"/>
  <c r="V352" i="53"/>
  <c r="V401" i="53" s="1"/>
  <c r="V450" i="53" s="1"/>
  <c r="V501" i="53" s="1"/>
  <c r="V553" i="53" s="1"/>
  <c r="V336" i="53"/>
  <c r="V386" i="53" s="1"/>
  <c r="V435" i="53" s="1"/>
  <c r="V486" i="53" s="1"/>
  <c r="V535" i="53" s="1"/>
  <c r="V366" i="53"/>
  <c r="V415" i="53" s="1"/>
  <c r="V464" i="53" s="1"/>
  <c r="V515" i="53" s="1"/>
  <c r="V569" i="53" s="1"/>
  <c r="V726" i="53"/>
  <c r="V725" i="53"/>
  <c r="V362" i="53"/>
  <c r="V411" i="53" s="1"/>
  <c r="V460" i="53" s="1"/>
  <c r="V511" i="53" s="1"/>
  <c r="V564" i="53" s="1"/>
  <c r="V372" i="53"/>
  <c r="V421" i="53" s="1"/>
  <c r="V470" i="53" s="1"/>
  <c r="V521" i="53" s="1"/>
  <c r="V575" i="53" s="1"/>
  <c r="V342" i="53"/>
  <c r="V391" i="53" s="1"/>
  <c r="V440" i="53" s="1"/>
  <c r="V491" i="53" s="1"/>
  <c r="V541" i="53" s="1"/>
  <c r="V353" i="53"/>
  <c r="V402" i="53" s="1"/>
  <c r="V451" i="53" s="1"/>
  <c r="V502" i="53" s="1"/>
  <c r="V554" i="53" s="1"/>
  <c r="V333" i="53"/>
  <c r="V383" i="53" s="1"/>
  <c r="V432" i="53" s="1"/>
  <c r="V483" i="53" s="1"/>
  <c r="V532" i="53" s="1"/>
  <c r="V361" i="53"/>
  <c r="V410" i="53" s="1"/>
  <c r="V459" i="53" s="1"/>
  <c r="V510" i="53" s="1"/>
  <c r="V563" i="53" s="1"/>
  <c r="V365" i="53"/>
  <c r="V414" i="53" s="1"/>
  <c r="V463" i="53" s="1"/>
  <c r="V514" i="53" s="1"/>
  <c r="V568" i="53" s="1"/>
  <c r="V332" i="53"/>
  <c r="V382" i="53" s="1"/>
  <c r="V431" i="53" s="1"/>
  <c r="V482" i="53" s="1"/>
  <c r="V531" i="53" s="1"/>
  <c r="V348" i="53"/>
  <c r="V397" i="53" s="1"/>
  <c r="V446" i="53" s="1"/>
  <c r="V497" i="53" s="1"/>
  <c r="V548" i="53" s="1"/>
  <c r="V724" i="53"/>
  <c r="V360" i="53"/>
  <c r="V409" i="53" s="1"/>
  <c r="V458" i="53" s="1"/>
  <c r="V509" i="53" s="1"/>
  <c r="V562" i="53" s="1"/>
  <c r="V340" i="53"/>
  <c r="V389" i="53" s="1"/>
  <c r="V438" i="53" s="1"/>
  <c r="V489" i="53" s="1"/>
  <c r="V539" i="53" s="1"/>
  <c r="V331" i="53"/>
  <c r="V381" i="53" s="1"/>
  <c r="V430" i="53" s="1"/>
  <c r="V481" i="53" s="1"/>
  <c r="V530" i="53" s="1"/>
  <c r="V373" i="53"/>
  <c r="V422" i="53" s="1"/>
  <c r="V471" i="53" s="1"/>
  <c r="V522" i="53" s="1"/>
  <c r="V576" i="53" s="1"/>
  <c r="V727" i="53"/>
  <c r="V356" i="53"/>
  <c r="V405" i="53" s="1"/>
  <c r="V454" i="53" s="1"/>
  <c r="V505" i="53" s="1"/>
  <c r="V558" i="53" s="1"/>
  <c r="V369" i="53"/>
  <c r="V418" i="53" s="1"/>
  <c r="V467" i="53" s="1"/>
  <c r="V518" i="53" s="1"/>
  <c r="V572" i="53" s="1"/>
  <c r="V367" i="53"/>
  <c r="V416" i="53" s="1"/>
  <c r="V465" i="53" s="1"/>
  <c r="V516" i="53" s="1"/>
  <c r="V570" i="53" s="1"/>
  <c r="V334" i="53"/>
  <c r="V384" i="53" s="1"/>
  <c r="V433" i="53" s="1"/>
  <c r="V484" i="53" s="1"/>
  <c r="V533" i="53" s="1"/>
  <c r="V712" i="53"/>
  <c r="V371" i="53"/>
  <c r="V420" i="53" s="1"/>
  <c r="V469" i="53" s="1"/>
  <c r="V520" i="53" s="1"/>
  <c r="V574" i="53" s="1"/>
  <c r="V347" i="53"/>
  <c r="V396" i="53" s="1"/>
  <c r="V445" i="53" s="1"/>
  <c r="V496" i="53" s="1"/>
  <c r="V547" i="53" s="1"/>
  <c r="V357" i="53"/>
  <c r="V406" i="53" s="1"/>
  <c r="V455" i="53" s="1"/>
  <c r="V506" i="53" s="1"/>
  <c r="V559" i="53" s="1"/>
  <c r="V330" i="53"/>
  <c r="V380" i="53" s="1"/>
  <c r="V429" i="53" s="1"/>
  <c r="V480" i="53" s="1"/>
  <c r="V529" i="53" s="1"/>
  <c r="V335" i="53"/>
  <c r="V385" i="53" s="1"/>
  <c r="V434" i="53" s="1"/>
  <c r="V485" i="53" s="1"/>
  <c r="V534" i="53" s="1"/>
  <c r="V728" i="53"/>
  <c r="V341" i="53"/>
  <c r="V390" i="53" s="1"/>
  <c r="V439" i="53" s="1"/>
  <c r="V490" i="53" s="1"/>
  <c r="V540" i="53" s="1"/>
  <c r="V375" i="53"/>
  <c r="V424" i="53" s="1"/>
  <c r="V473" i="53" s="1"/>
  <c r="V524" i="53" s="1"/>
  <c r="V579" i="53" s="1"/>
  <c r="V346" i="53"/>
  <c r="V395" i="53" s="1"/>
  <c r="V444" i="53" s="1"/>
  <c r="V495" i="53" s="1"/>
  <c r="V546" i="53" s="1"/>
  <c r="V351" i="53"/>
  <c r="V400" i="53" s="1"/>
  <c r="V449" i="53" s="1"/>
  <c r="V500" i="53" s="1"/>
  <c r="V552" i="53" s="1"/>
  <c r="V594" i="53"/>
  <c r="V596" i="53" s="1"/>
  <c r="V599" i="53"/>
  <c r="V626" i="53" s="1"/>
  <c r="Q116" i="1"/>
  <c r="D23" i="1"/>
  <c r="C186" i="3"/>
  <c r="N186" i="3" s="1"/>
  <c r="D37" i="1"/>
  <c r="I37" i="1" s="1"/>
  <c r="J196" i="1"/>
  <c r="R759" i="1"/>
  <c r="R761" i="1" s="1"/>
  <c r="R789" i="1" s="1"/>
  <c r="I865" i="53"/>
  <c r="G849" i="53"/>
  <c r="U759" i="53"/>
  <c r="U724" i="53"/>
  <c r="U372" i="53"/>
  <c r="U421" i="53" s="1"/>
  <c r="U470" i="53" s="1"/>
  <c r="U521" i="53" s="1"/>
  <c r="U575" i="53" s="1"/>
  <c r="U353" i="53"/>
  <c r="U402" i="53" s="1"/>
  <c r="U451" i="53" s="1"/>
  <c r="U502" i="53" s="1"/>
  <c r="U554" i="53" s="1"/>
  <c r="U348" i="53"/>
  <c r="U397" i="53" s="1"/>
  <c r="U446" i="53" s="1"/>
  <c r="U497" i="53" s="1"/>
  <c r="U548" i="53" s="1"/>
  <c r="U332" i="53"/>
  <c r="U382" i="53" s="1"/>
  <c r="U431" i="53" s="1"/>
  <c r="U482" i="53" s="1"/>
  <c r="U531" i="53" s="1"/>
  <c r="U359" i="53"/>
  <c r="U408" i="53" s="1"/>
  <c r="U457" i="53" s="1"/>
  <c r="U508" i="53" s="1"/>
  <c r="U561" i="53" s="1"/>
  <c r="U340" i="53"/>
  <c r="U389" i="53" s="1"/>
  <c r="U438" i="53" s="1"/>
  <c r="U489" i="53" s="1"/>
  <c r="U539" i="53" s="1"/>
  <c r="U335" i="53"/>
  <c r="U385" i="53" s="1"/>
  <c r="U434" i="53" s="1"/>
  <c r="U485" i="53" s="1"/>
  <c r="U534" i="53" s="1"/>
  <c r="U597" i="53"/>
  <c r="U650" i="53" s="1"/>
  <c r="U668" i="53" s="1"/>
  <c r="U684" i="53" s="1"/>
  <c r="U356" i="53"/>
  <c r="U405" i="53" s="1"/>
  <c r="U454" i="53" s="1"/>
  <c r="U505" i="53" s="1"/>
  <c r="U558" i="53" s="1"/>
  <c r="U370" i="53"/>
  <c r="U419" i="53" s="1"/>
  <c r="U468" i="53" s="1"/>
  <c r="U519" i="53" s="1"/>
  <c r="U573" i="53" s="1"/>
  <c r="U375" i="53"/>
  <c r="U424" i="53" s="1"/>
  <c r="U473" i="53" s="1"/>
  <c r="U524" i="53" s="1"/>
  <c r="U579" i="53" s="1"/>
  <c r="U346" i="53"/>
  <c r="U395" i="53" s="1"/>
  <c r="U444" i="53" s="1"/>
  <c r="U495" i="53" s="1"/>
  <c r="U546" i="53" s="1"/>
  <c r="U358" i="53"/>
  <c r="U407" i="53" s="1"/>
  <c r="U456" i="53" s="1"/>
  <c r="U507" i="53" s="1"/>
  <c r="U560" i="53" s="1"/>
  <c r="U369" i="53"/>
  <c r="U418" i="53" s="1"/>
  <c r="U467" i="53" s="1"/>
  <c r="U518" i="53" s="1"/>
  <c r="U572" i="53" s="1"/>
  <c r="U333" i="53"/>
  <c r="U383" i="53" s="1"/>
  <c r="U432" i="53" s="1"/>
  <c r="U483" i="53" s="1"/>
  <c r="U532" i="53" s="1"/>
  <c r="U352" i="53"/>
  <c r="U401" i="53" s="1"/>
  <c r="U450" i="53" s="1"/>
  <c r="U501" i="53" s="1"/>
  <c r="U553" i="53" s="1"/>
  <c r="U726" i="53"/>
  <c r="U366" i="53"/>
  <c r="U415" i="53" s="1"/>
  <c r="U464" i="53" s="1"/>
  <c r="U515" i="53" s="1"/>
  <c r="U569" i="53" s="1"/>
  <c r="U365" i="53"/>
  <c r="U414" i="53" s="1"/>
  <c r="U463" i="53" s="1"/>
  <c r="U514" i="53" s="1"/>
  <c r="U568" i="53" s="1"/>
  <c r="U362" i="53"/>
  <c r="U411" i="53" s="1"/>
  <c r="U460" i="53" s="1"/>
  <c r="U511" i="53" s="1"/>
  <c r="U564" i="53" s="1"/>
  <c r="U345" i="53"/>
  <c r="U394" i="53" s="1"/>
  <c r="U443" i="53" s="1"/>
  <c r="U494" i="53" s="1"/>
  <c r="U545" i="53" s="1"/>
  <c r="U341" i="53"/>
  <c r="U390" i="53" s="1"/>
  <c r="U439" i="53" s="1"/>
  <c r="U490" i="53" s="1"/>
  <c r="U540" i="53" s="1"/>
  <c r="U711" i="53"/>
  <c r="U330" i="53"/>
  <c r="U380" i="53" s="1"/>
  <c r="U429" i="53" s="1"/>
  <c r="U480" i="53" s="1"/>
  <c r="U529" i="53" s="1"/>
  <c r="U361" i="53"/>
  <c r="U410" i="53" s="1"/>
  <c r="U459" i="53" s="1"/>
  <c r="U510" i="53" s="1"/>
  <c r="U563" i="53" s="1"/>
  <c r="U357" i="53"/>
  <c r="U406" i="53" s="1"/>
  <c r="U455" i="53" s="1"/>
  <c r="U506" i="53" s="1"/>
  <c r="U559" i="53" s="1"/>
  <c r="U728" i="53"/>
  <c r="U727" i="53"/>
  <c r="U368" i="53"/>
  <c r="U417" i="53" s="1"/>
  <c r="U466" i="53" s="1"/>
  <c r="U517" i="53" s="1"/>
  <c r="U571" i="53" s="1"/>
  <c r="U373" i="53"/>
  <c r="U422" i="53" s="1"/>
  <c r="U471" i="53" s="1"/>
  <c r="U522" i="53" s="1"/>
  <c r="U576" i="53" s="1"/>
  <c r="U336" i="53"/>
  <c r="U386" i="53" s="1"/>
  <c r="U435" i="53" s="1"/>
  <c r="U486" i="53" s="1"/>
  <c r="U535" i="53" s="1"/>
  <c r="U371" i="53"/>
  <c r="U420" i="53" s="1"/>
  <c r="U469" i="53" s="1"/>
  <c r="U520" i="53" s="1"/>
  <c r="U574" i="53" s="1"/>
  <c r="U351" i="53"/>
  <c r="U400" i="53" s="1"/>
  <c r="U449" i="53" s="1"/>
  <c r="U500" i="53" s="1"/>
  <c r="U552" i="53" s="1"/>
  <c r="U347" i="53"/>
  <c r="U396" i="53" s="1"/>
  <c r="U445" i="53" s="1"/>
  <c r="U496" i="53" s="1"/>
  <c r="U547" i="53" s="1"/>
  <c r="U331" i="53"/>
  <c r="U381" i="53" s="1"/>
  <c r="U430" i="53" s="1"/>
  <c r="U481" i="53" s="1"/>
  <c r="U530" i="53" s="1"/>
  <c r="U360" i="53"/>
  <c r="U409" i="53" s="1"/>
  <c r="U458" i="53" s="1"/>
  <c r="U509" i="53" s="1"/>
  <c r="U562" i="53" s="1"/>
  <c r="U367" i="53"/>
  <c r="U416" i="53" s="1"/>
  <c r="U465" i="53" s="1"/>
  <c r="U516" i="53" s="1"/>
  <c r="U570" i="53" s="1"/>
  <c r="U712" i="53"/>
  <c r="U334" i="53"/>
  <c r="U384" i="53" s="1"/>
  <c r="U433" i="53" s="1"/>
  <c r="U484" i="53" s="1"/>
  <c r="U533" i="53" s="1"/>
  <c r="U342" i="53"/>
  <c r="U391" i="53" s="1"/>
  <c r="U440" i="53" s="1"/>
  <c r="U491" i="53" s="1"/>
  <c r="U541" i="53" s="1"/>
  <c r="U725" i="53"/>
  <c r="U594" i="53"/>
  <c r="U596" i="53" s="1"/>
  <c r="U599" i="53"/>
  <c r="U626" i="53" s="1"/>
  <c r="P759" i="53"/>
  <c r="P728" i="53"/>
  <c r="P725" i="53"/>
  <c r="P724" i="53"/>
  <c r="P711" i="53"/>
  <c r="P375" i="53"/>
  <c r="P424" i="53" s="1"/>
  <c r="P473" i="53" s="1"/>
  <c r="P524" i="53" s="1"/>
  <c r="P579" i="53" s="1"/>
  <c r="P352" i="53"/>
  <c r="P401" i="53" s="1"/>
  <c r="P450" i="53" s="1"/>
  <c r="P501" i="53" s="1"/>
  <c r="P553" i="53" s="1"/>
  <c r="P362" i="53"/>
  <c r="P411" i="53" s="1"/>
  <c r="P460" i="53" s="1"/>
  <c r="P511" i="53" s="1"/>
  <c r="P564" i="53" s="1"/>
  <c r="P336" i="53"/>
  <c r="P386" i="53" s="1"/>
  <c r="P435" i="53" s="1"/>
  <c r="P486" i="53" s="1"/>
  <c r="P535" i="53" s="1"/>
  <c r="P597" i="53"/>
  <c r="P650" i="53" s="1"/>
  <c r="P668" i="53" s="1"/>
  <c r="P684" i="53" s="1"/>
  <c r="P351" i="53"/>
  <c r="P400" i="53" s="1"/>
  <c r="P449" i="53" s="1"/>
  <c r="P500" i="53" s="1"/>
  <c r="P552" i="53" s="1"/>
  <c r="P366" i="53"/>
  <c r="P415" i="53" s="1"/>
  <c r="P464" i="53" s="1"/>
  <c r="P515" i="53" s="1"/>
  <c r="P569" i="53" s="1"/>
  <c r="P333" i="53"/>
  <c r="P383" i="53" s="1"/>
  <c r="P432" i="53" s="1"/>
  <c r="P483" i="53" s="1"/>
  <c r="P532" i="53" s="1"/>
  <c r="P360" i="53"/>
  <c r="P409" i="53" s="1"/>
  <c r="P458" i="53" s="1"/>
  <c r="P509" i="53" s="1"/>
  <c r="P562" i="53" s="1"/>
  <c r="P726" i="53"/>
  <c r="P365" i="53"/>
  <c r="P414" i="53" s="1"/>
  <c r="P463" i="53" s="1"/>
  <c r="P514" i="53" s="1"/>
  <c r="P568" i="53" s="1"/>
  <c r="P346" i="53"/>
  <c r="P395" i="53" s="1"/>
  <c r="P444" i="53" s="1"/>
  <c r="P495" i="53" s="1"/>
  <c r="P546" i="53" s="1"/>
  <c r="P353" i="53"/>
  <c r="P402" i="53" s="1"/>
  <c r="P451" i="53" s="1"/>
  <c r="P502" i="53" s="1"/>
  <c r="P554" i="53" s="1"/>
  <c r="P345" i="53"/>
  <c r="P394" i="53" s="1"/>
  <c r="P443" i="53" s="1"/>
  <c r="P494" i="53" s="1"/>
  <c r="P545" i="53" s="1"/>
  <c r="P727" i="53"/>
  <c r="P361" i="53"/>
  <c r="P410" i="53" s="1"/>
  <c r="P459" i="53" s="1"/>
  <c r="P510" i="53" s="1"/>
  <c r="P563" i="53" s="1"/>
  <c r="P373" i="53"/>
  <c r="P422" i="53" s="1"/>
  <c r="P471" i="53" s="1"/>
  <c r="P522" i="53" s="1"/>
  <c r="P576" i="53" s="1"/>
  <c r="P341" i="53"/>
  <c r="P390" i="53" s="1"/>
  <c r="P439" i="53" s="1"/>
  <c r="P490" i="53" s="1"/>
  <c r="P540" i="53" s="1"/>
  <c r="P358" i="53"/>
  <c r="P407" i="53" s="1"/>
  <c r="P456" i="53" s="1"/>
  <c r="P507" i="53" s="1"/>
  <c r="P560" i="53" s="1"/>
  <c r="P334" i="53"/>
  <c r="P384" i="53" s="1"/>
  <c r="P433" i="53" s="1"/>
  <c r="P484" i="53" s="1"/>
  <c r="P533" i="53" s="1"/>
  <c r="P369" i="53"/>
  <c r="P418" i="53" s="1"/>
  <c r="P467" i="53" s="1"/>
  <c r="P518" i="53" s="1"/>
  <c r="P572" i="53" s="1"/>
  <c r="P342" i="53"/>
  <c r="P391" i="53" s="1"/>
  <c r="P440" i="53" s="1"/>
  <c r="P491" i="53" s="1"/>
  <c r="P541" i="53" s="1"/>
  <c r="P347" i="53"/>
  <c r="P396" i="53" s="1"/>
  <c r="P445" i="53" s="1"/>
  <c r="P496" i="53" s="1"/>
  <c r="P547" i="53" s="1"/>
  <c r="P335" i="53"/>
  <c r="P385" i="53" s="1"/>
  <c r="P434" i="53" s="1"/>
  <c r="P485" i="53" s="1"/>
  <c r="P534" i="53" s="1"/>
  <c r="P712" i="53"/>
  <c r="P359" i="53"/>
  <c r="P408" i="53" s="1"/>
  <c r="P457" i="53" s="1"/>
  <c r="P508" i="53" s="1"/>
  <c r="P561" i="53" s="1"/>
  <c r="P372" i="53"/>
  <c r="P421" i="53" s="1"/>
  <c r="P470" i="53" s="1"/>
  <c r="P521" i="53" s="1"/>
  <c r="P575" i="53" s="1"/>
  <c r="P371" i="53"/>
  <c r="P420" i="53" s="1"/>
  <c r="P469" i="53" s="1"/>
  <c r="P520" i="53" s="1"/>
  <c r="P574" i="53" s="1"/>
  <c r="P348" i="53"/>
  <c r="P397" i="53" s="1"/>
  <c r="P446" i="53" s="1"/>
  <c r="P497" i="53" s="1"/>
  <c r="P548" i="53" s="1"/>
  <c r="P332" i="53"/>
  <c r="P382" i="53" s="1"/>
  <c r="P431" i="53" s="1"/>
  <c r="P482" i="53" s="1"/>
  <c r="P531" i="53" s="1"/>
  <c r="P368" i="53"/>
  <c r="P417" i="53" s="1"/>
  <c r="P466" i="53" s="1"/>
  <c r="P517" i="53" s="1"/>
  <c r="P571" i="53" s="1"/>
  <c r="P340" i="53"/>
  <c r="P389" i="53" s="1"/>
  <c r="P438" i="53" s="1"/>
  <c r="P489" i="53" s="1"/>
  <c r="P539" i="53" s="1"/>
  <c r="P356" i="53"/>
  <c r="P405" i="53" s="1"/>
  <c r="P454" i="53" s="1"/>
  <c r="P505" i="53" s="1"/>
  <c r="P558" i="53" s="1"/>
  <c r="P331" i="53"/>
  <c r="P381" i="53" s="1"/>
  <c r="P430" i="53" s="1"/>
  <c r="P481" i="53" s="1"/>
  <c r="P530" i="53" s="1"/>
  <c r="P357" i="53"/>
  <c r="P406" i="53" s="1"/>
  <c r="P455" i="53" s="1"/>
  <c r="P506" i="53" s="1"/>
  <c r="P559" i="53" s="1"/>
  <c r="P370" i="53"/>
  <c r="P419" i="53" s="1"/>
  <c r="P468" i="53" s="1"/>
  <c r="P519" i="53" s="1"/>
  <c r="P573" i="53" s="1"/>
  <c r="P330" i="53"/>
  <c r="P380" i="53" s="1"/>
  <c r="P429" i="53" s="1"/>
  <c r="P480" i="53" s="1"/>
  <c r="P529" i="53" s="1"/>
  <c r="P367" i="53"/>
  <c r="P416" i="53" s="1"/>
  <c r="P465" i="53" s="1"/>
  <c r="P516" i="53" s="1"/>
  <c r="P570" i="53" s="1"/>
  <c r="P599" i="53"/>
  <c r="P626" i="53" s="1"/>
  <c r="P661" i="53" s="1"/>
  <c r="P594" i="53"/>
  <c r="P596" i="53" s="1"/>
  <c r="K759" i="53"/>
  <c r="K727" i="53"/>
  <c r="K728" i="53"/>
  <c r="K369" i="53"/>
  <c r="K418" i="53" s="1"/>
  <c r="K467" i="53" s="1"/>
  <c r="K518" i="53" s="1"/>
  <c r="K572" i="53" s="1"/>
  <c r="K372" i="53"/>
  <c r="K421" i="53" s="1"/>
  <c r="K470" i="53" s="1"/>
  <c r="K521" i="53" s="1"/>
  <c r="K575" i="53" s="1"/>
  <c r="K335" i="53"/>
  <c r="K385" i="53" s="1"/>
  <c r="K434" i="53" s="1"/>
  <c r="K485" i="53" s="1"/>
  <c r="K534" i="53" s="1"/>
  <c r="K370" i="53"/>
  <c r="K419" i="53" s="1"/>
  <c r="K468" i="53" s="1"/>
  <c r="K519" i="53" s="1"/>
  <c r="K573" i="53" s="1"/>
  <c r="K341" i="53"/>
  <c r="K390" i="53" s="1"/>
  <c r="K439" i="53" s="1"/>
  <c r="K490" i="53" s="1"/>
  <c r="K540" i="53" s="1"/>
  <c r="K348" i="53"/>
  <c r="K397" i="53" s="1"/>
  <c r="K446" i="53" s="1"/>
  <c r="K497" i="53" s="1"/>
  <c r="K548" i="53" s="1"/>
  <c r="K332" i="53"/>
  <c r="K382" i="53" s="1"/>
  <c r="K431" i="53" s="1"/>
  <c r="K482" i="53" s="1"/>
  <c r="K531" i="53" s="1"/>
  <c r="K353" i="53"/>
  <c r="K402" i="53" s="1"/>
  <c r="K451" i="53" s="1"/>
  <c r="K502" i="53" s="1"/>
  <c r="K554" i="53" s="1"/>
  <c r="K599" i="53"/>
  <c r="K712" i="53"/>
  <c r="K373" i="53"/>
  <c r="K422" i="53" s="1"/>
  <c r="K471" i="53" s="1"/>
  <c r="K522" i="53" s="1"/>
  <c r="K576" i="53" s="1"/>
  <c r="K365" i="53"/>
  <c r="K414" i="53" s="1"/>
  <c r="K463" i="53" s="1"/>
  <c r="K514" i="53" s="1"/>
  <c r="K568" i="53" s="1"/>
  <c r="K347" i="53"/>
  <c r="K396" i="53" s="1"/>
  <c r="K445" i="53" s="1"/>
  <c r="K496" i="53" s="1"/>
  <c r="K547" i="53" s="1"/>
  <c r="K331" i="53"/>
  <c r="K381" i="53" s="1"/>
  <c r="K430" i="53" s="1"/>
  <c r="K481" i="53" s="1"/>
  <c r="K530" i="53" s="1"/>
  <c r="K358" i="53"/>
  <c r="K407" i="53" s="1"/>
  <c r="K456" i="53" s="1"/>
  <c r="K507" i="53" s="1"/>
  <c r="K560" i="53" s="1"/>
  <c r="K361" i="53"/>
  <c r="K410" i="53" s="1"/>
  <c r="K459" i="53" s="1"/>
  <c r="K510" i="53" s="1"/>
  <c r="K563" i="53" s="1"/>
  <c r="K336" i="53"/>
  <c r="K386" i="53" s="1"/>
  <c r="K435" i="53" s="1"/>
  <c r="K486" i="53" s="1"/>
  <c r="K535" i="53" s="1"/>
  <c r="K340" i="53"/>
  <c r="K389" i="53" s="1"/>
  <c r="K438" i="53" s="1"/>
  <c r="K489" i="53" s="1"/>
  <c r="K539" i="53" s="1"/>
  <c r="K356" i="53"/>
  <c r="K405" i="53" s="1"/>
  <c r="K454" i="53" s="1"/>
  <c r="K505" i="53" s="1"/>
  <c r="K558" i="53" s="1"/>
  <c r="K597" i="53"/>
  <c r="K359" i="53"/>
  <c r="K408" i="53" s="1"/>
  <c r="K457" i="53" s="1"/>
  <c r="K508" i="53" s="1"/>
  <c r="K561" i="53" s="1"/>
  <c r="K362" i="53"/>
  <c r="K411" i="53" s="1"/>
  <c r="K460" i="53" s="1"/>
  <c r="K511" i="53" s="1"/>
  <c r="K564" i="53" s="1"/>
  <c r="K346" i="53"/>
  <c r="K395" i="53" s="1"/>
  <c r="K444" i="53" s="1"/>
  <c r="K495" i="53" s="1"/>
  <c r="K546" i="53" s="1"/>
  <c r="K360" i="53"/>
  <c r="K409" i="53" s="1"/>
  <c r="K458" i="53" s="1"/>
  <c r="K509" i="53" s="1"/>
  <c r="K562" i="53" s="1"/>
  <c r="K711" i="53"/>
  <c r="K371" i="53"/>
  <c r="K420" i="53" s="1"/>
  <c r="K469" i="53" s="1"/>
  <c r="K520" i="53" s="1"/>
  <c r="K574" i="53" s="1"/>
  <c r="K345" i="53"/>
  <c r="K394" i="53" s="1"/>
  <c r="K443" i="53" s="1"/>
  <c r="K494" i="53" s="1"/>
  <c r="K545" i="53" s="1"/>
  <c r="K352" i="53"/>
  <c r="K401" i="53" s="1"/>
  <c r="K450" i="53" s="1"/>
  <c r="K501" i="53" s="1"/>
  <c r="K553" i="53" s="1"/>
  <c r="K334" i="53"/>
  <c r="K384" i="53" s="1"/>
  <c r="K433" i="53" s="1"/>
  <c r="K484" i="53" s="1"/>
  <c r="K533" i="53" s="1"/>
  <c r="K351" i="53"/>
  <c r="K400" i="53" s="1"/>
  <c r="K449" i="53" s="1"/>
  <c r="K500" i="53" s="1"/>
  <c r="K552" i="53" s="1"/>
  <c r="K725" i="53"/>
  <c r="K367" i="53"/>
  <c r="K416" i="53" s="1"/>
  <c r="K465" i="53" s="1"/>
  <c r="K516" i="53" s="1"/>
  <c r="K570" i="53" s="1"/>
  <c r="K333" i="53"/>
  <c r="K383" i="53" s="1"/>
  <c r="K432" i="53" s="1"/>
  <c r="K483" i="53" s="1"/>
  <c r="K532" i="53" s="1"/>
  <c r="K368" i="53"/>
  <c r="K417" i="53" s="1"/>
  <c r="K466" i="53" s="1"/>
  <c r="K517" i="53" s="1"/>
  <c r="K571" i="53" s="1"/>
  <c r="K330" i="53"/>
  <c r="K380" i="53" s="1"/>
  <c r="K429" i="53" s="1"/>
  <c r="K480" i="53" s="1"/>
  <c r="K529" i="53" s="1"/>
  <c r="K342" i="53"/>
  <c r="K391" i="53" s="1"/>
  <c r="K440" i="53" s="1"/>
  <c r="K491" i="53" s="1"/>
  <c r="K541" i="53" s="1"/>
  <c r="K724" i="53"/>
  <c r="K357" i="53"/>
  <c r="K406" i="53" s="1"/>
  <c r="K455" i="53" s="1"/>
  <c r="K506" i="53" s="1"/>
  <c r="K559" i="53" s="1"/>
  <c r="K726" i="53"/>
  <c r="K366" i="53"/>
  <c r="K415" i="53" s="1"/>
  <c r="K464" i="53" s="1"/>
  <c r="K515" i="53" s="1"/>
  <c r="K569" i="53" s="1"/>
  <c r="K375" i="53"/>
  <c r="K424" i="53" s="1"/>
  <c r="K473" i="53" s="1"/>
  <c r="K524" i="53" s="1"/>
  <c r="K579" i="53" s="1"/>
  <c r="K594" i="53"/>
  <c r="K596" i="53" s="1"/>
  <c r="N759" i="53"/>
  <c r="N599" i="53"/>
  <c r="N626" i="53" s="1"/>
  <c r="N661" i="53" s="1"/>
  <c r="N728" i="53"/>
  <c r="N727" i="53"/>
  <c r="N375" i="53"/>
  <c r="N424" i="53" s="1"/>
  <c r="N473" i="53" s="1"/>
  <c r="N524" i="53" s="1"/>
  <c r="N579" i="53" s="1"/>
  <c r="N356" i="53"/>
  <c r="N405" i="53" s="1"/>
  <c r="N454" i="53" s="1"/>
  <c r="N505" i="53" s="1"/>
  <c r="N558" i="53" s="1"/>
  <c r="N357" i="53"/>
  <c r="N406" i="53" s="1"/>
  <c r="N455" i="53" s="1"/>
  <c r="N506" i="53" s="1"/>
  <c r="N559" i="53" s="1"/>
  <c r="N340" i="53"/>
  <c r="N389" i="53" s="1"/>
  <c r="N438" i="53" s="1"/>
  <c r="N489" i="53" s="1"/>
  <c r="N539" i="53" s="1"/>
  <c r="N347" i="53"/>
  <c r="N396" i="53" s="1"/>
  <c r="N445" i="53" s="1"/>
  <c r="N496" i="53" s="1"/>
  <c r="N547" i="53" s="1"/>
  <c r="N331" i="53"/>
  <c r="N381" i="53" s="1"/>
  <c r="N430" i="53" s="1"/>
  <c r="N481" i="53" s="1"/>
  <c r="N530" i="53" s="1"/>
  <c r="N352" i="53"/>
  <c r="N401" i="53" s="1"/>
  <c r="N450" i="53" s="1"/>
  <c r="N501" i="53" s="1"/>
  <c r="N553" i="53" s="1"/>
  <c r="N369" i="53"/>
  <c r="N418" i="53" s="1"/>
  <c r="N467" i="53" s="1"/>
  <c r="N518" i="53" s="1"/>
  <c r="N572" i="53" s="1"/>
  <c r="N330" i="53"/>
  <c r="N380" i="53" s="1"/>
  <c r="N429" i="53" s="1"/>
  <c r="N480" i="53" s="1"/>
  <c r="N529" i="53" s="1"/>
  <c r="N724" i="53"/>
  <c r="N712" i="53"/>
  <c r="N360" i="53"/>
  <c r="N409" i="53" s="1"/>
  <c r="N458" i="53" s="1"/>
  <c r="N509" i="53" s="1"/>
  <c r="N562" i="53" s="1"/>
  <c r="N367" i="53"/>
  <c r="N416" i="53" s="1"/>
  <c r="N465" i="53" s="1"/>
  <c r="N516" i="53" s="1"/>
  <c r="N570" i="53" s="1"/>
  <c r="N351" i="53"/>
  <c r="N400" i="53" s="1"/>
  <c r="N449" i="53" s="1"/>
  <c r="N500" i="53" s="1"/>
  <c r="N552" i="53" s="1"/>
  <c r="N366" i="53"/>
  <c r="N415" i="53" s="1"/>
  <c r="N464" i="53" s="1"/>
  <c r="N515" i="53" s="1"/>
  <c r="N569" i="53" s="1"/>
  <c r="N335" i="53"/>
  <c r="N385" i="53" s="1"/>
  <c r="N434" i="53" s="1"/>
  <c r="N485" i="53" s="1"/>
  <c r="N534" i="53" s="1"/>
  <c r="N371" i="53"/>
  <c r="N420" i="53" s="1"/>
  <c r="N469" i="53" s="1"/>
  <c r="N520" i="53" s="1"/>
  <c r="N574" i="53" s="1"/>
  <c r="N348" i="53"/>
  <c r="N397" i="53" s="1"/>
  <c r="N446" i="53" s="1"/>
  <c r="N497" i="53" s="1"/>
  <c r="N548" i="53" s="1"/>
  <c r="N370" i="53"/>
  <c r="N419" i="53" s="1"/>
  <c r="N468" i="53" s="1"/>
  <c r="N519" i="53" s="1"/>
  <c r="N573" i="53" s="1"/>
  <c r="N711" i="53"/>
  <c r="N358" i="53"/>
  <c r="N407" i="53" s="1"/>
  <c r="N456" i="53" s="1"/>
  <c r="N507" i="53" s="1"/>
  <c r="N560" i="53" s="1"/>
  <c r="N342" i="53"/>
  <c r="N391" i="53" s="1"/>
  <c r="N440" i="53" s="1"/>
  <c r="N491" i="53" s="1"/>
  <c r="N541" i="53" s="1"/>
  <c r="N333" i="53"/>
  <c r="N383" i="53" s="1"/>
  <c r="N432" i="53" s="1"/>
  <c r="N483" i="53" s="1"/>
  <c r="N532" i="53" s="1"/>
  <c r="N346" i="53"/>
  <c r="N395" i="53" s="1"/>
  <c r="N444" i="53" s="1"/>
  <c r="N495" i="53" s="1"/>
  <c r="N546" i="53" s="1"/>
  <c r="N336" i="53"/>
  <c r="N386" i="53" s="1"/>
  <c r="N435" i="53" s="1"/>
  <c r="N486" i="53" s="1"/>
  <c r="N535" i="53" s="1"/>
  <c r="N725" i="53"/>
  <c r="N368" i="53"/>
  <c r="N417" i="53" s="1"/>
  <c r="N466" i="53" s="1"/>
  <c r="N517" i="53" s="1"/>
  <c r="N571" i="53" s="1"/>
  <c r="N373" i="53"/>
  <c r="N422" i="53" s="1"/>
  <c r="N471" i="53" s="1"/>
  <c r="N522" i="53" s="1"/>
  <c r="N576" i="53" s="1"/>
  <c r="N372" i="53"/>
  <c r="N421" i="53" s="1"/>
  <c r="N470" i="53" s="1"/>
  <c r="N521" i="53" s="1"/>
  <c r="N575" i="53" s="1"/>
  <c r="N334" i="53"/>
  <c r="N384" i="53" s="1"/>
  <c r="N433" i="53" s="1"/>
  <c r="N484" i="53" s="1"/>
  <c r="N533" i="53" s="1"/>
  <c r="N597" i="53"/>
  <c r="N650" i="53" s="1"/>
  <c r="N668" i="53" s="1"/>
  <c r="N684" i="53" s="1"/>
  <c r="N361" i="53"/>
  <c r="N410" i="53" s="1"/>
  <c r="N459" i="53" s="1"/>
  <c r="N510" i="53" s="1"/>
  <c r="N563" i="53" s="1"/>
  <c r="N365" i="53"/>
  <c r="N414" i="53" s="1"/>
  <c r="N463" i="53" s="1"/>
  <c r="N514" i="53" s="1"/>
  <c r="N568" i="53" s="1"/>
  <c r="N359" i="53"/>
  <c r="N408" i="53" s="1"/>
  <c r="N457" i="53" s="1"/>
  <c r="N508" i="53" s="1"/>
  <c r="N561" i="53" s="1"/>
  <c r="N332" i="53"/>
  <c r="N382" i="53" s="1"/>
  <c r="N431" i="53" s="1"/>
  <c r="N482" i="53" s="1"/>
  <c r="N531" i="53" s="1"/>
  <c r="N726" i="53"/>
  <c r="N362" i="53"/>
  <c r="N411" i="53" s="1"/>
  <c r="N460" i="53" s="1"/>
  <c r="N511" i="53" s="1"/>
  <c r="N564" i="53" s="1"/>
  <c r="N353" i="53"/>
  <c r="N402" i="53" s="1"/>
  <c r="N451" i="53" s="1"/>
  <c r="N502" i="53" s="1"/>
  <c r="N554" i="53" s="1"/>
  <c r="N345" i="53"/>
  <c r="N394" i="53" s="1"/>
  <c r="N443" i="53" s="1"/>
  <c r="N494" i="53" s="1"/>
  <c r="N545" i="53" s="1"/>
  <c r="N341" i="53"/>
  <c r="N390" i="53" s="1"/>
  <c r="N439" i="53" s="1"/>
  <c r="N490" i="53" s="1"/>
  <c r="N540" i="53" s="1"/>
  <c r="N594" i="53"/>
  <c r="N596" i="53" s="1"/>
  <c r="E729" i="53"/>
  <c r="E734" i="53" s="1"/>
  <c r="R869" i="53"/>
  <c r="L869" i="53"/>
  <c r="N869" i="53"/>
  <c r="S869" i="53"/>
  <c r="Q869" i="53"/>
  <c r="P869" i="53"/>
  <c r="M869" i="53"/>
  <c r="V869" i="53"/>
  <c r="T869" i="53"/>
  <c r="J869" i="53"/>
  <c r="U869" i="53"/>
  <c r="K869" i="53"/>
  <c r="O869" i="53"/>
  <c r="I869" i="53"/>
  <c r="T759" i="53"/>
  <c r="T727" i="53"/>
  <c r="T726" i="53"/>
  <c r="T357" i="53"/>
  <c r="T406" i="53" s="1"/>
  <c r="T455" i="53" s="1"/>
  <c r="T506" i="53" s="1"/>
  <c r="T559" i="53" s="1"/>
  <c r="T360" i="53"/>
  <c r="T409" i="53" s="1"/>
  <c r="T458" i="53" s="1"/>
  <c r="T509" i="53" s="1"/>
  <c r="T562" i="53" s="1"/>
  <c r="T375" i="53"/>
  <c r="T424" i="53" s="1"/>
  <c r="T473" i="53" s="1"/>
  <c r="T524" i="53" s="1"/>
  <c r="T579" i="53" s="1"/>
  <c r="T348" i="53"/>
  <c r="T397" i="53" s="1"/>
  <c r="T446" i="53" s="1"/>
  <c r="T497" i="53" s="1"/>
  <c r="T548" i="53" s="1"/>
  <c r="T332" i="53"/>
  <c r="T382" i="53" s="1"/>
  <c r="T431" i="53" s="1"/>
  <c r="T482" i="53" s="1"/>
  <c r="T531" i="53" s="1"/>
  <c r="T370" i="53"/>
  <c r="T419" i="53" s="1"/>
  <c r="T468" i="53" s="1"/>
  <c r="T519" i="53" s="1"/>
  <c r="T573" i="53" s="1"/>
  <c r="T351" i="53"/>
  <c r="T400" i="53" s="1"/>
  <c r="T449" i="53" s="1"/>
  <c r="T500" i="53" s="1"/>
  <c r="T552" i="53" s="1"/>
  <c r="T345" i="53"/>
  <c r="T394" i="53" s="1"/>
  <c r="T443" i="53" s="1"/>
  <c r="T494" i="53" s="1"/>
  <c r="T545" i="53" s="1"/>
  <c r="T368" i="53"/>
  <c r="T417" i="53" s="1"/>
  <c r="T466" i="53" s="1"/>
  <c r="T517" i="53" s="1"/>
  <c r="T571" i="53" s="1"/>
  <c r="T597" i="53"/>
  <c r="T650" i="53" s="1"/>
  <c r="T668" i="53" s="1"/>
  <c r="T684" i="53" s="1"/>
  <c r="T373" i="53"/>
  <c r="T422" i="53" s="1"/>
  <c r="T471" i="53" s="1"/>
  <c r="T522" i="53" s="1"/>
  <c r="T576" i="53" s="1"/>
  <c r="T346" i="53"/>
  <c r="T395" i="53" s="1"/>
  <c r="T444" i="53" s="1"/>
  <c r="T495" i="53" s="1"/>
  <c r="T546" i="53" s="1"/>
  <c r="T330" i="53"/>
  <c r="T380" i="53" s="1"/>
  <c r="T429" i="53" s="1"/>
  <c r="T480" i="53" s="1"/>
  <c r="T529" i="53" s="1"/>
  <c r="T342" i="53"/>
  <c r="T391" i="53" s="1"/>
  <c r="T440" i="53" s="1"/>
  <c r="T491" i="53" s="1"/>
  <c r="T541" i="53" s="1"/>
  <c r="T331" i="53"/>
  <c r="T381" i="53" s="1"/>
  <c r="T430" i="53" s="1"/>
  <c r="T481" i="53" s="1"/>
  <c r="T530" i="53" s="1"/>
  <c r="T333" i="53"/>
  <c r="T383" i="53" s="1"/>
  <c r="T432" i="53" s="1"/>
  <c r="T483" i="53" s="1"/>
  <c r="T532" i="53" s="1"/>
  <c r="T359" i="53"/>
  <c r="T408" i="53" s="1"/>
  <c r="T457" i="53" s="1"/>
  <c r="T508" i="53" s="1"/>
  <c r="T561" i="53" s="1"/>
  <c r="T341" i="53"/>
  <c r="T390" i="53" s="1"/>
  <c r="T439" i="53" s="1"/>
  <c r="T490" i="53" s="1"/>
  <c r="T540" i="53" s="1"/>
  <c r="T334" i="53"/>
  <c r="T384" i="53" s="1"/>
  <c r="T433" i="53" s="1"/>
  <c r="T484" i="53" s="1"/>
  <c r="T533" i="53" s="1"/>
  <c r="T353" i="53"/>
  <c r="T402" i="53" s="1"/>
  <c r="T451" i="53" s="1"/>
  <c r="T502" i="53" s="1"/>
  <c r="T554" i="53" s="1"/>
  <c r="T725" i="53"/>
  <c r="T724" i="53"/>
  <c r="T356" i="53"/>
  <c r="T405" i="53" s="1"/>
  <c r="T454" i="53" s="1"/>
  <c r="T505" i="53" s="1"/>
  <c r="T558" i="53" s="1"/>
  <c r="T362" i="53"/>
  <c r="T411" i="53" s="1"/>
  <c r="T460" i="53" s="1"/>
  <c r="T511" i="53" s="1"/>
  <c r="T564" i="53" s="1"/>
  <c r="T347" i="53"/>
  <c r="T396" i="53" s="1"/>
  <c r="T445" i="53" s="1"/>
  <c r="T496" i="53" s="1"/>
  <c r="T547" i="53" s="1"/>
  <c r="T712" i="53"/>
  <c r="T361" i="53"/>
  <c r="T410" i="53" s="1"/>
  <c r="T459" i="53" s="1"/>
  <c r="T510" i="53" s="1"/>
  <c r="T563" i="53" s="1"/>
  <c r="T367" i="53"/>
  <c r="T416" i="53" s="1"/>
  <c r="T465" i="53" s="1"/>
  <c r="T516" i="53" s="1"/>
  <c r="T570" i="53" s="1"/>
  <c r="T352" i="53"/>
  <c r="T401" i="53" s="1"/>
  <c r="T450" i="53" s="1"/>
  <c r="T501" i="53" s="1"/>
  <c r="T553" i="53" s="1"/>
  <c r="T372" i="53"/>
  <c r="T421" i="53" s="1"/>
  <c r="T470" i="53" s="1"/>
  <c r="T521" i="53" s="1"/>
  <c r="T575" i="53" s="1"/>
  <c r="T336" i="53"/>
  <c r="T386" i="53" s="1"/>
  <c r="T435" i="53" s="1"/>
  <c r="T486" i="53" s="1"/>
  <c r="T535" i="53" s="1"/>
  <c r="T711" i="53"/>
  <c r="T358" i="53"/>
  <c r="T407" i="53" s="1"/>
  <c r="T456" i="53" s="1"/>
  <c r="T507" i="53" s="1"/>
  <c r="T560" i="53" s="1"/>
  <c r="T340" i="53"/>
  <c r="T389" i="53" s="1"/>
  <c r="T438" i="53" s="1"/>
  <c r="T489" i="53" s="1"/>
  <c r="T539" i="53" s="1"/>
  <c r="T335" i="53"/>
  <c r="T385" i="53" s="1"/>
  <c r="T434" i="53" s="1"/>
  <c r="T485" i="53" s="1"/>
  <c r="T534" i="53" s="1"/>
  <c r="T728" i="53"/>
  <c r="T366" i="53"/>
  <c r="T415" i="53" s="1"/>
  <c r="T464" i="53" s="1"/>
  <c r="T515" i="53" s="1"/>
  <c r="T569" i="53" s="1"/>
  <c r="T365" i="53"/>
  <c r="T414" i="53" s="1"/>
  <c r="T463" i="53" s="1"/>
  <c r="T514" i="53" s="1"/>
  <c r="T568" i="53" s="1"/>
  <c r="T371" i="53"/>
  <c r="T420" i="53" s="1"/>
  <c r="T469" i="53" s="1"/>
  <c r="T520" i="53" s="1"/>
  <c r="T574" i="53" s="1"/>
  <c r="T369" i="53"/>
  <c r="T418" i="53" s="1"/>
  <c r="T467" i="53" s="1"/>
  <c r="T518" i="53" s="1"/>
  <c r="T572" i="53" s="1"/>
  <c r="T594" i="53"/>
  <c r="T596" i="53" s="1"/>
  <c r="T599" i="53"/>
  <c r="T626" i="53" s="1"/>
  <c r="D36" i="53"/>
  <c r="D37" i="53"/>
  <c r="D26" i="53"/>
  <c r="D21" i="53"/>
  <c r="D24" i="53"/>
  <c r="D25" i="53"/>
  <c r="D23" i="53"/>
  <c r="D22" i="53"/>
  <c r="D30" i="53"/>
  <c r="Z599" i="1"/>
  <c r="Z375" i="1"/>
  <c r="Z424" i="1" s="1"/>
  <c r="Z473" i="1" s="1"/>
  <c r="Z524" i="1" s="1"/>
  <c r="Z579" i="1" s="1"/>
  <c r="Z373" i="1"/>
  <c r="Z422" i="1" s="1"/>
  <c r="Z471" i="1" s="1"/>
  <c r="Z522" i="1" s="1"/>
  <c r="Z576" i="1" s="1"/>
  <c r="Z352" i="1"/>
  <c r="Z401" i="1" s="1"/>
  <c r="Z450" i="1" s="1"/>
  <c r="Z501" i="1" s="1"/>
  <c r="Z553" i="1" s="1"/>
  <c r="V765" i="1"/>
  <c r="V368" i="1"/>
  <c r="V417" i="1" s="1"/>
  <c r="V466" i="1" s="1"/>
  <c r="V517" i="1" s="1"/>
  <c r="V571" i="1" s="1"/>
  <c r="V359" i="1"/>
  <c r="V408" i="1" s="1"/>
  <c r="V457" i="1" s="1"/>
  <c r="V508" i="1" s="1"/>
  <c r="V561" i="1" s="1"/>
  <c r="V728" i="1"/>
  <c r="V334" i="1"/>
  <c r="V384" i="1" s="1"/>
  <c r="V433" i="1" s="1"/>
  <c r="V484" i="1" s="1"/>
  <c r="V533" i="1" s="1"/>
  <c r="V333" i="1"/>
  <c r="V383" i="1" s="1"/>
  <c r="V432" i="1" s="1"/>
  <c r="V483" i="1" s="1"/>
  <c r="V532" i="1" s="1"/>
  <c r="V597" i="1"/>
  <c r="V357" i="1"/>
  <c r="V406" i="1" s="1"/>
  <c r="V455" i="1" s="1"/>
  <c r="V506" i="1" s="1"/>
  <c r="V559" i="1" s="1"/>
  <c r="V726" i="1"/>
  <c r="AC243" i="1"/>
  <c r="X243" i="1"/>
  <c r="O243" i="1"/>
  <c r="V243" i="1"/>
  <c r="Z357" i="1"/>
  <c r="Z406" i="1" s="1"/>
  <c r="Z455" i="1" s="1"/>
  <c r="Z506" i="1" s="1"/>
  <c r="Z559" i="1" s="1"/>
  <c r="Z345" i="1"/>
  <c r="Z394" i="1" s="1"/>
  <c r="Z443" i="1" s="1"/>
  <c r="Z494" i="1" s="1"/>
  <c r="Z545" i="1" s="1"/>
  <c r="Z765" i="1"/>
  <c r="Z766" i="1" s="1"/>
  <c r="Z341" i="1"/>
  <c r="Z390" i="1" s="1"/>
  <c r="Z439" i="1" s="1"/>
  <c r="Z490" i="1" s="1"/>
  <c r="Z540" i="1" s="1"/>
  <c r="Z330" i="1"/>
  <c r="Z380" i="1" s="1"/>
  <c r="Z429" i="1" s="1"/>
  <c r="Z480" i="1" s="1"/>
  <c r="Z529" i="1" s="1"/>
  <c r="Z348" i="1"/>
  <c r="Z397" i="1" s="1"/>
  <c r="Z446" i="1" s="1"/>
  <c r="Z497" i="1" s="1"/>
  <c r="Z548" i="1" s="1"/>
  <c r="Z346" i="1"/>
  <c r="Z395" i="1" s="1"/>
  <c r="Z444" i="1" s="1"/>
  <c r="Z495" i="1" s="1"/>
  <c r="Z358" i="1"/>
  <c r="Z407" i="1" s="1"/>
  <c r="Z456" i="1" s="1"/>
  <c r="Z507" i="1" s="1"/>
  <c r="Z560" i="1" s="1"/>
  <c r="Z360" i="1"/>
  <c r="Z409" i="1" s="1"/>
  <c r="Z458" i="1" s="1"/>
  <c r="Z509" i="1" s="1"/>
  <c r="Z562" i="1" s="1"/>
  <c r="Z366" i="1"/>
  <c r="Z415" i="1" s="1"/>
  <c r="Z464" i="1" s="1"/>
  <c r="Z515" i="1" s="1"/>
  <c r="Z569" i="1" s="1"/>
  <c r="Z724" i="1"/>
  <c r="Z594" i="1"/>
  <c r="Z596" i="1" s="1"/>
  <c r="V345" i="1"/>
  <c r="V394" i="1" s="1"/>
  <c r="V443" i="1" s="1"/>
  <c r="V494" i="1" s="1"/>
  <c r="V545" i="1" s="1"/>
  <c r="V346" i="1"/>
  <c r="V395" i="1" s="1"/>
  <c r="V444" i="1" s="1"/>
  <c r="V495" i="1" s="1"/>
  <c r="V546" i="1" s="1"/>
  <c r="V370" i="1"/>
  <c r="V419" i="1" s="1"/>
  <c r="V468" i="1" s="1"/>
  <c r="V519" i="1" s="1"/>
  <c r="V573" i="1" s="1"/>
  <c r="V373" i="1"/>
  <c r="V422" i="1" s="1"/>
  <c r="V471" i="1" s="1"/>
  <c r="V522" i="1" s="1"/>
  <c r="V576" i="1" s="1"/>
  <c r="V356" i="1"/>
  <c r="V405" i="1" s="1"/>
  <c r="V454" i="1" s="1"/>
  <c r="V505" i="1" s="1"/>
  <c r="V558" i="1" s="1"/>
  <c r="V336" i="1"/>
  <c r="V386" i="1" s="1"/>
  <c r="V435" i="1" s="1"/>
  <c r="V486" i="1" s="1"/>
  <c r="V535" i="1" s="1"/>
  <c r="V372" i="1"/>
  <c r="V421" i="1" s="1"/>
  <c r="V470" i="1" s="1"/>
  <c r="V521" i="1" s="1"/>
  <c r="V575" i="1" s="1"/>
  <c r="V369" i="1"/>
  <c r="V418" i="1" s="1"/>
  <c r="V467" i="1" s="1"/>
  <c r="V367" i="1"/>
  <c r="V416" i="1" s="1"/>
  <c r="V465" i="1" s="1"/>
  <c r="V330" i="1"/>
  <c r="V380" i="1" s="1"/>
  <c r="V429" i="1" s="1"/>
  <c r="V480" i="1" s="1"/>
  <c r="V529" i="1" s="1"/>
  <c r="V361" i="1"/>
  <c r="V410" i="1" s="1"/>
  <c r="V459" i="1" s="1"/>
  <c r="V510" i="1" s="1"/>
  <c r="V563" i="1" s="1"/>
  <c r="V594" i="1"/>
  <c r="V596" i="1" s="1"/>
  <c r="S243" i="1"/>
  <c r="Z243" i="1"/>
  <c r="N243" i="1"/>
  <c r="U243" i="1"/>
  <c r="AE243" i="1"/>
  <c r="AE245" i="1" s="1"/>
  <c r="AE198" i="1" s="1"/>
  <c r="L243" i="1"/>
  <c r="AC599" i="1"/>
  <c r="AC345" i="1"/>
  <c r="AC394" i="1" s="1"/>
  <c r="AC443" i="1" s="1"/>
  <c r="AC494" i="1" s="1"/>
  <c r="AC545" i="1" s="1"/>
  <c r="AC331" i="1"/>
  <c r="AC381" i="1" s="1"/>
  <c r="AC430" i="1" s="1"/>
  <c r="AC372" i="1"/>
  <c r="AC421" i="1" s="1"/>
  <c r="AC470" i="1" s="1"/>
  <c r="AC521" i="1" s="1"/>
  <c r="AC575" i="1" s="1"/>
  <c r="AC347" i="1"/>
  <c r="AC396" i="1" s="1"/>
  <c r="AC445" i="1" s="1"/>
  <c r="AC340" i="1"/>
  <c r="AC389" i="1" s="1"/>
  <c r="AC438" i="1" s="1"/>
  <c r="AC361" i="1"/>
  <c r="AC410" i="1" s="1"/>
  <c r="AC459" i="1" s="1"/>
  <c r="AC510" i="1" s="1"/>
  <c r="AC563" i="1" s="1"/>
  <c r="AC375" i="1"/>
  <c r="AC424" i="1" s="1"/>
  <c r="AC473" i="1" s="1"/>
  <c r="AC524" i="1" s="1"/>
  <c r="AC579" i="1" s="1"/>
  <c r="AC335" i="1"/>
  <c r="AC385" i="1" s="1"/>
  <c r="AC434" i="1" s="1"/>
  <c r="AC760" i="1"/>
  <c r="AC711" i="1"/>
  <c r="Z372" i="1"/>
  <c r="Z421" i="1" s="1"/>
  <c r="Z470" i="1" s="1"/>
  <c r="Z521" i="1" s="1"/>
  <c r="Z575" i="1" s="1"/>
  <c r="Z331" i="1"/>
  <c r="Z381" i="1" s="1"/>
  <c r="Z430" i="1" s="1"/>
  <c r="Z481" i="1" s="1"/>
  <c r="Z530" i="1" s="1"/>
  <c r="Z332" i="1"/>
  <c r="Z382" i="1" s="1"/>
  <c r="Z431" i="1" s="1"/>
  <c r="Z482" i="1" s="1"/>
  <c r="Z531" i="1" s="1"/>
  <c r="Z597" i="1"/>
  <c r="Z334" i="1"/>
  <c r="Z384" i="1" s="1"/>
  <c r="Z433" i="1" s="1"/>
  <c r="Z484" i="1" s="1"/>
  <c r="Z533" i="1" s="1"/>
  <c r="Z336" i="1"/>
  <c r="Z386" i="1" s="1"/>
  <c r="Z435" i="1" s="1"/>
  <c r="Z486" i="1" s="1"/>
  <c r="Z535" i="1" s="1"/>
  <c r="Z353" i="1"/>
  <c r="Z402" i="1" s="1"/>
  <c r="Z451" i="1" s="1"/>
  <c r="Z502" i="1" s="1"/>
  <c r="Z554" i="1" s="1"/>
  <c r="Z356" i="1"/>
  <c r="Z405" i="1" s="1"/>
  <c r="Z454" i="1" s="1"/>
  <c r="Z505" i="1" s="1"/>
  <c r="Z558" i="1" s="1"/>
  <c r="Z347" i="1"/>
  <c r="Z396" i="1" s="1"/>
  <c r="Z445" i="1" s="1"/>
  <c r="Z726" i="1"/>
  <c r="V353" i="1"/>
  <c r="V402" i="1" s="1"/>
  <c r="V451" i="1" s="1"/>
  <c r="V502" i="1" s="1"/>
  <c r="V554" i="1" s="1"/>
  <c r="V348" i="1"/>
  <c r="V397" i="1" s="1"/>
  <c r="V446" i="1" s="1"/>
  <c r="V497" i="1" s="1"/>
  <c r="V548" i="1" s="1"/>
  <c r="V712" i="1"/>
  <c r="V340" i="1"/>
  <c r="V389" i="1" s="1"/>
  <c r="V438" i="1" s="1"/>
  <c r="V365" i="1"/>
  <c r="V414" i="1" s="1"/>
  <c r="V463" i="1" s="1"/>
  <c r="V514" i="1" s="1"/>
  <c r="V568" i="1" s="1"/>
  <c r="V711" i="1"/>
  <c r="V342" i="1"/>
  <c r="V391" i="1" s="1"/>
  <c r="V440" i="1" s="1"/>
  <c r="V332" i="1"/>
  <c r="V382" i="1" s="1"/>
  <c r="V431" i="1" s="1"/>
  <c r="V482" i="1" s="1"/>
  <c r="V531" i="1" s="1"/>
  <c r="V725" i="1"/>
  <c r="V331" i="1"/>
  <c r="V381" i="1" s="1"/>
  <c r="V430" i="1" s="1"/>
  <c r="G14" i="1"/>
  <c r="C86" i="3" s="1"/>
  <c r="C120" i="3" s="1"/>
  <c r="F120" i="3" s="1"/>
  <c r="R724" i="1"/>
  <c r="R365" i="1"/>
  <c r="R414" i="1" s="1"/>
  <c r="R463" i="1" s="1"/>
  <c r="R514" i="1" s="1"/>
  <c r="R568" i="1" s="1"/>
  <c r="R725" i="1"/>
  <c r="R356" i="1"/>
  <c r="R405" i="1" s="1"/>
  <c r="R454" i="1" s="1"/>
  <c r="R505" i="1" s="1"/>
  <c r="R558" i="1" s="1"/>
  <c r="R367" i="1"/>
  <c r="R416" i="1" s="1"/>
  <c r="R465" i="1" s="1"/>
  <c r="R516" i="1" s="1"/>
  <c r="R570" i="1" s="1"/>
  <c r="R726" i="1"/>
  <c r="R348" i="1"/>
  <c r="R397" i="1" s="1"/>
  <c r="R446" i="1" s="1"/>
  <c r="R332" i="1"/>
  <c r="R382" i="1" s="1"/>
  <c r="R431" i="1" s="1"/>
  <c r="R482" i="1" s="1"/>
  <c r="R531" i="1" s="1"/>
  <c r="R330" i="1"/>
  <c r="R380" i="1" s="1"/>
  <c r="R429" i="1" s="1"/>
  <c r="R480" i="1" s="1"/>
  <c r="R529" i="1" s="1"/>
  <c r="R727" i="1"/>
  <c r="P243" i="1"/>
  <c r="W243" i="1"/>
  <c r="AD243" i="1"/>
  <c r="R243" i="1"/>
  <c r="AB243" i="1"/>
  <c r="C253" i="3"/>
  <c r="L920" i="1"/>
  <c r="D374" i="3"/>
  <c r="M45" i="45"/>
  <c r="V869" i="1"/>
  <c r="Q869" i="1"/>
  <c r="AE869" i="1"/>
  <c r="D375" i="3"/>
  <c r="Y869" i="1"/>
  <c r="P869" i="1"/>
  <c r="S869" i="1"/>
  <c r="AC869" i="1"/>
  <c r="O869" i="1"/>
  <c r="R869" i="1"/>
  <c r="T869" i="1"/>
  <c r="Z869" i="1"/>
  <c r="W869" i="1"/>
  <c r="U869" i="1"/>
  <c r="X869" i="1"/>
  <c r="M869" i="1"/>
  <c r="AA869" i="1"/>
  <c r="N869" i="1"/>
  <c r="AB869" i="1"/>
  <c r="AD869" i="1"/>
  <c r="S759" i="53"/>
  <c r="S725" i="53"/>
  <c r="S726" i="53"/>
  <c r="S367" i="53"/>
  <c r="S416" i="53" s="1"/>
  <c r="S465" i="53" s="1"/>
  <c r="S516" i="53" s="1"/>
  <c r="S570" i="53" s="1"/>
  <c r="S357" i="53"/>
  <c r="S406" i="53" s="1"/>
  <c r="S455" i="53" s="1"/>
  <c r="S506" i="53" s="1"/>
  <c r="S559" i="53" s="1"/>
  <c r="S333" i="53"/>
  <c r="S383" i="53" s="1"/>
  <c r="S432" i="53" s="1"/>
  <c r="S483" i="53" s="1"/>
  <c r="S532" i="53" s="1"/>
  <c r="S356" i="53"/>
  <c r="S405" i="53" s="1"/>
  <c r="S454" i="53" s="1"/>
  <c r="S505" i="53" s="1"/>
  <c r="S558" i="53" s="1"/>
  <c r="S372" i="53"/>
  <c r="S421" i="53" s="1"/>
  <c r="S470" i="53" s="1"/>
  <c r="S521" i="53" s="1"/>
  <c r="S575" i="53" s="1"/>
  <c r="S336" i="53"/>
  <c r="S386" i="53" s="1"/>
  <c r="S435" i="53" s="1"/>
  <c r="S486" i="53" s="1"/>
  <c r="S535" i="53" s="1"/>
  <c r="S728" i="53"/>
  <c r="S362" i="53"/>
  <c r="S411" i="53" s="1"/>
  <c r="S460" i="53" s="1"/>
  <c r="S511" i="53" s="1"/>
  <c r="S564" i="53" s="1"/>
  <c r="S711" i="53"/>
  <c r="S724" i="53"/>
  <c r="S371" i="53"/>
  <c r="S420" i="53" s="1"/>
  <c r="S469" i="53" s="1"/>
  <c r="S520" i="53" s="1"/>
  <c r="S574" i="53" s="1"/>
  <c r="S368" i="53"/>
  <c r="S417" i="53" s="1"/>
  <c r="S466" i="53" s="1"/>
  <c r="S517" i="53" s="1"/>
  <c r="S571" i="53" s="1"/>
  <c r="S345" i="53"/>
  <c r="S394" i="53" s="1"/>
  <c r="S443" i="53" s="1"/>
  <c r="S494" i="53" s="1"/>
  <c r="S545" i="53" s="1"/>
  <c r="S366" i="53"/>
  <c r="S415" i="53" s="1"/>
  <c r="S464" i="53" s="1"/>
  <c r="S515" i="53" s="1"/>
  <c r="S569" i="53" s="1"/>
  <c r="S341" i="53"/>
  <c r="S390" i="53" s="1"/>
  <c r="S439" i="53" s="1"/>
  <c r="S490" i="53" s="1"/>
  <c r="S540" i="53" s="1"/>
  <c r="S348" i="53"/>
  <c r="S397" i="53" s="1"/>
  <c r="S446" i="53" s="1"/>
  <c r="S497" i="53" s="1"/>
  <c r="S548" i="53" s="1"/>
  <c r="S332" i="53"/>
  <c r="S382" i="53" s="1"/>
  <c r="S431" i="53" s="1"/>
  <c r="S482" i="53" s="1"/>
  <c r="S531" i="53" s="1"/>
  <c r="S370" i="53"/>
  <c r="S419" i="53" s="1"/>
  <c r="S468" i="53" s="1"/>
  <c r="S519" i="53" s="1"/>
  <c r="S573" i="53" s="1"/>
  <c r="S340" i="53"/>
  <c r="S389" i="53" s="1"/>
  <c r="S438" i="53" s="1"/>
  <c r="S489" i="53" s="1"/>
  <c r="S539" i="53" s="1"/>
  <c r="S727" i="53"/>
  <c r="S369" i="53"/>
  <c r="S418" i="53" s="1"/>
  <c r="S467" i="53" s="1"/>
  <c r="S518" i="53" s="1"/>
  <c r="S572" i="53" s="1"/>
  <c r="S335" i="53"/>
  <c r="S385" i="53" s="1"/>
  <c r="S434" i="53" s="1"/>
  <c r="S485" i="53" s="1"/>
  <c r="S534" i="53" s="1"/>
  <c r="S375" i="53"/>
  <c r="S424" i="53" s="1"/>
  <c r="S473" i="53" s="1"/>
  <c r="S524" i="53" s="1"/>
  <c r="S579" i="53" s="1"/>
  <c r="S330" i="53"/>
  <c r="S380" i="53" s="1"/>
  <c r="S429" i="53" s="1"/>
  <c r="S480" i="53" s="1"/>
  <c r="S529" i="53" s="1"/>
  <c r="S353" i="53"/>
  <c r="S402" i="53" s="1"/>
  <c r="S451" i="53" s="1"/>
  <c r="S502" i="53" s="1"/>
  <c r="S554" i="53" s="1"/>
  <c r="S352" i="53"/>
  <c r="S401" i="53" s="1"/>
  <c r="S450" i="53" s="1"/>
  <c r="S501" i="53" s="1"/>
  <c r="S553" i="53" s="1"/>
  <c r="S358" i="53"/>
  <c r="S407" i="53" s="1"/>
  <c r="S456" i="53" s="1"/>
  <c r="S507" i="53" s="1"/>
  <c r="S560" i="53" s="1"/>
  <c r="S712" i="53"/>
  <c r="S365" i="53"/>
  <c r="S414" i="53" s="1"/>
  <c r="S463" i="53" s="1"/>
  <c r="S514" i="53" s="1"/>
  <c r="S568" i="53" s="1"/>
  <c r="S331" i="53"/>
  <c r="S381" i="53" s="1"/>
  <c r="S430" i="53" s="1"/>
  <c r="S481" i="53" s="1"/>
  <c r="S530" i="53" s="1"/>
  <c r="S359" i="53"/>
  <c r="S408" i="53" s="1"/>
  <c r="S457" i="53" s="1"/>
  <c r="S508" i="53" s="1"/>
  <c r="S561" i="53" s="1"/>
  <c r="S351" i="53"/>
  <c r="S400" i="53" s="1"/>
  <c r="S449" i="53" s="1"/>
  <c r="S500" i="53" s="1"/>
  <c r="S552" i="53" s="1"/>
  <c r="S597" i="53"/>
  <c r="S650" i="53" s="1"/>
  <c r="S668" i="53" s="1"/>
  <c r="S684" i="53" s="1"/>
  <c r="S361" i="53"/>
  <c r="S410" i="53" s="1"/>
  <c r="S459" i="53" s="1"/>
  <c r="S510" i="53" s="1"/>
  <c r="S563" i="53" s="1"/>
  <c r="S360" i="53"/>
  <c r="S409" i="53" s="1"/>
  <c r="S458" i="53" s="1"/>
  <c r="S509" i="53" s="1"/>
  <c r="S562" i="53" s="1"/>
  <c r="S346" i="53"/>
  <c r="S395" i="53" s="1"/>
  <c r="S444" i="53" s="1"/>
  <c r="S495" i="53" s="1"/>
  <c r="S546" i="53" s="1"/>
  <c r="S342" i="53"/>
  <c r="S391" i="53" s="1"/>
  <c r="S440" i="53" s="1"/>
  <c r="S491" i="53" s="1"/>
  <c r="S541" i="53" s="1"/>
  <c r="S373" i="53"/>
  <c r="S422" i="53" s="1"/>
  <c r="S471" i="53" s="1"/>
  <c r="S522" i="53" s="1"/>
  <c r="S576" i="53" s="1"/>
  <c r="S347" i="53"/>
  <c r="S396" i="53" s="1"/>
  <c r="S445" i="53" s="1"/>
  <c r="S496" i="53" s="1"/>
  <c r="S547" i="53" s="1"/>
  <c r="S334" i="53"/>
  <c r="S384" i="53" s="1"/>
  <c r="S433" i="53" s="1"/>
  <c r="S484" i="53" s="1"/>
  <c r="S533" i="53" s="1"/>
  <c r="S594" i="53"/>
  <c r="S596" i="53" s="1"/>
  <c r="S599" i="53"/>
  <c r="S626" i="53" s="1"/>
  <c r="S661" i="53" s="1"/>
  <c r="M759" i="53"/>
  <c r="M726" i="53"/>
  <c r="M727" i="53"/>
  <c r="M366" i="53"/>
  <c r="M415" i="53" s="1"/>
  <c r="M464" i="53" s="1"/>
  <c r="M515" i="53" s="1"/>
  <c r="M569" i="53" s="1"/>
  <c r="M336" i="53"/>
  <c r="M386" i="53" s="1"/>
  <c r="M435" i="53" s="1"/>
  <c r="M486" i="53" s="1"/>
  <c r="M535" i="53" s="1"/>
  <c r="M712" i="53"/>
  <c r="M357" i="53"/>
  <c r="M406" i="53" s="1"/>
  <c r="M455" i="53" s="1"/>
  <c r="M506" i="53" s="1"/>
  <c r="M559" i="53" s="1"/>
  <c r="M342" i="53"/>
  <c r="M391" i="53" s="1"/>
  <c r="M440" i="53" s="1"/>
  <c r="M491" i="53" s="1"/>
  <c r="M541" i="53" s="1"/>
  <c r="M365" i="53"/>
  <c r="M414" i="53" s="1"/>
  <c r="M463" i="53" s="1"/>
  <c r="M514" i="53" s="1"/>
  <c r="M568" i="53" s="1"/>
  <c r="M599" i="53"/>
  <c r="M626" i="53" s="1"/>
  <c r="M661" i="53" s="1"/>
  <c r="M711" i="53"/>
  <c r="M370" i="53"/>
  <c r="M419" i="53" s="1"/>
  <c r="M468" i="53" s="1"/>
  <c r="M519" i="53" s="1"/>
  <c r="M573" i="53" s="1"/>
  <c r="M348" i="53"/>
  <c r="M397" i="53" s="1"/>
  <c r="M446" i="53" s="1"/>
  <c r="M497" i="53" s="1"/>
  <c r="M548" i="53" s="1"/>
  <c r="M332" i="53"/>
  <c r="M382" i="53" s="1"/>
  <c r="M431" i="53" s="1"/>
  <c r="M482" i="53" s="1"/>
  <c r="M531" i="53" s="1"/>
  <c r="M361" i="53"/>
  <c r="M410" i="53" s="1"/>
  <c r="M459" i="53" s="1"/>
  <c r="M510" i="53" s="1"/>
  <c r="M563" i="53" s="1"/>
  <c r="M353" i="53"/>
  <c r="M402" i="53" s="1"/>
  <c r="M451" i="53" s="1"/>
  <c r="M502" i="53" s="1"/>
  <c r="M554" i="53" s="1"/>
  <c r="M375" i="53"/>
  <c r="M424" i="53" s="1"/>
  <c r="M473" i="53" s="1"/>
  <c r="M524" i="53" s="1"/>
  <c r="M579" i="53" s="1"/>
  <c r="M725" i="53"/>
  <c r="M346" i="53"/>
  <c r="M395" i="53" s="1"/>
  <c r="M444" i="53" s="1"/>
  <c r="M495" i="53" s="1"/>
  <c r="M546" i="53" s="1"/>
  <c r="M360" i="53"/>
  <c r="M409" i="53" s="1"/>
  <c r="M458" i="53" s="1"/>
  <c r="M509" i="53" s="1"/>
  <c r="M562" i="53" s="1"/>
  <c r="M373" i="53"/>
  <c r="M422" i="53" s="1"/>
  <c r="M471" i="53" s="1"/>
  <c r="M522" i="53" s="1"/>
  <c r="M576" i="53" s="1"/>
  <c r="M333" i="53"/>
  <c r="M383" i="53" s="1"/>
  <c r="M432" i="53" s="1"/>
  <c r="M483" i="53" s="1"/>
  <c r="M532" i="53" s="1"/>
  <c r="M358" i="53"/>
  <c r="M407" i="53" s="1"/>
  <c r="M456" i="53" s="1"/>
  <c r="M507" i="53" s="1"/>
  <c r="M560" i="53" s="1"/>
  <c r="M352" i="53"/>
  <c r="M401" i="53" s="1"/>
  <c r="M450" i="53" s="1"/>
  <c r="M501" i="53" s="1"/>
  <c r="M553" i="53" s="1"/>
  <c r="M372" i="53"/>
  <c r="M421" i="53" s="1"/>
  <c r="M470" i="53" s="1"/>
  <c r="M521" i="53" s="1"/>
  <c r="M575" i="53" s="1"/>
  <c r="M334" i="53"/>
  <c r="M384" i="53" s="1"/>
  <c r="M433" i="53" s="1"/>
  <c r="M484" i="53" s="1"/>
  <c r="M533" i="53" s="1"/>
  <c r="M728" i="53"/>
  <c r="M368" i="53"/>
  <c r="M417" i="53" s="1"/>
  <c r="M466" i="53" s="1"/>
  <c r="M517" i="53" s="1"/>
  <c r="M571" i="53" s="1"/>
  <c r="M330" i="53"/>
  <c r="M380" i="53" s="1"/>
  <c r="M429" i="53" s="1"/>
  <c r="M480" i="53" s="1"/>
  <c r="M529" i="53" s="1"/>
  <c r="M351" i="53"/>
  <c r="M400" i="53" s="1"/>
  <c r="M449" i="53" s="1"/>
  <c r="M500" i="53" s="1"/>
  <c r="M552" i="53" s="1"/>
  <c r="M345" i="53"/>
  <c r="M394" i="53" s="1"/>
  <c r="M443" i="53" s="1"/>
  <c r="M494" i="53" s="1"/>
  <c r="M545" i="53" s="1"/>
  <c r="M597" i="53"/>
  <c r="M650" i="53" s="1"/>
  <c r="M668" i="53" s="1"/>
  <c r="M684" i="53" s="1"/>
  <c r="M341" i="53"/>
  <c r="M390" i="53" s="1"/>
  <c r="M439" i="53" s="1"/>
  <c r="M490" i="53" s="1"/>
  <c r="M540" i="53" s="1"/>
  <c r="M356" i="53"/>
  <c r="M405" i="53" s="1"/>
  <c r="M454" i="53" s="1"/>
  <c r="M505" i="53" s="1"/>
  <c r="M558" i="53" s="1"/>
  <c r="M331" i="53"/>
  <c r="M381" i="53" s="1"/>
  <c r="M430" i="53" s="1"/>
  <c r="M481" i="53" s="1"/>
  <c r="M530" i="53" s="1"/>
  <c r="M724" i="53"/>
  <c r="M340" i="53"/>
  <c r="M389" i="53" s="1"/>
  <c r="M438" i="53" s="1"/>
  <c r="M489" i="53" s="1"/>
  <c r="M539" i="53" s="1"/>
  <c r="M362" i="53"/>
  <c r="M411" i="53" s="1"/>
  <c r="M460" i="53" s="1"/>
  <c r="M511" i="53" s="1"/>
  <c r="M564" i="53" s="1"/>
  <c r="M335" i="53"/>
  <c r="M385" i="53" s="1"/>
  <c r="M434" i="53" s="1"/>
  <c r="M485" i="53" s="1"/>
  <c r="M534" i="53" s="1"/>
  <c r="M369" i="53"/>
  <c r="M418" i="53" s="1"/>
  <c r="M467" i="53" s="1"/>
  <c r="M518" i="53" s="1"/>
  <c r="M572" i="53" s="1"/>
  <c r="M347" i="53"/>
  <c r="M396" i="53" s="1"/>
  <c r="M445" i="53" s="1"/>
  <c r="M496" i="53" s="1"/>
  <c r="M547" i="53" s="1"/>
  <c r="M371" i="53"/>
  <c r="M420" i="53" s="1"/>
  <c r="M469" i="53" s="1"/>
  <c r="M520" i="53" s="1"/>
  <c r="M574" i="53" s="1"/>
  <c r="M367" i="53"/>
  <c r="M416" i="53" s="1"/>
  <c r="M465" i="53" s="1"/>
  <c r="M516" i="53" s="1"/>
  <c r="M570" i="53" s="1"/>
  <c r="M359" i="53"/>
  <c r="M408" i="53" s="1"/>
  <c r="M457" i="53" s="1"/>
  <c r="M508" i="53" s="1"/>
  <c r="M561" i="53" s="1"/>
  <c r="M594" i="53"/>
  <c r="M596" i="53" s="1"/>
  <c r="L759" i="53"/>
  <c r="L727" i="53"/>
  <c r="L726" i="53"/>
  <c r="L361" i="53"/>
  <c r="L410" i="53" s="1"/>
  <c r="L459" i="53" s="1"/>
  <c r="L510" i="53" s="1"/>
  <c r="L563" i="53" s="1"/>
  <c r="L371" i="53"/>
  <c r="L420" i="53" s="1"/>
  <c r="L469" i="53" s="1"/>
  <c r="L520" i="53" s="1"/>
  <c r="L574" i="53" s="1"/>
  <c r="L352" i="53"/>
  <c r="L401" i="53" s="1"/>
  <c r="L450" i="53" s="1"/>
  <c r="L501" i="53" s="1"/>
  <c r="L553" i="53" s="1"/>
  <c r="L348" i="53"/>
  <c r="L397" i="53" s="1"/>
  <c r="L446" i="53" s="1"/>
  <c r="L497" i="53" s="1"/>
  <c r="L548" i="53" s="1"/>
  <c r="L332" i="53"/>
  <c r="L382" i="53" s="1"/>
  <c r="L431" i="53" s="1"/>
  <c r="L482" i="53" s="1"/>
  <c r="L531" i="53" s="1"/>
  <c r="L360" i="53"/>
  <c r="L409" i="53" s="1"/>
  <c r="L458" i="53" s="1"/>
  <c r="L509" i="53" s="1"/>
  <c r="L562" i="53" s="1"/>
  <c r="L342" i="53"/>
  <c r="L391" i="53" s="1"/>
  <c r="L440" i="53" s="1"/>
  <c r="L491" i="53" s="1"/>
  <c r="L541" i="53" s="1"/>
  <c r="L333" i="53"/>
  <c r="L383" i="53" s="1"/>
  <c r="L432" i="53" s="1"/>
  <c r="L483" i="53" s="1"/>
  <c r="L532" i="53" s="1"/>
  <c r="L345" i="53"/>
  <c r="L394" i="53" s="1"/>
  <c r="L443" i="53" s="1"/>
  <c r="L494" i="53" s="1"/>
  <c r="L545" i="53" s="1"/>
  <c r="L712" i="53"/>
  <c r="L711" i="53"/>
  <c r="L357" i="53"/>
  <c r="L406" i="53" s="1"/>
  <c r="L455" i="53" s="1"/>
  <c r="L506" i="53" s="1"/>
  <c r="L559" i="53" s="1"/>
  <c r="L362" i="53"/>
  <c r="L411" i="53" s="1"/>
  <c r="L460" i="53" s="1"/>
  <c r="L511" i="53" s="1"/>
  <c r="L564" i="53" s="1"/>
  <c r="L369" i="53"/>
  <c r="L418" i="53" s="1"/>
  <c r="L467" i="53" s="1"/>
  <c r="L518" i="53" s="1"/>
  <c r="L572" i="53" s="1"/>
  <c r="L336" i="53"/>
  <c r="L386" i="53" s="1"/>
  <c r="L435" i="53" s="1"/>
  <c r="L486" i="53" s="1"/>
  <c r="L535" i="53" s="1"/>
  <c r="L367" i="53"/>
  <c r="L416" i="53" s="1"/>
  <c r="L465" i="53" s="1"/>
  <c r="L516" i="53" s="1"/>
  <c r="L570" i="53" s="1"/>
  <c r="L353" i="53"/>
  <c r="L402" i="53" s="1"/>
  <c r="L451" i="53" s="1"/>
  <c r="L502" i="53" s="1"/>
  <c r="L554" i="53" s="1"/>
  <c r="L372" i="53"/>
  <c r="L421" i="53" s="1"/>
  <c r="L470" i="53" s="1"/>
  <c r="L521" i="53" s="1"/>
  <c r="L575" i="53" s="1"/>
  <c r="L373" i="53"/>
  <c r="L422" i="53" s="1"/>
  <c r="L471" i="53" s="1"/>
  <c r="L522" i="53" s="1"/>
  <c r="L576" i="53" s="1"/>
  <c r="L347" i="53"/>
  <c r="L396" i="53" s="1"/>
  <c r="L445" i="53" s="1"/>
  <c r="L496" i="53" s="1"/>
  <c r="L547" i="53" s="1"/>
  <c r="L599" i="53"/>
  <c r="L626" i="53" s="1"/>
  <c r="L661" i="53" s="1"/>
  <c r="L358" i="53"/>
  <c r="L407" i="53" s="1"/>
  <c r="L456" i="53" s="1"/>
  <c r="L507" i="53" s="1"/>
  <c r="L560" i="53" s="1"/>
  <c r="L334" i="53"/>
  <c r="L384" i="53" s="1"/>
  <c r="L433" i="53" s="1"/>
  <c r="L484" i="53" s="1"/>
  <c r="L533" i="53" s="1"/>
  <c r="L351" i="53"/>
  <c r="L400" i="53" s="1"/>
  <c r="L449" i="53" s="1"/>
  <c r="L500" i="53" s="1"/>
  <c r="L552" i="53" s="1"/>
  <c r="L365" i="53"/>
  <c r="L414" i="53" s="1"/>
  <c r="L463" i="53" s="1"/>
  <c r="L514" i="53" s="1"/>
  <c r="L568" i="53" s="1"/>
  <c r="L370" i="53"/>
  <c r="L419" i="53" s="1"/>
  <c r="L468" i="53" s="1"/>
  <c r="L519" i="53" s="1"/>
  <c r="L573" i="53" s="1"/>
  <c r="L356" i="53"/>
  <c r="L405" i="53" s="1"/>
  <c r="L454" i="53" s="1"/>
  <c r="L505" i="53" s="1"/>
  <c r="L558" i="53" s="1"/>
  <c r="L725" i="53"/>
  <c r="L359" i="53"/>
  <c r="L408" i="53" s="1"/>
  <c r="L457" i="53" s="1"/>
  <c r="L508" i="53" s="1"/>
  <c r="L561" i="53" s="1"/>
  <c r="L341" i="53"/>
  <c r="L390" i="53" s="1"/>
  <c r="L439" i="53" s="1"/>
  <c r="L490" i="53" s="1"/>
  <c r="L540" i="53" s="1"/>
  <c r="L330" i="53"/>
  <c r="L380" i="53" s="1"/>
  <c r="L429" i="53" s="1"/>
  <c r="L480" i="53" s="1"/>
  <c r="L529" i="53" s="1"/>
  <c r="L340" i="53"/>
  <c r="L389" i="53" s="1"/>
  <c r="L438" i="53" s="1"/>
  <c r="L489" i="53" s="1"/>
  <c r="L539" i="53" s="1"/>
  <c r="L375" i="53"/>
  <c r="L424" i="53" s="1"/>
  <c r="L473" i="53" s="1"/>
  <c r="L524" i="53" s="1"/>
  <c r="L579" i="53" s="1"/>
  <c r="L728" i="53"/>
  <c r="L597" i="53"/>
  <c r="L650" i="53" s="1"/>
  <c r="L668" i="53" s="1"/>
  <c r="L684" i="53" s="1"/>
  <c r="L368" i="53"/>
  <c r="L417" i="53" s="1"/>
  <c r="L466" i="53" s="1"/>
  <c r="L517" i="53" s="1"/>
  <c r="L571" i="53" s="1"/>
  <c r="L366" i="53"/>
  <c r="L415" i="53" s="1"/>
  <c r="L464" i="53" s="1"/>
  <c r="L515" i="53" s="1"/>
  <c r="L569" i="53" s="1"/>
  <c r="L335" i="53"/>
  <c r="L385" i="53" s="1"/>
  <c r="L434" i="53" s="1"/>
  <c r="L485" i="53" s="1"/>
  <c r="L534" i="53" s="1"/>
  <c r="L724" i="53"/>
  <c r="L346" i="53"/>
  <c r="L395" i="53" s="1"/>
  <c r="L444" i="53" s="1"/>
  <c r="L495" i="53" s="1"/>
  <c r="L546" i="53" s="1"/>
  <c r="L331" i="53"/>
  <c r="L381" i="53" s="1"/>
  <c r="L430" i="53" s="1"/>
  <c r="L481" i="53" s="1"/>
  <c r="L530" i="53" s="1"/>
  <c r="L594" i="53"/>
  <c r="L596" i="53" s="1"/>
  <c r="R759" i="53"/>
  <c r="R711" i="53"/>
  <c r="R597" i="53"/>
  <c r="R650" i="53" s="1"/>
  <c r="R668" i="53" s="1"/>
  <c r="R684" i="53" s="1"/>
  <c r="R358" i="53"/>
  <c r="R407" i="53" s="1"/>
  <c r="R456" i="53" s="1"/>
  <c r="R507" i="53" s="1"/>
  <c r="R560" i="53" s="1"/>
  <c r="R353" i="53"/>
  <c r="R402" i="53" s="1"/>
  <c r="R451" i="53" s="1"/>
  <c r="R502" i="53" s="1"/>
  <c r="R554" i="53" s="1"/>
  <c r="R368" i="53"/>
  <c r="R417" i="53" s="1"/>
  <c r="R466" i="53" s="1"/>
  <c r="R517" i="53" s="1"/>
  <c r="R571" i="53" s="1"/>
  <c r="R347" i="53"/>
  <c r="R396" i="53" s="1"/>
  <c r="R445" i="53" s="1"/>
  <c r="R496" i="53" s="1"/>
  <c r="R547" i="53" s="1"/>
  <c r="R331" i="53"/>
  <c r="R381" i="53" s="1"/>
  <c r="R430" i="53" s="1"/>
  <c r="R481" i="53" s="1"/>
  <c r="R530" i="53" s="1"/>
  <c r="R352" i="53"/>
  <c r="R401" i="53" s="1"/>
  <c r="R450" i="53" s="1"/>
  <c r="R501" i="53" s="1"/>
  <c r="R553" i="53" s="1"/>
  <c r="R346" i="53"/>
  <c r="R395" i="53" s="1"/>
  <c r="R444" i="53" s="1"/>
  <c r="R495" i="53" s="1"/>
  <c r="R546" i="53" s="1"/>
  <c r="R336" i="53"/>
  <c r="R386" i="53" s="1"/>
  <c r="R435" i="53" s="1"/>
  <c r="R486" i="53" s="1"/>
  <c r="R535" i="53" s="1"/>
  <c r="R726" i="53"/>
  <c r="R725" i="53"/>
  <c r="R362" i="53"/>
  <c r="R411" i="53" s="1"/>
  <c r="R460" i="53" s="1"/>
  <c r="R511" i="53" s="1"/>
  <c r="R564" i="53" s="1"/>
  <c r="R370" i="53"/>
  <c r="R419" i="53" s="1"/>
  <c r="R468" i="53" s="1"/>
  <c r="R519" i="53" s="1"/>
  <c r="R573" i="53" s="1"/>
  <c r="R342" i="53"/>
  <c r="R391" i="53" s="1"/>
  <c r="R440" i="53" s="1"/>
  <c r="R491" i="53" s="1"/>
  <c r="R541" i="53" s="1"/>
  <c r="R361" i="53"/>
  <c r="R410" i="53" s="1"/>
  <c r="R459" i="53" s="1"/>
  <c r="R510" i="53" s="1"/>
  <c r="R563" i="53" s="1"/>
  <c r="R335" i="53"/>
  <c r="R385" i="53" s="1"/>
  <c r="R434" i="53" s="1"/>
  <c r="R485" i="53" s="1"/>
  <c r="R534" i="53" s="1"/>
  <c r="R366" i="53"/>
  <c r="R415" i="53" s="1"/>
  <c r="R464" i="53" s="1"/>
  <c r="R515" i="53" s="1"/>
  <c r="R569" i="53" s="1"/>
  <c r="R371" i="53"/>
  <c r="R420" i="53" s="1"/>
  <c r="R469" i="53" s="1"/>
  <c r="R520" i="53" s="1"/>
  <c r="R574" i="53" s="1"/>
  <c r="R332" i="53"/>
  <c r="R382" i="53" s="1"/>
  <c r="R431" i="53" s="1"/>
  <c r="R482" i="53" s="1"/>
  <c r="R531" i="53" s="1"/>
  <c r="R334" i="53"/>
  <c r="R384" i="53" s="1"/>
  <c r="R433" i="53" s="1"/>
  <c r="R484" i="53" s="1"/>
  <c r="R533" i="53" s="1"/>
  <c r="R712" i="53"/>
  <c r="R369" i="53"/>
  <c r="R418" i="53" s="1"/>
  <c r="R467" i="53" s="1"/>
  <c r="R518" i="53" s="1"/>
  <c r="R572" i="53" s="1"/>
  <c r="R357" i="53"/>
  <c r="R406" i="53" s="1"/>
  <c r="R455" i="53" s="1"/>
  <c r="R506" i="53" s="1"/>
  <c r="R559" i="53" s="1"/>
  <c r="R365" i="53"/>
  <c r="R414" i="53" s="1"/>
  <c r="R463" i="53" s="1"/>
  <c r="R514" i="53" s="1"/>
  <c r="R568" i="53" s="1"/>
  <c r="R330" i="53"/>
  <c r="R380" i="53" s="1"/>
  <c r="R429" i="53" s="1"/>
  <c r="R480" i="53" s="1"/>
  <c r="R529" i="53" s="1"/>
  <c r="R728" i="53"/>
  <c r="R375" i="53"/>
  <c r="R424" i="53" s="1"/>
  <c r="R473" i="53" s="1"/>
  <c r="R524" i="53" s="1"/>
  <c r="R579" i="53" s="1"/>
  <c r="R351" i="53"/>
  <c r="R400" i="53" s="1"/>
  <c r="R449" i="53" s="1"/>
  <c r="R500" i="53" s="1"/>
  <c r="R552" i="53" s="1"/>
  <c r="R345" i="53"/>
  <c r="R394" i="53" s="1"/>
  <c r="R443" i="53" s="1"/>
  <c r="R494" i="53" s="1"/>
  <c r="R545" i="53" s="1"/>
  <c r="R341" i="53"/>
  <c r="R390" i="53" s="1"/>
  <c r="R439" i="53" s="1"/>
  <c r="R490" i="53" s="1"/>
  <c r="R540" i="53" s="1"/>
  <c r="R372" i="53"/>
  <c r="R421" i="53" s="1"/>
  <c r="R470" i="53" s="1"/>
  <c r="R521" i="53" s="1"/>
  <c r="R575" i="53" s="1"/>
  <c r="R724" i="53"/>
  <c r="R360" i="53"/>
  <c r="R409" i="53" s="1"/>
  <c r="R458" i="53" s="1"/>
  <c r="R509" i="53" s="1"/>
  <c r="R562" i="53" s="1"/>
  <c r="R340" i="53"/>
  <c r="R389" i="53" s="1"/>
  <c r="R438" i="53" s="1"/>
  <c r="R489" i="53" s="1"/>
  <c r="R539" i="53" s="1"/>
  <c r="R333" i="53"/>
  <c r="R383" i="53" s="1"/>
  <c r="R432" i="53" s="1"/>
  <c r="R483" i="53" s="1"/>
  <c r="R532" i="53" s="1"/>
  <c r="R348" i="53"/>
  <c r="R397" i="53" s="1"/>
  <c r="R446" i="53" s="1"/>
  <c r="R497" i="53" s="1"/>
  <c r="R548" i="53" s="1"/>
  <c r="R727" i="53"/>
  <c r="R359" i="53"/>
  <c r="R408" i="53" s="1"/>
  <c r="R457" i="53" s="1"/>
  <c r="R508" i="53" s="1"/>
  <c r="R561" i="53" s="1"/>
  <c r="R356" i="53"/>
  <c r="R405" i="53" s="1"/>
  <c r="R454" i="53" s="1"/>
  <c r="R505" i="53" s="1"/>
  <c r="R558" i="53" s="1"/>
  <c r="R367" i="53"/>
  <c r="R416" i="53" s="1"/>
  <c r="R465" i="53" s="1"/>
  <c r="R516" i="53" s="1"/>
  <c r="R570" i="53" s="1"/>
  <c r="R373" i="53"/>
  <c r="R422" i="53" s="1"/>
  <c r="R471" i="53" s="1"/>
  <c r="R522" i="53" s="1"/>
  <c r="R576" i="53" s="1"/>
  <c r="R599" i="53"/>
  <c r="R626" i="53" s="1"/>
  <c r="R661" i="53" s="1"/>
  <c r="R594" i="53"/>
  <c r="R596" i="53" s="1"/>
  <c r="I759" i="53"/>
  <c r="I712" i="53"/>
  <c r="I371" i="53"/>
  <c r="I420" i="53" s="1"/>
  <c r="I469" i="53" s="1"/>
  <c r="I520" i="53" s="1"/>
  <c r="I574" i="53" s="1"/>
  <c r="I342" i="53"/>
  <c r="I391" i="53" s="1"/>
  <c r="I440" i="53" s="1"/>
  <c r="I491" i="53" s="1"/>
  <c r="I541" i="53" s="1"/>
  <c r="I369" i="53"/>
  <c r="I418" i="53" s="1"/>
  <c r="I467" i="53" s="1"/>
  <c r="I518" i="53" s="1"/>
  <c r="I572" i="53" s="1"/>
  <c r="I341" i="53"/>
  <c r="I390" i="53" s="1"/>
  <c r="I439" i="53" s="1"/>
  <c r="I490" i="53" s="1"/>
  <c r="I540" i="53" s="1"/>
  <c r="I373" i="53"/>
  <c r="I422" i="53" s="1"/>
  <c r="I471" i="53" s="1"/>
  <c r="I522" i="53" s="1"/>
  <c r="I576" i="53" s="1"/>
  <c r="I346" i="53"/>
  <c r="I395" i="53" s="1"/>
  <c r="I444" i="53" s="1"/>
  <c r="I495" i="53" s="1"/>
  <c r="I546" i="53" s="1"/>
  <c r="I351" i="53"/>
  <c r="I400" i="53" s="1"/>
  <c r="I449" i="53" s="1"/>
  <c r="I500" i="53" s="1"/>
  <c r="I552" i="53" s="1"/>
  <c r="I345" i="53"/>
  <c r="I394" i="53" s="1"/>
  <c r="I443" i="53" s="1"/>
  <c r="I494" i="53" s="1"/>
  <c r="I545" i="53" s="1"/>
  <c r="I366" i="53"/>
  <c r="I415" i="53" s="1"/>
  <c r="I464" i="53" s="1"/>
  <c r="I515" i="53" s="1"/>
  <c r="I569" i="53" s="1"/>
  <c r="I360" i="53"/>
  <c r="I409" i="53" s="1"/>
  <c r="I458" i="53" s="1"/>
  <c r="I509" i="53" s="1"/>
  <c r="I562" i="53" s="1"/>
  <c r="I727" i="53"/>
  <c r="I365" i="53"/>
  <c r="I414" i="53" s="1"/>
  <c r="I463" i="53" s="1"/>
  <c r="I514" i="53" s="1"/>
  <c r="I568" i="53" s="1"/>
  <c r="I333" i="53"/>
  <c r="I383" i="53" s="1"/>
  <c r="I432" i="53" s="1"/>
  <c r="I483" i="53" s="1"/>
  <c r="I532" i="53" s="1"/>
  <c r="I362" i="53"/>
  <c r="I411" i="53" s="1"/>
  <c r="I460" i="53" s="1"/>
  <c r="I511" i="53" s="1"/>
  <c r="I564" i="53" s="1"/>
  <c r="I336" i="53"/>
  <c r="I386" i="53" s="1"/>
  <c r="I435" i="53" s="1"/>
  <c r="I486" i="53" s="1"/>
  <c r="I535" i="53" s="1"/>
  <c r="I368" i="53"/>
  <c r="I417" i="53" s="1"/>
  <c r="I466" i="53" s="1"/>
  <c r="I517" i="53" s="1"/>
  <c r="I571" i="53" s="1"/>
  <c r="I340" i="53"/>
  <c r="I389" i="53" s="1"/>
  <c r="I438" i="53" s="1"/>
  <c r="I489" i="53" s="1"/>
  <c r="I539" i="53" s="1"/>
  <c r="I334" i="53"/>
  <c r="I384" i="53" s="1"/>
  <c r="I433" i="53" s="1"/>
  <c r="I484" i="53" s="1"/>
  <c r="I533" i="53" s="1"/>
  <c r="I330" i="53"/>
  <c r="I380" i="53" s="1"/>
  <c r="I429" i="53" s="1"/>
  <c r="I480" i="53" s="1"/>
  <c r="I529" i="53" s="1"/>
  <c r="I356" i="53"/>
  <c r="I405" i="53" s="1"/>
  <c r="I454" i="53" s="1"/>
  <c r="I505" i="53" s="1"/>
  <c r="I558" i="53" s="1"/>
  <c r="I728" i="53"/>
  <c r="I711" i="53"/>
  <c r="I357" i="53"/>
  <c r="I406" i="53" s="1"/>
  <c r="I455" i="53" s="1"/>
  <c r="I506" i="53" s="1"/>
  <c r="I559" i="53" s="1"/>
  <c r="I597" i="53"/>
  <c r="I650" i="53" s="1"/>
  <c r="I668" i="53" s="1"/>
  <c r="I684" i="53" s="1"/>
  <c r="I353" i="53"/>
  <c r="I402" i="53" s="1"/>
  <c r="I451" i="53" s="1"/>
  <c r="I502" i="53" s="1"/>
  <c r="I554" i="53" s="1"/>
  <c r="I332" i="53"/>
  <c r="I382" i="53" s="1"/>
  <c r="I431" i="53" s="1"/>
  <c r="I482" i="53" s="1"/>
  <c r="I531" i="53" s="1"/>
  <c r="I361" i="53"/>
  <c r="I410" i="53" s="1"/>
  <c r="I459" i="53" s="1"/>
  <c r="I510" i="53" s="1"/>
  <c r="I563" i="53" s="1"/>
  <c r="I335" i="53"/>
  <c r="I385" i="53" s="1"/>
  <c r="I434" i="53" s="1"/>
  <c r="I485" i="53" s="1"/>
  <c r="I534" i="53" s="1"/>
  <c r="I725" i="53"/>
  <c r="I367" i="53"/>
  <c r="I416" i="53" s="1"/>
  <c r="I465" i="53" s="1"/>
  <c r="I516" i="53" s="1"/>
  <c r="I570" i="53" s="1"/>
  <c r="I359" i="53"/>
  <c r="I408" i="53" s="1"/>
  <c r="I457" i="53" s="1"/>
  <c r="I508" i="53" s="1"/>
  <c r="I561" i="53" s="1"/>
  <c r="I724" i="53"/>
  <c r="I599" i="53"/>
  <c r="I626" i="53" s="1"/>
  <c r="I661" i="53" s="1"/>
  <c r="I348" i="53"/>
  <c r="I397" i="53" s="1"/>
  <c r="I446" i="53" s="1"/>
  <c r="I497" i="53" s="1"/>
  <c r="I548" i="53" s="1"/>
  <c r="I375" i="53"/>
  <c r="I424" i="53" s="1"/>
  <c r="I473" i="53" s="1"/>
  <c r="I524" i="53" s="1"/>
  <c r="I579" i="53" s="1"/>
  <c r="I347" i="53"/>
  <c r="I396" i="53" s="1"/>
  <c r="I445" i="53" s="1"/>
  <c r="I496" i="53" s="1"/>
  <c r="I547" i="53" s="1"/>
  <c r="I726" i="53"/>
  <c r="I352" i="53"/>
  <c r="I401" i="53" s="1"/>
  <c r="I450" i="53" s="1"/>
  <c r="I501" i="53" s="1"/>
  <c r="I553" i="53" s="1"/>
  <c r="I331" i="53"/>
  <c r="I381" i="53" s="1"/>
  <c r="I430" i="53" s="1"/>
  <c r="I481" i="53" s="1"/>
  <c r="I530" i="53" s="1"/>
  <c r="I372" i="53"/>
  <c r="I421" i="53" s="1"/>
  <c r="I470" i="53" s="1"/>
  <c r="I521" i="53" s="1"/>
  <c r="I575" i="53" s="1"/>
  <c r="I358" i="53"/>
  <c r="I407" i="53" s="1"/>
  <c r="I456" i="53" s="1"/>
  <c r="I507" i="53" s="1"/>
  <c r="I560" i="53" s="1"/>
  <c r="I370" i="53"/>
  <c r="I419" i="53" s="1"/>
  <c r="I468" i="53" s="1"/>
  <c r="I519" i="53" s="1"/>
  <c r="I573" i="53" s="1"/>
  <c r="G14" i="53"/>
  <c r="I594" i="53"/>
  <c r="I596" i="53" s="1"/>
  <c r="P766" i="1"/>
  <c r="P790" i="1" s="1"/>
  <c r="AD112" i="1"/>
  <c r="AD119" i="1" s="1"/>
  <c r="AD737" i="1" s="1"/>
  <c r="W108" i="1"/>
  <c r="T104" i="1"/>
  <c r="T650" i="1" s="1"/>
  <c r="T668" i="1" s="1"/>
  <c r="T684" i="1" s="1"/>
  <c r="AA104" i="1"/>
  <c r="AA629" i="1" s="1"/>
  <c r="AA669" i="1" s="1"/>
  <c r="AA685" i="1" s="1"/>
  <c r="AA113" i="1"/>
  <c r="AA120" i="1" s="1"/>
  <c r="AA748" i="1" s="1"/>
  <c r="AA751" i="1" s="1"/>
  <c r="R237" i="53"/>
  <c r="R197" i="53" s="1"/>
  <c r="H2" i="49"/>
  <c r="U108" i="1"/>
  <c r="U104" i="1"/>
  <c r="U682" i="1" s="1"/>
  <c r="U112" i="1"/>
  <c r="AB104" i="1"/>
  <c r="AB678" i="1" s="1"/>
  <c r="AB108" i="1"/>
  <c r="AB119" i="1" s="1"/>
  <c r="AB737" i="1" s="1"/>
  <c r="M3" i="1"/>
  <c r="L915" i="1"/>
  <c r="L925" i="1"/>
  <c r="T237" i="53"/>
  <c r="T197" i="53" s="1"/>
  <c r="AD109" i="1"/>
  <c r="AD120" i="1" s="1"/>
  <c r="AD748" i="1" s="1"/>
  <c r="AD751" i="1" s="1"/>
  <c r="V113" i="1"/>
  <c r="S237" i="53"/>
  <c r="S197" i="53" s="1"/>
  <c r="J237" i="53"/>
  <c r="J197" i="53" s="1"/>
  <c r="N237" i="53"/>
  <c r="N197" i="53" s="1"/>
  <c r="M237" i="53"/>
  <c r="M197" i="53" s="1"/>
  <c r="U237" i="53"/>
  <c r="U197" i="53" s="1"/>
  <c r="L1285" i="1"/>
  <c r="L1277" i="1" s="1"/>
  <c r="J424" i="1"/>
  <c r="J473" i="1" s="1"/>
  <c r="J524" i="1" s="1"/>
  <c r="M664" i="53"/>
  <c r="M680" i="53" s="1"/>
  <c r="R664" i="53"/>
  <c r="R680" i="53" s="1"/>
  <c r="I54" i="1"/>
  <c r="I61" i="1"/>
  <c r="G191" i="53"/>
  <c r="I230" i="53"/>
  <c r="I235" i="53"/>
  <c r="I919" i="53"/>
  <c r="I920" i="53" s="1"/>
  <c r="Q664" i="53"/>
  <c r="Q680" i="53" s="1"/>
  <c r="S664" i="53"/>
  <c r="S680" i="53" s="1"/>
  <c r="V664" i="53"/>
  <c r="V680" i="53" s="1"/>
  <c r="I664" i="53"/>
  <c r="I680" i="53" s="1"/>
  <c r="L237" i="53"/>
  <c r="L197" i="53" s="1"/>
  <c r="I22" i="1"/>
  <c r="I25" i="1"/>
  <c r="J66" i="1"/>
  <c r="J58" i="1"/>
  <c r="J51" i="1" s="1"/>
  <c r="AD104" i="1"/>
  <c r="X112" i="1"/>
  <c r="X119" i="1" s="1"/>
  <c r="X737" i="1" s="1"/>
  <c r="O664" i="53"/>
  <c r="O680" i="53" s="1"/>
  <c r="N664" i="53"/>
  <c r="N680" i="53" s="1"/>
  <c r="G638" i="53"/>
  <c r="K664" i="53"/>
  <c r="G642" i="53"/>
  <c r="K666" i="53"/>
  <c r="Q237" i="53"/>
  <c r="Q197" i="53" s="1"/>
  <c r="I424" i="1"/>
  <c r="I473" i="1" s="1"/>
  <c r="I524" i="1" s="1"/>
  <c r="L664" i="53"/>
  <c r="L680" i="53" s="1"/>
  <c r="J664" i="53"/>
  <c r="J680" i="53" s="1"/>
  <c r="W112" i="1"/>
  <c r="V237" i="53"/>
  <c r="V197" i="53" s="1"/>
  <c r="O237" i="53"/>
  <c r="O197" i="53" s="1"/>
  <c r="T664" i="53"/>
  <c r="T680" i="53" s="1"/>
  <c r="U664" i="53"/>
  <c r="U680" i="53" s="1"/>
  <c r="P664" i="53"/>
  <c r="P680" i="53" s="1"/>
  <c r="I196" i="1"/>
  <c r="K237" i="53"/>
  <c r="K197" i="53" s="1"/>
  <c r="P237" i="53"/>
  <c r="P197" i="53" s="1"/>
  <c r="W104" i="1"/>
  <c r="W146" i="1" s="1"/>
  <c r="W251" i="1" s="1"/>
  <c r="W924" i="1" s="1"/>
  <c r="W925" i="1" s="1"/>
  <c r="W927" i="1" s="1"/>
  <c r="AC678" i="1"/>
  <c r="T112" i="1"/>
  <c r="T119" i="1" s="1"/>
  <c r="T737" i="1" s="1"/>
  <c r="AC682" i="1"/>
  <c r="S104" i="1"/>
  <c r="S629" i="1" s="1"/>
  <c r="S669" i="1" s="1"/>
  <c r="S685" i="1" s="1"/>
  <c r="O112" i="1"/>
  <c r="V104" i="1"/>
  <c r="V634" i="1" s="1"/>
  <c r="V663" i="1" s="1"/>
  <c r="V679" i="1" s="1"/>
  <c r="X104" i="1"/>
  <c r="AE104" i="1"/>
  <c r="O104" i="1"/>
  <c r="O147" i="1" s="1"/>
  <c r="O261" i="1" s="1"/>
  <c r="O615" i="1" s="1"/>
  <c r="O659" i="1" s="1"/>
  <c r="O675" i="1" s="1"/>
  <c r="AE108" i="1"/>
  <c r="AE119" i="1" s="1"/>
  <c r="AE737" i="1" s="1"/>
  <c r="X109" i="1"/>
  <c r="R104" i="1"/>
  <c r="R124" i="1" s="1"/>
  <c r="R136" i="1" s="1"/>
  <c r="N104" i="1"/>
  <c r="N634" i="1" s="1"/>
  <c r="N663" i="1" s="1"/>
  <c r="N679" i="1" s="1"/>
  <c r="Z104" i="1"/>
  <c r="Z113" i="1"/>
  <c r="Z120" i="1" s="1"/>
  <c r="Z112" i="1"/>
  <c r="Z119" i="1" s="1"/>
  <c r="Z737" i="1" s="1"/>
  <c r="S113" i="1"/>
  <c r="S120" i="1" s="1"/>
  <c r="S112" i="1"/>
  <c r="S119" i="1" s="1"/>
  <c r="S737" i="1" s="1"/>
  <c r="R112" i="1"/>
  <c r="R113" i="1"/>
  <c r="R120" i="1" s="1"/>
  <c r="R748" i="1" s="1"/>
  <c r="R751" i="1" s="1"/>
  <c r="I218" i="3"/>
  <c r="J185" i="3"/>
  <c r="T185" i="3"/>
  <c r="E10" i="46"/>
  <c r="D11" i="46"/>
  <c r="S334" i="3"/>
  <c r="S345" i="3" s="1"/>
  <c r="S355" i="3" s="1"/>
  <c r="T324" i="3"/>
  <c r="I286" i="3"/>
  <c r="S286" i="3"/>
  <c r="P430" i="1"/>
  <c r="P481" i="1" s="1"/>
  <c r="P530" i="1" s="1"/>
  <c r="P553" i="1"/>
  <c r="P579" i="1"/>
  <c r="P535" i="1"/>
  <c r="L196" i="1"/>
  <c r="P451" i="1"/>
  <c r="P502" i="1" s="1"/>
  <c r="P554" i="1" s="1"/>
  <c r="AB196" i="1"/>
  <c r="W196" i="1"/>
  <c r="AC120" i="1"/>
  <c r="O61" i="1"/>
  <c r="AE120" i="1"/>
  <c r="U120" i="1"/>
  <c r="U748" i="1" s="1"/>
  <c r="U751" i="1" s="1"/>
  <c r="W120" i="1"/>
  <c r="Y120" i="1"/>
  <c r="V119" i="1"/>
  <c r="V737" i="1" s="1"/>
  <c r="N120" i="1"/>
  <c r="N748" i="1" s="1"/>
  <c r="N751" i="1" s="1"/>
  <c r="P120" i="1"/>
  <c r="O120" i="1"/>
  <c r="P64" i="1"/>
  <c r="P133" i="1"/>
  <c r="V64" i="1"/>
  <c r="V22" i="1" s="1"/>
  <c r="AE64" i="1"/>
  <c r="AE133" i="1"/>
  <c r="L64" i="1"/>
  <c r="L22" i="1" s="1"/>
  <c r="AD64" i="1"/>
  <c r="AD22" i="1" s="1"/>
  <c r="AD133" i="1"/>
  <c r="Q64" i="1"/>
  <c r="Q133" i="1"/>
  <c r="N64" i="1"/>
  <c r="N133" i="1"/>
  <c r="U64" i="1"/>
  <c r="U133" i="1"/>
  <c r="M1155" i="1"/>
  <c r="AC64" i="1"/>
  <c r="AC133" i="1"/>
  <c r="H2" i="4"/>
  <c r="AB64" i="1"/>
  <c r="M64" i="1"/>
  <c r="M133" i="1"/>
  <c r="O64" i="1"/>
  <c r="O133" i="1"/>
  <c r="Y64" i="1"/>
  <c r="Y133" i="1"/>
  <c r="S64" i="1"/>
  <c r="X64" i="1"/>
  <c r="X22" i="1" s="1"/>
  <c r="X133" i="1"/>
  <c r="Z64" i="1"/>
  <c r="T64" i="1"/>
  <c r="T133" i="1"/>
  <c r="W64" i="1"/>
  <c r="W133" i="1"/>
  <c r="M1206" i="1"/>
  <c r="M1880" i="1" s="1"/>
  <c r="N2" i="1"/>
  <c r="M1389" i="1"/>
  <c r="M1427" i="1" s="1"/>
  <c r="L1880" i="1"/>
  <c r="U61" i="1"/>
  <c r="R196" i="1"/>
  <c r="AB61" i="1"/>
  <c r="Y61" i="1"/>
  <c r="S61" i="1"/>
  <c r="X61" i="1"/>
  <c r="V61" i="1"/>
  <c r="L61" i="1"/>
  <c r="R58" i="1"/>
  <c r="R66" i="1"/>
  <c r="R25" i="1" s="1"/>
  <c r="AC54" i="1"/>
  <c r="AC61" i="1"/>
  <c r="T61" i="1"/>
  <c r="W61" i="1"/>
  <c r="K64" i="1"/>
  <c r="K22" i="1" s="1"/>
  <c r="AA58" i="1"/>
  <c r="AA66" i="1"/>
  <c r="AA25" i="1" s="1"/>
  <c r="AD61" i="1"/>
  <c r="AD54" i="1"/>
  <c r="E54" i="43"/>
  <c r="E55" i="43" s="1"/>
  <c r="N196" i="1"/>
  <c r="S196" i="1"/>
  <c r="P540" i="1"/>
  <c r="P729" i="1"/>
  <c r="P734" i="1" s="1"/>
  <c r="P443" i="1"/>
  <c r="P494" i="1" s="1"/>
  <c r="P545" i="1" s="1"/>
  <c r="P549" i="1" s="1"/>
  <c r="P440" i="1"/>
  <c r="P491" i="1" s="1"/>
  <c r="P541" i="1" s="1"/>
  <c r="Y196" i="1"/>
  <c r="P558" i="1"/>
  <c r="P196" i="1"/>
  <c r="AA766" i="1"/>
  <c r="AB766" i="1"/>
  <c r="AB790" i="1" s="1"/>
  <c r="Q196" i="1"/>
  <c r="T761" i="1"/>
  <c r="T769" i="1"/>
  <c r="Q766" i="1"/>
  <c r="X766" i="1"/>
  <c r="P761" i="1"/>
  <c r="P789" i="1" s="1"/>
  <c r="P769" i="1"/>
  <c r="Q761" i="1"/>
  <c r="Q769" i="1"/>
  <c r="F42" i="4"/>
  <c r="F65" i="4" s="1"/>
  <c r="G5" i="4"/>
  <c r="AC641" i="1"/>
  <c r="AC665" i="1" s="1"/>
  <c r="AC681" i="1" s="1"/>
  <c r="AC145" i="1"/>
  <c r="AC191" i="1" s="1"/>
  <c r="AC634" i="1"/>
  <c r="AC663" i="1" s="1"/>
  <c r="AC679" i="1" s="1"/>
  <c r="AC649" i="1"/>
  <c r="AC667" i="1" s="1"/>
  <c r="AC683" i="1" s="1"/>
  <c r="AC635" i="1"/>
  <c r="AC629" i="1"/>
  <c r="AC669" i="1" s="1"/>
  <c r="AC685" i="1" s="1"/>
  <c r="AC146" i="1"/>
  <c r="AC251" i="1" s="1"/>
  <c r="AC147" i="1"/>
  <c r="AC261" i="1" s="1"/>
  <c r="AC615" i="1" s="1"/>
  <c r="AC659" i="1" s="1"/>
  <c r="AC675" i="1" s="1"/>
  <c r="AC637" i="1"/>
  <c r="AC124" i="1"/>
  <c r="AC136" i="1" s="1"/>
  <c r="AC636" i="1"/>
  <c r="B708" i="1"/>
  <c r="B785" i="1"/>
  <c r="B801" i="1" s="1"/>
  <c r="B809" i="1" s="1"/>
  <c r="B249" i="1"/>
  <c r="B259" i="1" s="1"/>
  <c r="B215" i="1"/>
  <c r="B239" i="1" s="1"/>
  <c r="M1" i="1"/>
  <c r="U196" i="1"/>
  <c r="X196" i="1"/>
  <c r="F54" i="43"/>
  <c r="F55" i="43" s="1"/>
  <c r="G5" i="49"/>
  <c r="F42" i="49"/>
  <c r="F65" i="49" s="1"/>
  <c r="O196" i="1"/>
  <c r="T196" i="1"/>
  <c r="Z196" i="1"/>
  <c r="M196" i="1"/>
  <c r="AE196" i="1"/>
  <c r="V196" i="1"/>
  <c r="P573" i="1"/>
  <c r="P463" i="1"/>
  <c r="P514" i="1" s="1"/>
  <c r="P568" i="1" s="1"/>
  <c r="P770" i="1"/>
  <c r="N541" i="1"/>
  <c r="K196" i="1"/>
  <c r="AD196" i="1"/>
  <c r="AC196" i="1"/>
  <c r="G56" i="1"/>
  <c r="E56" i="1" s="1"/>
  <c r="AA196" i="1"/>
  <c r="P518" i="1"/>
  <c r="P572" i="1" s="1"/>
  <c r="P421" i="1"/>
  <c r="P470" i="1" s="1"/>
  <c r="P521" i="1" s="1"/>
  <c r="P575" i="1" s="1"/>
  <c r="AB729" i="1"/>
  <c r="AB734" i="1" s="1"/>
  <c r="X729" i="1"/>
  <c r="X734" i="1" s="1"/>
  <c r="T729" i="1"/>
  <c r="T734" i="1" s="1"/>
  <c r="P520" i="1"/>
  <c r="P574" i="1" s="1"/>
  <c r="P508" i="1"/>
  <c r="P561" i="1" s="1"/>
  <c r="X534" i="1"/>
  <c r="AB770" i="1"/>
  <c r="Q408" i="1"/>
  <c r="Q457" i="1" s="1"/>
  <c r="Q508" i="1" s="1"/>
  <c r="Q561" i="1" s="1"/>
  <c r="Q397" i="1"/>
  <c r="Q446" i="1" s="1"/>
  <c r="Q497" i="1" s="1"/>
  <c r="Q548" i="1" s="1"/>
  <c r="Q424" i="1"/>
  <c r="Q473" i="1" s="1"/>
  <c r="Q524" i="1" s="1"/>
  <c r="Q579" i="1" s="1"/>
  <c r="Q407" i="1"/>
  <c r="Q456" i="1" s="1"/>
  <c r="X411" i="1"/>
  <c r="X460" i="1" s="1"/>
  <c r="X511" i="1" s="1"/>
  <c r="X564" i="1" s="1"/>
  <c r="X524" i="1"/>
  <c r="X579" i="1" s="1"/>
  <c r="X770" i="1"/>
  <c r="X405" i="1"/>
  <c r="X454" i="1" s="1"/>
  <c r="X495" i="1"/>
  <c r="X546" i="1" s="1"/>
  <c r="X484" i="1"/>
  <c r="X533" i="1" s="1"/>
  <c r="X417" i="1"/>
  <c r="X466" i="1" s="1"/>
  <c r="X381" i="1"/>
  <c r="X430" i="1" s="1"/>
  <c r="T405" i="1"/>
  <c r="T454" i="1" s="1"/>
  <c r="T505" i="1" s="1"/>
  <c r="T558" i="1" s="1"/>
  <c r="T501" i="1"/>
  <c r="T553" i="1" s="1"/>
  <c r="T770" i="1"/>
  <c r="Q401" i="1"/>
  <c r="Q450" i="1" s="1"/>
  <c r="Q501" i="1" s="1"/>
  <c r="Q553" i="1" s="1"/>
  <c r="Q395" i="1"/>
  <c r="Q444" i="1" s="1"/>
  <c r="Q400" i="1"/>
  <c r="Q449" i="1" s="1"/>
  <c r="Q500" i="1" s="1"/>
  <c r="Q552" i="1" s="1"/>
  <c r="Q380" i="1"/>
  <c r="Q429" i="1" s="1"/>
  <c r="Q480" i="1" s="1"/>
  <c r="Q529" i="1" s="1"/>
  <c r="Q416" i="1"/>
  <c r="Q465" i="1" s="1"/>
  <c r="Q516" i="1" s="1"/>
  <c r="Q570" i="1" s="1"/>
  <c r="X400" i="1"/>
  <c r="X449" i="1" s="1"/>
  <c r="X422" i="1"/>
  <c r="X471" i="1" s="1"/>
  <c r="X407" i="1"/>
  <c r="X456" i="1" s="1"/>
  <c r="X394" i="1"/>
  <c r="X443" i="1" s="1"/>
  <c r="X494" i="1" s="1"/>
  <c r="X545" i="1" s="1"/>
  <c r="T494" i="1"/>
  <c r="T545" i="1" s="1"/>
  <c r="T397" i="1"/>
  <c r="T446" i="1" s="1"/>
  <c r="T480" i="1"/>
  <c r="T529" i="1" s="1"/>
  <c r="T391" i="1"/>
  <c r="T440" i="1" s="1"/>
  <c r="T495" i="1"/>
  <c r="T546" i="1" s="1"/>
  <c r="T522" i="1"/>
  <c r="T576" i="1" s="1"/>
  <c r="T382" i="1"/>
  <c r="T431" i="1" s="1"/>
  <c r="T482" i="1" s="1"/>
  <c r="T531" i="1" s="1"/>
  <c r="Q515" i="1"/>
  <c r="Q569" i="1" s="1"/>
  <c r="Q482" i="1"/>
  <c r="Q531" i="1" s="1"/>
  <c r="Q485" i="1"/>
  <c r="Q534" i="1" s="1"/>
  <c r="Q729" i="1"/>
  <c r="Q734" i="1" s="1"/>
  <c r="X501" i="1"/>
  <c r="X553" i="1" s="1"/>
  <c r="X419" i="1"/>
  <c r="X468" i="1" s="1"/>
  <c r="X519" i="1" s="1"/>
  <c r="X573" i="1" s="1"/>
  <c r="X509" i="1"/>
  <c r="X562" i="1" s="1"/>
  <c r="X489" i="1"/>
  <c r="X539" i="1" s="1"/>
  <c r="X420" i="1"/>
  <c r="X469" i="1" s="1"/>
  <c r="T383" i="1"/>
  <c r="T432" i="1" s="1"/>
  <c r="T414" i="1"/>
  <c r="T463" i="1" s="1"/>
  <c r="Q520" i="1"/>
  <c r="Q574" i="1" s="1"/>
  <c r="Q405" i="1"/>
  <c r="Q454" i="1" s="1"/>
  <c r="Q505" i="1" s="1"/>
  <c r="Q558" i="1" s="1"/>
  <c r="Q384" i="1"/>
  <c r="Q433" i="1" s="1"/>
  <c r="Q770" i="1"/>
  <c r="Q402" i="1"/>
  <c r="Q451" i="1" s="1"/>
  <c r="Q502" i="1" s="1"/>
  <c r="Q554" i="1" s="1"/>
  <c r="Q390" i="1"/>
  <c r="Q439" i="1" s="1"/>
  <c r="Q490" i="1" s="1"/>
  <c r="Q540" i="1" s="1"/>
  <c r="Q542" i="1" s="1"/>
  <c r="X391" i="1"/>
  <c r="X440" i="1" s="1"/>
  <c r="X496" i="1"/>
  <c r="X547" i="1" s="1"/>
  <c r="X380" i="1"/>
  <c r="X429" i="1" s="1"/>
  <c r="X480" i="1" s="1"/>
  <c r="X529" i="1" s="1"/>
  <c r="T506" i="1"/>
  <c r="T559" i="1" s="1"/>
  <c r="T500" i="1"/>
  <c r="T552" i="1" s="1"/>
  <c r="T385" i="1"/>
  <c r="T434" i="1" s="1"/>
  <c r="T485" i="1" s="1"/>
  <c r="T534" i="1" s="1"/>
  <c r="T407" i="1"/>
  <c r="T456" i="1" s="1"/>
  <c r="AB383" i="1"/>
  <c r="AB432" i="1" s="1"/>
  <c r="AB483" i="1" s="1"/>
  <c r="AB532" i="1" s="1"/>
  <c r="AB389" i="1"/>
  <c r="AB438" i="1" s="1"/>
  <c r="AB406" i="1"/>
  <c r="AB455" i="1" s="1"/>
  <c r="AB506" i="1" s="1"/>
  <c r="AB559" i="1" s="1"/>
  <c r="AB420" i="1"/>
  <c r="AB469" i="1" s="1"/>
  <c r="AB520" i="1" s="1"/>
  <c r="AB574" i="1" s="1"/>
  <c r="W421" i="1"/>
  <c r="W470" i="1" s="1"/>
  <c r="W509" i="1"/>
  <c r="W562" i="1" s="1"/>
  <c r="W394" i="1"/>
  <c r="W443" i="1" s="1"/>
  <c r="W494" i="1" s="1"/>
  <c r="W545" i="1" s="1"/>
  <c r="W419" i="1"/>
  <c r="W468" i="1" s="1"/>
  <c r="W519" i="1" s="1"/>
  <c r="W573" i="1" s="1"/>
  <c r="W383" i="1"/>
  <c r="W432" i="1" s="1"/>
  <c r="W497" i="1"/>
  <c r="W548" i="1" s="1"/>
  <c r="W411" i="1"/>
  <c r="W460" i="1" s="1"/>
  <c r="W380" i="1"/>
  <c r="W429" i="1" s="1"/>
  <c r="W382" i="1"/>
  <c r="W431" i="1" s="1"/>
  <c r="AB395" i="1"/>
  <c r="AB444" i="1" s="1"/>
  <c r="AB495" i="1" s="1"/>
  <c r="AB546" i="1" s="1"/>
  <c r="AB418" i="1"/>
  <c r="AB467" i="1" s="1"/>
  <c r="AB518" i="1" s="1"/>
  <c r="AB572" i="1" s="1"/>
  <c r="AB402" i="1"/>
  <c r="AB451" i="1" s="1"/>
  <c r="V401" i="1"/>
  <c r="V450" i="1" s="1"/>
  <c r="V501" i="1" s="1"/>
  <c r="V553" i="1" s="1"/>
  <c r="W389" i="1"/>
  <c r="W438" i="1" s="1"/>
  <c r="W391" i="1"/>
  <c r="W440" i="1" s="1"/>
  <c r="W491" i="1" s="1"/>
  <c r="W541" i="1" s="1"/>
  <c r="W515" i="1"/>
  <c r="W569" i="1" s="1"/>
  <c r="W770" i="1"/>
  <c r="AB396" i="1"/>
  <c r="AB445" i="1" s="1"/>
  <c r="AB496" i="1" s="1"/>
  <c r="AB547" i="1" s="1"/>
  <c r="AB390" i="1"/>
  <c r="AB439" i="1" s="1"/>
  <c r="AB417" i="1"/>
  <c r="AB466" i="1" s="1"/>
  <c r="AB517" i="1" s="1"/>
  <c r="AB571" i="1" s="1"/>
  <c r="AB407" i="1"/>
  <c r="AB456" i="1" s="1"/>
  <c r="AB507" i="1" s="1"/>
  <c r="AB560" i="1" s="1"/>
  <c r="AB386" i="1"/>
  <c r="AB435" i="1" s="1"/>
  <c r="AB486" i="1" s="1"/>
  <c r="AB535" i="1" s="1"/>
  <c r="W505" i="1"/>
  <c r="W558" i="1" s="1"/>
  <c r="W390" i="1"/>
  <c r="W439" i="1" s="1"/>
  <c r="W524" i="1"/>
  <c r="W579" i="1" s="1"/>
  <c r="W502" i="1"/>
  <c r="W554" i="1" s="1"/>
  <c r="AB384" i="1"/>
  <c r="AB433" i="1" s="1"/>
  <c r="AB485" i="1"/>
  <c r="AB534" i="1" s="1"/>
  <c r="AB421" i="1"/>
  <c r="AB470" i="1" s="1"/>
  <c r="AB521" i="1" s="1"/>
  <c r="AB575" i="1" s="1"/>
  <c r="AB408" i="1"/>
  <c r="AB457" i="1" s="1"/>
  <c r="AB508" i="1" s="1"/>
  <c r="AB561" i="1" s="1"/>
  <c r="AB415" i="1"/>
  <c r="AB464" i="1" s="1"/>
  <c r="AB397" i="1"/>
  <c r="AB446" i="1" s="1"/>
  <c r="AB497" i="1" s="1"/>
  <c r="AB548" i="1" s="1"/>
  <c r="W381" i="1"/>
  <c r="W430" i="1" s="1"/>
  <c r="W481" i="1" s="1"/>
  <c r="W530" i="1" s="1"/>
  <c r="W400" i="1"/>
  <c r="W449" i="1" s="1"/>
  <c r="W500" i="1" s="1"/>
  <c r="W552" i="1" s="1"/>
  <c r="W485" i="1"/>
  <c r="W534" i="1" s="1"/>
  <c r="W386" i="1"/>
  <c r="W435" i="1" s="1"/>
  <c r="W729" i="1"/>
  <c r="W734" i="1" s="1"/>
  <c r="Y382" i="1"/>
  <c r="Y431" i="1" s="1"/>
  <c r="Y482" i="1" s="1"/>
  <c r="Y531" i="1" s="1"/>
  <c r="AA385" i="1"/>
  <c r="AA434" i="1" s="1"/>
  <c r="AA410" i="1"/>
  <c r="AA459" i="1" s="1"/>
  <c r="AA405" i="1"/>
  <c r="AA454" i="1" s="1"/>
  <c r="AA497" i="1"/>
  <c r="AA548" i="1" s="1"/>
  <c r="AA494" i="1"/>
  <c r="AA545" i="1" s="1"/>
  <c r="AA415" i="1"/>
  <c r="AA464" i="1" s="1"/>
  <c r="AA408" i="1"/>
  <c r="AA457" i="1" s="1"/>
  <c r="AA402" i="1"/>
  <c r="AA451" i="1" s="1"/>
  <c r="AA502" i="1" s="1"/>
  <c r="AA554" i="1" s="1"/>
  <c r="AA390" i="1"/>
  <c r="AA439" i="1" s="1"/>
  <c r="AA490" i="1" s="1"/>
  <c r="AA540" i="1" s="1"/>
  <c r="AA418" i="1"/>
  <c r="AA467" i="1" s="1"/>
  <c r="AA409" i="1"/>
  <c r="AA458" i="1" s="1"/>
  <c r="AA406" i="1"/>
  <c r="AA455" i="1" s="1"/>
  <c r="AA380" i="1"/>
  <c r="AA429" i="1" s="1"/>
  <c r="AA384" i="1"/>
  <c r="AA433" i="1" s="1"/>
  <c r="AA484" i="1" s="1"/>
  <c r="AA533" i="1" s="1"/>
  <c r="AA401" i="1"/>
  <c r="AA450" i="1" s="1"/>
  <c r="AA424" i="1"/>
  <c r="AA473" i="1" s="1"/>
  <c r="AA416" i="1"/>
  <c r="AA465" i="1" s="1"/>
  <c r="AA382" i="1"/>
  <c r="AA431" i="1" s="1"/>
  <c r="AA407" i="1"/>
  <c r="AA456" i="1" s="1"/>
  <c r="AA770" i="1"/>
  <c r="AA389" i="1"/>
  <c r="AA438" i="1" s="1"/>
  <c r="AA383" i="1"/>
  <c r="AA432" i="1" s="1"/>
  <c r="AA483" i="1" s="1"/>
  <c r="AA532" i="1" s="1"/>
  <c r="AA491" i="1"/>
  <c r="AA541" i="1" s="1"/>
  <c r="AA729" i="1"/>
  <c r="AA734" i="1" s="1"/>
  <c r="AA414" i="1"/>
  <c r="AA463" i="1" s="1"/>
  <c r="AA396" i="1"/>
  <c r="AA445" i="1" s="1"/>
  <c r="AA496" i="1" s="1"/>
  <c r="AA547" i="1" s="1"/>
  <c r="AA422" i="1"/>
  <c r="AA471" i="1" s="1"/>
  <c r="AA522" i="1" s="1"/>
  <c r="AA576" i="1" s="1"/>
  <c r="AA381" i="1"/>
  <c r="AA430" i="1" s="1"/>
  <c r="AA395" i="1"/>
  <c r="AA444" i="1" s="1"/>
  <c r="AA419" i="1"/>
  <c r="AA468" i="1" s="1"/>
  <c r="AA519" i="1" s="1"/>
  <c r="AA573" i="1" s="1"/>
  <c r="L495" i="1"/>
  <c r="AB481" i="1"/>
  <c r="AB530" i="1" s="1"/>
  <c r="AB494" i="1"/>
  <c r="AB545" i="1" s="1"/>
  <c r="K45" i="45" l="1"/>
  <c r="N253" i="3"/>
  <c r="W245" i="1"/>
  <c r="W198" i="1" s="1"/>
  <c r="AA245" i="1"/>
  <c r="AA198" i="1" s="1"/>
  <c r="R245" i="1"/>
  <c r="R198" i="1" s="1"/>
  <c r="D21" i="1"/>
  <c r="D24" i="1"/>
  <c r="S761" i="1"/>
  <c r="S778" i="1" s="1"/>
  <c r="M636" i="1"/>
  <c r="M629" i="1"/>
  <c r="M669" i="1" s="1"/>
  <c r="M685" i="1" s="1"/>
  <c r="M635" i="1"/>
  <c r="M682" i="1"/>
  <c r="T542" i="53"/>
  <c r="N769" i="1"/>
  <c r="L770" i="1"/>
  <c r="R766" i="1"/>
  <c r="R779" i="1" s="1"/>
  <c r="N245" i="1"/>
  <c r="N198" i="1" s="1"/>
  <c r="T245" i="1"/>
  <c r="T198" i="1" s="1"/>
  <c r="Q245" i="1"/>
  <c r="Q198" i="1" s="1"/>
  <c r="S770" i="1"/>
  <c r="O119" i="1"/>
  <c r="O737" i="1" s="1"/>
  <c r="AC770" i="1"/>
  <c r="U245" i="1"/>
  <c r="U198" i="1" s="1"/>
  <c r="S769" i="1"/>
  <c r="R119" i="1"/>
  <c r="R737" i="1" s="1"/>
  <c r="AD770" i="1"/>
  <c r="K245" i="1"/>
  <c r="K198" i="1" s="1"/>
  <c r="AB245" i="1"/>
  <c r="AB198" i="1" s="1"/>
  <c r="O245" i="1"/>
  <c r="O198" i="1" s="1"/>
  <c r="S245" i="1"/>
  <c r="S198" i="1" s="1"/>
  <c r="S555" i="1"/>
  <c r="AD245" i="1"/>
  <c r="AD198" i="1" s="1"/>
  <c r="N766" i="1"/>
  <c r="N790" i="1" s="1"/>
  <c r="N796" i="1" s="1"/>
  <c r="M145" i="1"/>
  <c r="M191" i="1" s="1"/>
  <c r="M235" i="1" s="1"/>
  <c r="M641" i="1"/>
  <c r="M665" i="1" s="1"/>
  <c r="M681" i="1" s="1"/>
  <c r="X38" i="50"/>
  <c r="Y38" i="50" s="1"/>
  <c r="Z38" i="50" s="1"/>
  <c r="AA38" i="50" s="1"/>
  <c r="AC38" i="50" s="1"/>
  <c r="M678" i="1"/>
  <c r="L245" i="1"/>
  <c r="L198" i="1" s="1"/>
  <c r="Z245" i="1"/>
  <c r="Z198" i="1" s="1"/>
  <c r="M640" i="1"/>
  <c r="M649" i="1"/>
  <c r="M667" i="1" s="1"/>
  <c r="M683" i="1" s="1"/>
  <c r="P634" i="1"/>
  <c r="P663" i="1" s="1"/>
  <c r="P679" i="1" s="1"/>
  <c r="P637" i="1"/>
  <c r="M147" i="1"/>
  <c r="M261" i="1" s="1"/>
  <c r="M615" i="1" s="1"/>
  <c r="M659" i="1" s="1"/>
  <c r="M675" i="1" s="1"/>
  <c r="AD650" i="1"/>
  <c r="AD668" i="1" s="1"/>
  <c r="AD684" i="1" s="1"/>
  <c r="M650" i="1"/>
  <c r="M668" i="1" s="1"/>
  <c r="M684" i="1" s="1"/>
  <c r="P145" i="1"/>
  <c r="P191" i="1" s="1"/>
  <c r="P230" i="1" s="1"/>
  <c r="P635" i="1"/>
  <c r="M146" i="1"/>
  <c r="M251" i="1" s="1"/>
  <c r="M614" i="1" s="1"/>
  <c r="M658" i="1" s="1"/>
  <c r="M674" i="1" s="1"/>
  <c r="M634" i="1"/>
  <c r="M663" i="1" s="1"/>
  <c r="M679" i="1" s="1"/>
  <c r="M124" i="1"/>
  <c r="M136" i="1" s="1"/>
  <c r="M637" i="1"/>
  <c r="M664" i="1" s="1"/>
  <c r="M680" i="1" s="1"/>
  <c r="V245" i="1"/>
  <c r="V198" i="1" s="1"/>
  <c r="S729" i="1"/>
  <c r="S734" i="1" s="1"/>
  <c r="S740" i="1" s="1"/>
  <c r="M121" i="1"/>
  <c r="M245" i="1"/>
  <c r="M198" i="1" s="1"/>
  <c r="AD729" i="1"/>
  <c r="AD734" i="1" s="1"/>
  <c r="AD740" i="1" s="1"/>
  <c r="AC245" i="1"/>
  <c r="AC198" i="1" s="1"/>
  <c r="X245" i="1"/>
  <c r="X198" i="1" s="1"/>
  <c r="P245" i="1"/>
  <c r="P198" i="1" s="1"/>
  <c r="Y245" i="1"/>
  <c r="Y198" i="1" s="1"/>
  <c r="R51" i="1"/>
  <c r="R54" i="1" s="1"/>
  <c r="W22" i="1"/>
  <c r="W131" i="1" s="1"/>
  <c r="Y22" i="1"/>
  <c r="Y131" i="1" s="1"/>
  <c r="M22" i="1"/>
  <c r="U22" i="1"/>
  <c r="U131" i="1" s="1"/>
  <c r="Q22" i="1"/>
  <c r="Q131" i="1" s="1"/>
  <c r="P22" i="1"/>
  <c r="P131" i="1" s="1"/>
  <c r="Z22" i="1"/>
  <c r="Z131" i="1" s="1"/>
  <c r="Y635" i="1"/>
  <c r="Y629" i="1"/>
  <c r="Y669" i="1" s="1"/>
  <c r="Y685" i="1" s="1"/>
  <c r="AB22" i="1"/>
  <c r="AB131" i="1" s="1"/>
  <c r="AC22" i="1"/>
  <c r="AC131" i="1" s="1"/>
  <c r="AE22" i="1"/>
  <c r="AE131" i="1" s="1"/>
  <c r="Y627" i="1"/>
  <c r="I770" i="1"/>
  <c r="AA30" i="1"/>
  <c r="AE30" i="1"/>
  <c r="T30" i="1"/>
  <c r="P30" i="1"/>
  <c r="L30" i="1"/>
  <c r="I30" i="1"/>
  <c r="X30" i="1"/>
  <c r="W30" i="1"/>
  <c r="S30" i="1"/>
  <c r="O30" i="1"/>
  <c r="R30" i="1"/>
  <c r="AB30" i="1"/>
  <c r="K30" i="1"/>
  <c r="V30" i="1"/>
  <c r="J30" i="1"/>
  <c r="Y30" i="1"/>
  <c r="AC30" i="1"/>
  <c r="N30" i="1"/>
  <c r="U30" i="1"/>
  <c r="Q30" i="1"/>
  <c r="Z30" i="1"/>
  <c r="AD30" i="1"/>
  <c r="M30" i="1"/>
  <c r="N470" i="1"/>
  <c r="N521" i="1" s="1"/>
  <c r="N575" i="1" s="1"/>
  <c r="N577" i="1" s="1"/>
  <c r="N802" i="1" s="1"/>
  <c r="AA61" i="1"/>
  <c r="AA51" i="1"/>
  <c r="AA54" i="1" s="1"/>
  <c r="T22" i="1"/>
  <c r="T131" i="1" s="1"/>
  <c r="S22" i="1"/>
  <c r="S131" i="1" s="1"/>
  <c r="O22" i="1"/>
  <c r="O131" i="1" s="1"/>
  <c r="N22" i="1"/>
  <c r="N131" i="1" s="1"/>
  <c r="AC36" i="1"/>
  <c r="Y36" i="1"/>
  <c r="U36" i="1"/>
  <c r="Q36" i="1"/>
  <c r="M36" i="1"/>
  <c r="I36" i="1"/>
  <c r="I38" i="1" s="1"/>
  <c r="I24" i="1" s="1"/>
  <c r="AD36" i="1"/>
  <c r="AB36" i="1"/>
  <c r="X36" i="1"/>
  <c r="T36" i="1"/>
  <c r="P36" i="1"/>
  <c r="L36" i="1"/>
  <c r="AE36" i="1"/>
  <c r="AA36" i="1"/>
  <c r="W36" i="1"/>
  <c r="S36" i="1"/>
  <c r="O36" i="1"/>
  <c r="K36" i="1"/>
  <c r="Z36" i="1"/>
  <c r="V36" i="1"/>
  <c r="R36" i="1"/>
  <c r="N36" i="1"/>
  <c r="J36" i="1"/>
  <c r="N761" i="1"/>
  <c r="N778" i="1" s="1"/>
  <c r="Y564" i="1"/>
  <c r="K770" i="1"/>
  <c r="N770" i="1"/>
  <c r="O769" i="1"/>
  <c r="O766" i="1"/>
  <c r="O779" i="1" s="1"/>
  <c r="N542" i="1"/>
  <c r="Q119" i="1"/>
  <c r="Q737" i="1" s="1"/>
  <c r="Q740" i="1" s="1"/>
  <c r="N729" i="1"/>
  <c r="N734" i="1" s="1"/>
  <c r="N740" i="1" s="1"/>
  <c r="N555" i="1"/>
  <c r="N473" i="1"/>
  <c r="N524" i="1" s="1"/>
  <c r="N579" i="1" s="1"/>
  <c r="L729" i="1"/>
  <c r="L734" i="1" s="1"/>
  <c r="O555" i="1"/>
  <c r="Y770" i="1"/>
  <c r="P629" i="1"/>
  <c r="P669" i="1" s="1"/>
  <c r="P685" i="1" s="1"/>
  <c r="P651" i="1"/>
  <c r="P636" i="1"/>
  <c r="P641" i="1"/>
  <c r="P665" i="1" s="1"/>
  <c r="P681" i="1" s="1"/>
  <c r="K729" i="1"/>
  <c r="K734" i="1" s="1"/>
  <c r="P795" i="1"/>
  <c r="P626" i="1"/>
  <c r="P661" i="1" s="1"/>
  <c r="P677" i="1" s="1"/>
  <c r="P146" i="1"/>
  <c r="P251" i="1" s="1"/>
  <c r="P924" i="1" s="1"/>
  <c r="P925" i="1" s="1"/>
  <c r="P927" i="1" s="1"/>
  <c r="P649" i="1"/>
  <c r="P667" i="1" s="1"/>
  <c r="P683" i="1" s="1"/>
  <c r="P640" i="1"/>
  <c r="P124" i="1"/>
  <c r="P136" i="1" s="1"/>
  <c r="P682" i="1"/>
  <c r="P678" i="1"/>
  <c r="P796" i="1"/>
  <c r="I729" i="1"/>
  <c r="I734" i="1" s="1"/>
  <c r="P650" i="1"/>
  <c r="P668" i="1" s="1"/>
  <c r="P684" i="1" s="1"/>
  <c r="P620" i="1"/>
  <c r="P622" i="1" s="1"/>
  <c r="P690" i="1" s="1"/>
  <c r="P698" i="1" s="1"/>
  <c r="P639" i="1"/>
  <c r="P147" i="1"/>
  <c r="P261" i="1" s="1"/>
  <c r="P615" i="1" s="1"/>
  <c r="P659" i="1" s="1"/>
  <c r="P675" i="1" s="1"/>
  <c r="P627" i="1"/>
  <c r="Y145" i="1"/>
  <c r="Y191" i="1" s="1"/>
  <c r="Y230" i="1" s="1"/>
  <c r="Y651" i="1"/>
  <c r="Y146" i="1"/>
  <c r="Y251" i="1" s="1"/>
  <c r="Y924" i="1" s="1"/>
  <c r="Y925" i="1" s="1"/>
  <c r="Y927" i="1" s="1"/>
  <c r="Y641" i="1"/>
  <c r="Y665" i="1" s="1"/>
  <c r="Y681" i="1" s="1"/>
  <c r="Y636" i="1"/>
  <c r="Y637" i="1"/>
  <c r="M620" i="1"/>
  <c r="M622" i="1" s="1"/>
  <c r="M690" i="1" s="1"/>
  <c r="M698" i="1" s="1"/>
  <c r="Y649" i="1"/>
  <c r="Y667" i="1" s="1"/>
  <c r="Y683" i="1" s="1"/>
  <c r="Y634" i="1"/>
  <c r="Y663" i="1" s="1"/>
  <c r="Y679" i="1" s="1"/>
  <c r="M639" i="1"/>
  <c r="Y650" i="1"/>
  <c r="Y668" i="1" s="1"/>
  <c r="Y684" i="1" s="1"/>
  <c r="Y124" i="1"/>
  <c r="Y136" i="1" s="1"/>
  <c r="Y678" i="1"/>
  <c r="Y620" i="1"/>
  <c r="Y622" i="1" s="1"/>
  <c r="Y690" i="1" s="1"/>
  <c r="Y698" i="1" s="1"/>
  <c r="Y640" i="1"/>
  <c r="Y639" i="1"/>
  <c r="Y626" i="1"/>
  <c r="Y661" i="1" s="1"/>
  <c r="Y677" i="1" s="1"/>
  <c r="Y147" i="1"/>
  <c r="Y261" i="1" s="1"/>
  <c r="Y615" i="1" s="1"/>
  <c r="Y659" i="1" s="1"/>
  <c r="Y675" i="1" s="1"/>
  <c r="Y914" i="1"/>
  <c r="Y915" i="1" s="1"/>
  <c r="O770" i="1"/>
  <c r="O729" i="1"/>
  <c r="O734" i="1" s="1"/>
  <c r="Y729" i="1"/>
  <c r="Y734" i="1" s="1"/>
  <c r="Y740" i="1" s="1"/>
  <c r="O761" i="1"/>
  <c r="O778" i="1" s="1"/>
  <c r="Q641" i="1"/>
  <c r="Q665" i="1" s="1"/>
  <c r="Q681" i="1" s="1"/>
  <c r="U678" i="1"/>
  <c r="Q146" i="1"/>
  <c r="Q251" i="1" s="1"/>
  <c r="Q614" i="1" s="1"/>
  <c r="Q658" i="1" s="1"/>
  <c r="Q674" i="1" s="1"/>
  <c r="Q635" i="1"/>
  <c r="T124" i="1"/>
  <c r="T136" i="1" s="1"/>
  <c r="T627" i="1"/>
  <c r="Q649" i="1"/>
  <c r="Q667" i="1" s="1"/>
  <c r="Q683" i="1" s="1"/>
  <c r="Q629" i="1"/>
  <c r="Q669" i="1" s="1"/>
  <c r="Q685" i="1" s="1"/>
  <c r="AD627" i="1"/>
  <c r="Q651" i="1"/>
  <c r="Q145" i="1"/>
  <c r="Q191" i="1" s="1"/>
  <c r="Q235" i="1" s="1"/>
  <c r="Q626" i="1"/>
  <c r="Q661" i="1" s="1"/>
  <c r="Q677" i="1" s="1"/>
  <c r="AB133" i="1"/>
  <c r="Q627" i="1"/>
  <c r="Q147" i="1"/>
  <c r="Q261" i="1" s="1"/>
  <c r="Q615" i="1" s="1"/>
  <c r="Q659" i="1" s="1"/>
  <c r="Q675" i="1" s="1"/>
  <c r="T637" i="1"/>
  <c r="C219" i="3"/>
  <c r="T620" i="1"/>
  <c r="T622" i="1" s="1"/>
  <c r="T690" i="1" s="1"/>
  <c r="T698" i="1" s="1"/>
  <c r="T626" i="1"/>
  <c r="T661" i="1" s="1"/>
  <c r="T1871" i="1" s="1"/>
  <c r="T651" i="1"/>
  <c r="V120" i="1"/>
  <c r="V748" i="1" s="1"/>
  <c r="V751" i="1" s="1"/>
  <c r="V131" i="1"/>
  <c r="AD651" i="1"/>
  <c r="T37" i="1"/>
  <c r="M37" i="1"/>
  <c r="Z37" i="1"/>
  <c r="P37" i="1"/>
  <c r="Q37" i="1"/>
  <c r="U37" i="1"/>
  <c r="AA37" i="1"/>
  <c r="AC37" i="1"/>
  <c r="L37" i="1"/>
  <c r="AD37" i="1"/>
  <c r="K37" i="1"/>
  <c r="AD640" i="1"/>
  <c r="Q620" i="1"/>
  <c r="Q622" i="1" s="1"/>
  <c r="Q690" i="1" s="1"/>
  <c r="Q698" i="1" s="1"/>
  <c r="T640" i="1"/>
  <c r="T639" i="1"/>
  <c r="Q634" i="1"/>
  <c r="Q663" i="1" s="1"/>
  <c r="Q679" i="1" s="1"/>
  <c r="Q636" i="1"/>
  <c r="T635" i="1"/>
  <c r="AB37" i="1"/>
  <c r="W37" i="1"/>
  <c r="R37" i="1"/>
  <c r="X37" i="1"/>
  <c r="O37" i="1"/>
  <c r="T678" i="1"/>
  <c r="J37" i="1"/>
  <c r="AD639" i="1"/>
  <c r="Q640" i="1"/>
  <c r="Q639" i="1"/>
  <c r="Q124" i="1"/>
  <c r="Q136" i="1" s="1"/>
  <c r="Q650" i="1"/>
  <c r="Q668" i="1" s="1"/>
  <c r="Q684" i="1" s="1"/>
  <c r="Q637" i="1"/>
  <c r="Y37" i="1"/>
  <c r="N37" i="1"/>
  <c r="AE37" i="1"/>
  <c r="V37" i="1"/>
  <c r="S37" i="1"/>
  <c r="Q678" i="1"/>
  <c r="Q914" i="1"/>
  <c r="Q915" i="1" s="1"/>
  <c r="T796" i="1"/>
  <c r="T629" i="1"/>
  <c r="T669" i="1" s="1"/>
  <c r="T685" i="1" s="1"/>
  <c r="T147" i="1"/>
  <c r="T261" i="1" s="1"/>
  <c r="T615" i="1" s="1"/>
  <c r="T659" i="1" s="1"/>
  <c r="T675" i="1" s="1"/>
  <c r="T641" i="1"/>
  <c r="T665" i="1" s="1"/>
  <c r="T681" i="1" s="1"/>
  <c r="R542" i="53"/>
  <c r="Z770" i="1"/>
  <c r="M770" i="1"/>
  <c r="AE770" i="1"/>
  <c r="M761" i="1"/>
  <c r="M778" i="1" s="1"/>
  <c r="M627" i="1"/>
  <c r="AE729" i="1"/>
  <c r="AE734" i="1" s="1"/>
  <c r="AE740" i="1" s="1"/>
  <c r="U729" i="1"/>
  <c r="U734" i="1" s="1"/>
  <c r="M651" i="1"/>
  <c r="M769" i="1"/>
  <c r="J770" i="1"/>
  <c r="M729" i="1"/>
  <c r="M734" i="1" s="1"/>
  <c r="M740" i="1" s="1"/>
  <c r="M753" i="1" s="1"/>
  <c r="M754" i="1" s="1"/>
  <c r="AC640" i="1"/>
  <c r="AE640" i="1"/>
  <c r="M542" i="1"/>
  <c r="P542" i="53"/>
  <c r="G559" i="53"/>
  <c r="G572" i="53"/>
  <c r="R555" i="53"/>
  <c r="L542" i="53"/>
  <c r="M729" i="53"/>
  <c r="M734" i="53" s="1"/>
  <c r="M740" i="53" s="1"/>
  <c r="M753" i="53" s="1"/>
  <c r="V577" i="53"/>
  <c r="V802" i="53" s="1"/>
  <c r="J729" i="1"/>
  <c r="J734" i="1" s="1"/>
  <c r="R467" i="1"/>
  <c r="R518" i="1" s="1"/>
  <c r="R572" i="1" s="1"/>
  <c r="R769" i="1"/>
  <c r="U574" i="1"/>
  <c r="U577" i="1" s="1"/>
  <c r="U802" i="1" s="1"/>
  <c r="R770" i="1"/>
  <c r="G596" i="1"/>
  <c r="V650" i="1"/>
  <c r="V668" i="1" s="1"/>
  <c r="V684" i="1" s="1"/>
  <c r="G597" i="1"/>
  <c r="V770" i="1"/>
  <c r="R534" i="1"/>
  <c r="R536" i="1" s="1"/>
  <c r="AC627" i="1"/>
  <c r="V729" i="1"/>
  <c r="V734" i="1" s="1"/>
  <c r="V740" i="1" s="1"/>
  <c r="AC729" i="1"/>
  <c r="AC734" i="1" s="1"/>
  <c r="AC740" i="1" s="1"/>
  <c r="AC651" i="1"/>
  <c r="AC639" i="1"/>
  <c r="Z639" i="1"/>
  <c r="R438" i="1"/>
  <c r="R489" i="1" s="1"/>
  <c r="R539" i="1" s="1"/>
  <c r="R542" i="1" s="1"/>
  <c r="Z729" i="1"/>
  <c r="Z734" i="1" s="1"/>
  <c r="Z740" i="1" s="1"/>
  <c r="R460" i="1"/>
  <c r="R511" i="1" s="1"/>
  <c r="R564" i="1" s="1"/>
  <c r="R565" i="1" s="1"/>
  <c r="R729" i="1"/>
  <c r="R734" i="1" s="1"/>
  <c r="R740" i="1" s="1"/>
  <c r="G599" i="1"/>
  <c r="G712" i="1"/>
  <c r="G760" i="1"/>
  <c r="G711" i="1"/>
  <c r="Q542" i="53"/>
  <c r="Z546" i="1"/>
  <c r="G765" i="1"/>
  <c r="AC626" i="1"/>
  <c r="AC661" i="1" s="1"/>
  <c r="AC677" i="1" s="1"/>
  <c r="K245" i="53"/>
  <c r="K198" i="53" s="1"/>
  <c r="K199" i="53" s="1"/>
  <c r="P245" i="53"/>
  <c r="P198" i="53" s="1"/>
  <c r="P199" i="53" s="1"/>
  <c r="G575" i="53"/>
  <c r="G547" i="53"/>
  <c r="I729" i="53"/>
  <c r="I734" i="53" s="1"/>
  <c r="I740" i="53" s="1"/>
  <c r="I753" i="53" s="1"/>
  <c r="G534" i="53"/>
  <c r="G571" i="53"/>
  <c r="G540" i="53"/>
  <c r="R549" i="53"/>
  <c r="R536" i="53"/>
  <c r="L549" i="53"/>
  <c r="M542" i="53"/>
  <c r="M536" i="53"/>
  <c r="S542" i="53"/>
  <c r="N549" i="53"/>
  <c r="K729" i="53"/>
  <c r="K734" i="53" s="1"/>
  <c r="K740" i="53" s="1"/>
  <c r="K753" i="53" s="1"/>
  <c r="U536" i="53"/>
  <c r="V536" i="53"/>
  <c r="V565" i="53"/>
  <c r="V542" i="53"/>
  <c r="T245" i="53"/>
  <c r="T198" i="53" s="1"/>
  <c r="T199" i="53" s="1"/>
  <c r="I640" i="53"/>
  <c r="I639" i="53"/>
  <c r="I651" i="53"/>
  <c r="I652" i="53" s="1"/>
  <c r="I693" i="53" s="1"/>
  <c r="I701" i="53" s="1"/>
  <c r="I620" i="53"/>
  <c r="I627" i="53"/>
  <c r="I630" i="53" s="1"/>
  <c r="I691" i="53" s="1"/>
  <c r="I699" i="53" s="1"/>
  <c r="I565" i="53"/>
  <c r="G558" i="53"/>
  <c r="I577" i="53"/>
  <c r="G568" i="53"/>
  <c r="I549" i="53"/>
  <c r="G545" i="53"/>
  <c r="L577" i="53"/>
  <c r="L802" i="53" s="1"/>
  <c r="L677" i="53"/>
  <c r="L1871" i="53"/>
  <c r="M651" i="53"/>
  <c r="M652" i="53" s="1"/>
  <c r="M693" i="53" s="1"/>
  <c r="M701" i="53" s="1"/>
  <c r="M620" i="53"/>
  <c r="M627" i="53"/>
  <c r="M630" i="53" s="1"/>
  <c r="M691" i="53" s="1"/>
  <c r="M699" i="53" s="1"/>
  <c r="M639" i="53"/>
  <c r="M640" i="53"/>
  <c r="M577" i="53"/>
  <c r="M802" i="53" s="1"/>
  <c r="I37" i="53"/>
  <c r="N37" i="53"/>
  <c r="T37" i="53"/>
  <c r="P37" i="53"/>
  <c r="R37" i="53"/>
  <c r="V37" i="53"/>
  <c r="S37" i="53"/>
  <c r="L37" i="53"/>
  <c r="J37" i="53"/>
  <c r="U37" i="53"/>
  <c r="Q37" i="53"/>
  <c r="K37" i="53"/>
  <c r="M37" i="53"/>
  <c r="O37" i="53"/>
  <c r="T549" i="53"/>
  <c r="G711" i="53"/>
  <c r="K626" i="53"/>
  <c r="G599" i="53"/>
  <c r="P620" i="53"/>
  <c r="P627" i="53"/>
  <c r="P630" i="53" s="1"/>
  <c r="P691" i="53" s="1"/>
  <c r="P699" i="53" s="1"/>
  <c r="P651" i="53"/>
  <c r="P652" i="53" s="1"/>
  <c r="P693" i="53" s="1"/>
  <c r="P701" i="53" s="1"/>
  <c r="P639" i="53"/>
  <c r="P640" i="53"/>
  <c r="U729" i="53"/>
  <c r="U734" i="53" s="1"/>
  <c r="U740" i="53" s="1"/>
  <c r="U753" i="53" s="1"/>
  <c r="V661" i="53"/>
  <c r="O677" i="53"/>
  <c r="O1871" i="53"/>
  <c r="O542" i="53"/>
  <c r="D394" i="3"/>
  <c r="E391" i="3" s="1"/>
  <c r="Q549" i="53"/>
  <c r="Q245" i="53"/>
  <c r="Q198" i="53" s="1"/>
  <c r="Q199" i="53" s="1"/>
  <c r="J640" i="53"/>
  <c r="J651" i="53"/>
  <c r="J652" i="53" s="1"/>
  <c r="J693" i="53" s="1"/>
  <c r="J701" i="53" s="1"/>
  <c r="J627" i="53"/>
  <c r="J630" i="53" s="1"/>
  <c r="J691" i="53" s="1"/>
  <c r="J699" i="53" s="1"/>
  <c r="J639" i="53"/>
  <c r="J620" i="53"/>
  <c r="J677" i="53"/>
  <c r="J1871" i="53"/>
  <c r="J549" i="53"/>
  <c r="G530" i="53"/>
  <c r="G579" i="53"/>
  <c r="G561" i="53"/>
  <c r="G563" i="53"/>
  <c r="I536" i="53"/>
  <c r="G529" i="53"/>
  <c r="G535" i="53"/>
  <c r="I555" i="53"/>
  <c r="G552" i="53"/>
  <c r="R729" i="53"/>
  <c r="R734" i="53" s="1"/>
  <c r="R740" i="53" s="1"/>
  <c r="R753" i="53" s="1"/>
  <c r="R577" i="53"/>
  <c r="R802" i="53" s="1"/>
  <c r="L555" i="53"/>
  <c r="S1871" i="53"/>
  <c r="S677" i="53"/>
  <c r="S729" i="53"/>
  <c r="S734" i="53" s="1"/>
  <c r="S740" i="53" s="1"/>
  <c r="S753" i="53" s="1"/>
  <c r="I30" i="53"/>
  <c r="J30" i="53"/>
  <c r="T30" i="53"/>
  <c r="L30" i="53"/>
  <c r="K30" i="53"/>
  <c r="S30" i="53"/>
  <c r="Q30" i="53"/>
  <c r="V30" i="53"/>
  <c r="M30" i="53"/>
  <c r="R30" i="53"/>
  <c r="U30" i="53"/>
  <c r="O30" i="53"/>
  <c r="N30" i="53"/>
  <c r="P30" i="53"/>
  <c r="J36" i="53"/>
  <c r="N36" i="53"/>
  <c r="O36" i="53"/>
  <c r="Q36" i="53"/>
  <c r="I36" i="53"/>
  <c r="R36" i="53"/>
  <c r="K36" i="53"/>
  <c r="L36" i="53"/>
  <c r="U36" i="53"/>
  <c r="V36" i="53"/>
  <c r="M36" i="53"/>
  <c r="S36" i="53"/>
  <c r="P36" i="53"/>
  <c r="T36" i="53"/>
  <c r="T565" i="53"/>
  <c r="T555" i="53"/>
  <c r="N555" i="53"/>
  <c r="N729" i="53"/>
  <c r="N734" i="53" s="1"/>
  <c r="N740" i="53" s="1"/>
  <c r="N753" i="53" s="1"/>
  <c r="N565" i="53"/>
  <c r="N677" i="53"/>
  <c r="N1871" i="53"/>
  <c r="G597" i="53"/>
  <c r="K650" i="53"/>
  <c r="K577" i="53"/>
  <c r="K802" i="53" s="1"/>
  <c r="P677" i="53"/>
  <c r="P1871" i="53"/>
  <c r="P577" i="53"/>
  <c r="P802" i="53" s="1"/>
  <c r="P729" i="53"/>
  <c r="P734" i="53" s="1"/>
  <c r="P740" i="53" s="1"/>
  <c r="P753" i="53" s="1"/>
  <c r="U661" i="53"/>
  <c r="U577" i="53"/>
  <c r="U802" i="53" s="1"/>
  <c r="V651" i="53"/>
  <c r="V652" i="53" s="1"/>
  <c r="V693" i="53" s="1"/>
  <c r="V701" i="53" s="1"/>
  <c r="V620" i="53"/>
  <c r="V640" i="53"/>
  <c r="V639" i="53"/>
  <c r="V627" i="53"/>
  <c r="V630" i="53" s="1"/>
  <c r="V691" i="53" s="1"/>
  <c r="V699" i="53" s="1"/>
  <c r="O565" i="53"/>
  <c r="O577" i="53"/>
  <c r="O802" i="53" s="1"/>
  <c r="Q627" i="53"/>
  <c r="Q630" i="53" s="1"/>
  <c r="Q691" i="53" s="1"/>
  <c r="Q699" i="53" s="1"/>
  <c r="Q640" i="53"/>
  <c r="Q651" i="53"/>
  <c r="Q652" i="53" s="1"/>
  <c r="Q693" i="53" s="1"/>
  <c r="Q701" i="53" s="1"/>
  <c r="Q620" i="53"/>
  <c r="Q639" i="53"/>
  <c r="Q536" i="53"/>
  <c r="O245" i="53"/>
  <c r="O198" i="53" s="1"/>
  <c r="O199" i="53" s="1"/>
  <c r="V245" i="53"/>
  <c r="V198" i="53" s="1"/>
  <c r="V199" i="53" s="1"/>
  <c r="J542" i="53"/>
  <c r="G573" i="53"/>
  <c r="G553" i="53"/>
  <c r="G548" i="53"/>
  <c r="G570" i="53"/>
  <c r="G531" i="53"/>
  <c r="G533" i="53"/>
  <c r="G564" i="53"/>
  <c r="G562" i="53"/>
  <c r="G546" i="53"/>
  <c r="G541" i="53"/>
  <c r="R639" i="53"/>
  <c r="R620" i="53"/>
  <c r="R651" i="53"/>
  <c r="R652" i="53" s="1"/>
  <c r="R693" i="53" s="1"/>
  <c r="R701" i="53" s="1"/>
  <c r="R627" i="53"/>
  <c r="R630" i="53" s="1"/>
  <c r="R691" i="53" s="1"/>
  <c r="R699" i="53" s="1"/>
  <c r="R640" i="53"/>
  <c r="R565" i="53"/>
  <c r="L729" i="53"/>
  <c r="L734" i="53" s="1"/>
  <c r="L740" i="53" s="1"/>
  <c r="L753" i="53" s="1"/>
  <c r="L536" i="53"/>
  <c r="L565" i="53"/>
  <c r="M549" i="53"/>
  <c r="S639" i="53"/>
  <c r="S640" i="53"/>
  <c r="S627" i="53"/>
  <c r="S630" i="53" s="1"/>
  <c r="S691" i="53" s="1"/>
  <c r="S699" i="53" s="1"/>
  <c r="S620" i="53"/>
  <c r="S651" i="53"/>
  <c r="S652" i="53" s="1"/>
  <c r="S693" i="53" s="1"/>
  <c r="S701" i="53" s="1"/>
  <c r="S577" i="53"/>
  <c r="S802" i="53" s="1"/>
  <c r="S549" i="53"/>
  <c r="G54" i="45"/>
  <c r="G53" i="45"/>
  <c r="G52" i="45"/>
  <c r="T661" i="53"/>
  <c r="T577" i="53"/>
  <c r="T802" i="53" s="1"/>
  <c r="T729" i="53"/>
  <c r="T734" i="53" s="1"/>
  <c r="T740" i="53" s="1"/>
  <c r="T753" i="53" s="1"/>
  <c r="N651" i="53"/>
  <c r="N652" i="53" s="1"/>
  <c r="N693" i="53" s="1"/>
  <c r="N701" i="53" s="1"/>
  <c r="N639" i="53"/>
  <c r="N620" i="53"/>
  <c r="N627" i="53"/>
  <c r="N630" i="53" s="1"/>
  <c r="N691" i="53" s="1"/>
  <c r="N699" i="53" s="1"/>
  <c r="N640" i="53"/>
  <c r="N577" i="53"/>
  <c r="N802" i="53" s="1"/>
  <c r="N536" i="53"/>
  <c r="K536" i="53"/>
  <c r="K549" i="53"/>
  <c r="K565" i="53"/>
  <c r="P549" i="53"/>
  <c r="P555" i="53"/>
  <c r="U639" i="53"/>
  <c r="U651" i="53"/>
  <c r="U652" i="53" s="1"/>
  <c r="U693" i="53" s="1"/>
  <c r="U701" i="53" s="1"/>
  <c r="U640" i="53"/>
  <c r="U620" i="53"/>
  <c r="U627" i="53"/>
  <c r="U630" i="53" s="1"/>
  <c r="U691" i="53" s="1"/>
  <c r="U699" i="53" s="1"/>
  <c r="U542" i="53"/>
  <c r="V555" i="53"/>
  <c r="V729" i="53"/>
  <c r="V734" i="53" s="1"/>
  <c r="V740" i="53" s="1"/>
  <c r="V753" i="53" s="1"/>
  <c r="V549" i="53"/>
  <c r="O729" i="53"/>
  <c r="O734" i="53" s="1"/>
  <c r="O740" i="53" s="1"/>
  <c r="O753" i="53" s="1"/>
  <c r="O555" i="53"/>
  <c r="Q677" i="53"/>
  <c r="Q1871" i="53"/>
  <c r="Q729" i="53"/>
  <c r="Q734" i="53" s="1"/>
  <c r="Q740" i="53" s="1"/>
  <c r="Q753" i="53" s="1"/>
  <c r="Q565" i="53"/>
  <c r="S245" i="53"/>
  <c r="S198" i="53" s="1"/>
  <c r="S199" i="53" s="1"/>
  <c r="S921" i="53" s="1"/>
  <c r="S922" i="53" s="1"/>
  <c r="N245" i="53"/>
  <c r="N198" i="53" s="1"/>
  <c r="N199" i="53" s="1"/>
  <c r="M245" i="53"/>
  <c r="M198" i="53" s="1"/>
  <c r="M199" i="53" s="1"/>
  <c r="J245" i="53"/>
  <c r="J198" i="53" s="1"/>
  <c r="J199" i="53" s="1"/>
  <c r="J565" i="53"/>
  <c r="J729" i="53"/>
  <c r="J734" i="53" s="1"/>
  <c r="J740" i="53" s="1"/>
  <c r="J753" i="53" s="1"/>
  <c r="G560" i="53"/>
  <c r="I677" i="53"/>
  <c r="I1871" i="53"/>
  <c r="G554" i="53"/>
  <c r="I542" i="53"/>
  <c r="G539" i="53"/>
  <c r="G532" i="53"/>
  <c r="G569" i="53"/>
  <c r="G576" i="53"/>
  <c r="G574" i="53"/>
  <c r="R677" i="53"/>
  <c r="R1871" i="53"/>
  <c r="L651" i="53"/>
  <c r="L652" i="53" s="1"/>
  <c r="L693" i="53" s="1"/>
  <c r="L701" i="53" s="1"/>
  <c r="L639" i="53"/>
  <c r="L640" i="53"/>
  <c r="L627" i="53"/>
  <c r="L630" i="53" s="1"/>
  <c r="L691" i="53" s="1"/>
  <c r="L699" i="53" s="1"/>
  <c r="L620" i="53"/>
  <c r="M565" i="53"/>
  <c r="M555" i="53"/>
  <c r="M677" i="53"/>
  <c r="M1871" i="53"/>
  <c r="S555" i="53"/>
  <c r="S536" i="53"/>
  <c r="S565" i="53"/>
  <c r="D377" i="3"/>
  <c r="T639" i="53"/>
  <c r="T651" i="53"/>
  <c r="T652" i="53" s="1"/>
  <c r="T693" i="53" s="1"/>
  <c r="T701" i="53" s="1"/>
  <c r="T640" i="53"/>
  <c r="T620" i="53"/>
  <c r="T627" i="53"/>
  <c r="T630" i="53" s="1"/>
  <c r="T691" i="53" s="1"/>
  <c r="T699" i="53" s="1"/>
  <c r="T536" i="53"/>
  <c r="G869" i="53"/>
  <c r="N542" i="53"/>
  <c r="G596" i="53"/>
  <c r="K620" i="53"/>
  <c r="K627" i="53"/>
  <c r="K639" i="53"/>
  <c r="K640" i="53"/>
  <c r="K651" i="53"/>
  <c r="K555" i="53"/>
  <c r="K542" i="53"/>
  <c r="G712" i="53"/>
  <c r="P536" i="53"/>
  <c r="P565" i="53"/>
  <c r="U555" i="53"/>
  <c r="U549" i="53"/>
  <c r="U565" i="53"/>
  <c r="O627" i="53"/>
  <c r="O630" i="53" s="1"/>
  <c r="O691" i="53" s="1"/>
  <c r="O699" i="53" s="1"/>
  <c r="O639" i="53"/>
  <c r="O640" i="53"/>
  <c r="O620" i="53"/>
  <c r="O651" i="53"/>
  <c r="O652" i="53" s="1"/>
  <c r="O693" i="53" s="1"/>
  <c r="O701" i="53" s="1"/>
  <c r="O536" i="53"/>
  <c r="O549" i="53"/>
  <c r="Q555" i="53"/>
  <c r="Q577" i="53"/>
  <c r="Q802" i="53" s="1"/>
  <c r="U245" i="53"/>
  <c r="U198" i="53" s="1"/>
  <c r="U199" i="53" s="1"/>
  <c r="R245" i="53"/>
  <c r="R198" i="53" s="1"/>
  <c r="R199" i="53" s="1"/>
  <c r="L245" i="53"/>
  <c r="L198" i="53" s="1"/>
  <c r="I245" i="53"/>
  <c r="I198" i="53" s="1"/>
  <c r="J536" i="53"/>
  <c r="J577" i="53"/>
  <c r="J802" i="53" s="1"/>
  <c r="J555" i="53"/>
  <c r="P779" i="1"/>
  <c r="U627" i="1"/>
  <c r="U650" i="1"/>
  <c r="U668" i="1" s="1"/>
  <c r="U684" i="1" s="1"/>
  <c r="U914" i="1"/>
  <c r="U915" i="1" s="1"/>
  <c r="AD146" i="1"/>
  <c r="AD251" i="1" s="1"/>
  <c r="AD614" i="1" s="1"/>
  <c r="AD658" i="1" s="1"/>
  <c r="AD674" i="1" s="1"/>
  <c r="AD634" i="1"/>
  <c r="AD663" i="1" s="1"/>
  <c r="AD679" i="1" s="1"/>
  <c r="T146" i="1"/>
  <c r="T251" i="1" s="1"/>
  <c r="T924" i="1" s="1"/>
  <c r="T925" i="1" s="1"/>
  <c r="T927" i="1" s="1"/>
  <c r="T649" i="1"/>
  <c r="T667" i="1" s="1"/>
  <c r="T683" i="1" s="1"/>
  <c r="T634" i="1"/>
  <c r="T663" i="1" s="1"/>
  <c r="T679" i="1" s="1"/>
  <c r="T145" i="1"/>
  <c r="T191" i="1" s="1"/>
  <c r="T230" i="1" s="1"/>
  <c r="AD682" i="1"/>
  <c r="U639" i="1"/>
  <c r="U124" i="1"/>
  <c r="U136" i="1" s="1"/>
  <c r="U634" i="1"/>
  <c r="U663" i="1" s="1"/>
  <c r="U679" i="1" s="1"/>
  <c r="U626" i="1"/>
  <c r="U661" i="1" s="1"/>
  <c r="U677" i="1" s="1"/>
  <c r="U649" i="1"/>
  <c r="U667" i="1" s="1"/>
  <c r="U683" i="1" s="1"/>
  <c r="U620" i="1"/>
  <c r="U622" i="1" s="1"/>
  <c r="U690" i="1" s="1"/>
  <c r="U698" i="1" s="1"/>
  <c r="U146" i="1"/>
  <c r="U251" i="1" s="1"/>
  <c r="U924" i="1" s="1"/>
  <c r="U925" i="1" s="1"/>
  <c r="U927" i="1" s="1"/>
  <c r="U147" i="1"/>
  <c r="U261" i="1" s="1"/>
  <c r="U615" i="1" s="1"/>
  <c r="U659" i="1" s="1"/>
  <c r="U675" i="1" s="1"/>
  <c r="U145" i="1"/>
  <c r="U191" i="1" s="1"/>
  <c r="U230" i="1" s="1"/>
  <c r="U629" i="1"/>
  <c r="U669" i="1" s="1"/>
  <c r="U685" i="1" s="1"/>
  <c r="U640" i="1"/>
  <c r="U651" i="1"/>
  <c r="U635" i="1"/>
  <c r="U637" i="1"/>
  <c r="U641" i="1"/>
  <c r="U665" i="1" s="1"/>
  <c r="U681" i="1" s="1"/>
  <c r="U636" i="1"/>
  <c r="T914" i="1"/>
  <c r="T915" i="1" s="1"/>
  <c r="W119" i="1"/>
  <c r="W737" i="1" s="1"/>
  <c r="W740" i="1" s="1"/>
  <c r="U119" i="1"/>
  <c r="U737" i="1" s="1"/>
  <c r="AD620" i="1"/>
  <c r="AD622" i="1" s="1"/>
  <c r="AD690" i="1" s="1"/>
  <c r="AD698" i="1" s="1"/>
  <c r="AD626" i="1"/>
  <c r="AD661" i="1" s="1"/>
  <c r="AD677" i="1" s="1"/>
  <c r="AD678" i="1"/>
  <c r="AD914" i="1"/>
  <c r="AD915" i="1" s="1"/>
  <c r="M1526" i="1"/>
  <c r="M1528" i="1"/>
  <c r="M1527" i="1"/>
  <c r="AD629" i="1"/>
  <c r="AD669" i="1" s="1"/>
  <c r="AD685" i="1" s="1"/>
  <c r="AD124" i="1"/>
  <c r="AD136" i="1" s="1"/>
  <c r="AD131" i="1"/>
  <c r="AD635" i="1"/>
  <c r="AD636" i="1"/>
  <c r="AD641" i="1"/>
  <c r="AD665" i="1" s="1"/>
  <c r="AD681" i="1" s="1"/>
  <c r="AD649" i="1"/>
  <c r="AD667" i="1" s="1"/>
  <c r="AD683" i="1" s="1"/>
  <c r="AD147" i="1"/>
  <c r="AD261" i="1" s="1"/>
  <c r="AD615" i="1" s="1"/>
  <c r="AD659" i="1" s="1"/>
  <c r="AD675" i="1" s="1"/>
  <c r="AD637" i="1"/>
  <c r="AD145" i="1"/>
  <c r="AD191" i="1" s="1"/>
  <c r="AD235" i="1" s="1"/>
  <c r="V639" i="1"/>
  <c r="M1524" i="1"/>
  <c r="M1523" i="1"/>
  <c r="M1522" i="1"/>
  <c r="V649" i="1"/>
  <c r="V667" i="1" s="1"/>
  <c r="V683" i="1" s="1"/>
  <c r="AA620" i="1"/>
  <c r="AA622" i="1" s="1"/>
  <c r="AA690" i="1" s="1"/>
  <c r="AA698" i="1" s="1"/>
  <c r="AA627" i="1"/>
  <c r="AB640" i="1"/>
  <c r="AB634" i="1"/>
  <c r="AB663" i="1" s="1"/>
  <c r="AB679" i="1" s="1"/>
  <c r="AA641" i="1"/>
  <c r="AA665" i="1" s="1"/>
  <c r="AA681" i="1" s="1"/>
  <c r="AB629" i="1"/>
  <c r="AB669" i="1" s="1"/>
  <c r="AB685" i="1" s="1"/>
  <c r="AB649" i="1"/>
  <c r="AB667" i="1" s="1"/>
  <c r="AB683" i="1" s="1"/>
  <c r="AB620" i="1"/>
  <c r="AB622" i="1" s="1"/>
  <c r="AB690" i="1" s="1"/>
  <c r="AB698" i="1" s="1"/>
  <c r="AA145" i="1"/>
  <c r="AA191" i="1" s="1"/>
  <c r="AA235" i="1" s="1"/>
  <c r="AA146" i="1"/>
  <c r="AA251" i="1" s="1"/>
  <c r="AA924" i="1" s="1"/>
  <c r="AA925" i="1" s="1"/>
  <c r="AA927" i="1" s="1"/>
  <c r="AA650" i="1"/>
  <c r="AA668" i="1" s="1"/>
  <c r="AA684" i="1" s="1"/>
  <c r="AB914" i="1"/>
  <c r="AB915" i="1" s="1"/>
  <c r="AB651" i="1"/>
  <c r="AB636" i="1"/>
  <c r="AB147" i="1"/>
  <c r="AB261" i="1" s="1"/>
  <c r="AB615" i="1" s="1"/>
  <c r="AB659" i="1" s="1"/>
  <c r="AB675" i="1" s="1"/>
  <c r="AA124" i="1"/>
  <c r="AA136" i="1" s="1"/>
  <c r="AA636" i="1"/>
  <c r="AA626" i="1"/>
  <c r="AA661" i="1" s="1"/>
  <c r="AA677" i="1" s="1"/>
  <c r="AA678" i="1"/>
  <c r="AB146" i="1"/>
  <c r="AB251" i="1" s="1"/>
  <c r="AB614" i="1" s="1"/>
  <c r="AB658" i="1" s="1"/>
  <c r="AB674" i="1" s="1"/>
  <c r="N3" i="1"/>
  <c r="AA651" i="1"/>
  <c r="AB639" i="1"/>
  <c r="AB796" i="1"/>
  <c r="AB145" i="1"/>
  <c r="AB191" i="1" s="1"/>
  <c r="AB235" i="1" s="1"/>
  <c r="AB635" i="1"/>
  <c r="AB124" i="1"/>
  <c r="AB136" i="1" s="1"/>
  <c r="AB626" i="1"/>
  <c r="AB661" i="1" s="1"/>
  <c r="AB1871" i="1" s="1"/>
  <c r="AA635" i="1"/>
  <c r="N640" i="1"/>
  <c r="AA637" i="1"/>
  <c r="W629" i="1"/>
  <c r="W669" i="1" s="1"/>
  <c r="W685" i="1" s="1"/>
  <c r="AA147" i="1"/>
  <c r="AA261" i="1" s="1"/>
  <c r="AA615" i="1" s="1"/>
  <c r="AA659" i="1" s="1"/>
  <c r="AA675" i="1" s="1"/>
  <c r="T682" i="1"/>
  <c r="T636" i="1"/>
  <c r="AA914" i="1"/>
  <c r="AA915" i="1" s="1"/>
  <c r="AA640" i="1"/>
  <c r="AA639" i="1"/>
  <c r="AB627" i="1"/>
  <c r="AB637" i="1"/>
  <c r="AB641" i="1"/>
  <c r="AB665" i="1" s="1"/>
  <c r="AB681" i="1" s="1"/>
  <c r="AB650" i="1"/>
  <c r="AB668" i="1" s="1"/>
  <c r="AB684" i="1" s="1"/>
  <c r="AA649" i="1"/>
  <c r="AA667" i="1" s="1"/>
  <c r="AA683" i="1" s="1"/>
  <c r="N636" i="1"/>
  <c r="AA634" i="1"/>
  <c r="AA663" i="1" s="1"/>
  <c r="AA679" i="1" s="1"/>
  <c r="AA682" i="1"/>
  <c r="AB682" i="1"/>
  <c r="N1155" i="1"/>
  <c r="W634" i="1"/>
  <c r="W663" i="1" s="1"/>
  <c r="W679" i="1" s="1"/>
  <c r="W636" i="1"/>
  <c r="W626" i="1"/>
  <c r="W661" i="1" s="1"/>
  <c r="W677" i="1" s="1"/>
  <c r="S620" i="1"/>
  <c r="S622" i="1" s="1"/>
  <c r="S690" i="1" s="1"/>
  <c r="S698" i="1" s="1"/>
  <c r="W627" i="1"/>
  <c r="AE639" i="1"/>
  <c r="AE651" i="1"/>
  <c r="W639" i="1"/>
  <c r="W650" i="1"/>
  <c r="W668" i="1" s="1"/>
  <c r="W684" i="1" s="1"/>
  <c r="AE650" i="1"/>
  <c r="AE668" i="1" s="1"/>
  <c r="AE684" i="1" s="1"/>
  <c r="W651" i="1"/>
  <c r="W637" i="1"/>
  <c r="Z133" i="1"/>
  <c r="S637" i="1"/>
  <c r="AE620" i="1"/>
  <c r="AE622" i="1" s="1"/>
  <c r="AE690" i="1" s="1"/>
  <c r="AE698" i="1" s="1"/>
  <c r="AE627" i="1"/>
  <c r="W620" i="1"/>
  <c r="W635" i="1"/>
  <c r="W649" i="1"/>
  <c r="W667" i="1" s="1"/>
  <c r="W683" i="1" s="1"/>
  <c r="W147" i="1"/>
  <c r="W261" i="1" s="1"/>
  <c r="W615" i="1" s="1"/>
  <c r="W659" i="1" s="1"/>
  <c r="W675" i="1" s="1"/>
  <c r="W641" i="1"/>
  <c r="W665" i="1" s="1"/>
  <c r="W681" i="1" s="1"/>
  <c r="W640" i="1"/>
  <c r="W145" i="1"/>
  <c r="W191" i="1" s="1"/>
  <c r="W235" i="1" s="1"/>
  <c r="V133" i="1"/>
  <c r="W124" i="1"/>
  <c r="W136" i="1" s="1"/>
  <c r="S146" i="1"/>
  <c r="S251" i="1" s="1"/>
  <c r="S924" i="1" s="1"/>
  <c r="S925" i="1" s="1"/>
  <c r="S927" i="1" s="1"/>
  <c r="I237" i="53"/>
  <c r="I197" i="53" s="1"/>
  <c r="O651" i="1"/>
  <c r="K682" i="53"/>
  <c r="G666" i="53"/>
  <c r="G682" i="53" s="1"/>
  <c r="G1811" i="53" s="1"/>
  <c r="K680" i="53"/>
  <c r="G664" i="53"/>
  <c r="G680" i="53" s="1"/>
  <c r="G1809" i="53" s="1"/>
  <c r="J64" i="1"/>
  <c r="J22" i="1" s="1"/>
  <c r="J25" i="1"/>
  <c r="J61" i="1"/>
  <c r="J54" i="1"/>
  <c r="O146" i="1"/>
  <c r="O251" i="1" s="1"/>
  <c r="O924" i="1" s="1"/>
  <c r="O925" i="1" s="1"/>
  <c r="O927" i="1" s="1"/>
  <c r="G197" i="53"/>
  <c r="S639" i="1"/>
  <c r="S124" i="1"/>
  <c r="S136" i="1" s="1"/>
  <c r="S641" i="1"/>
  <c r="S665" i="1" s="1"/>
  <c r="S681" i="1" s="1"/>
  <c r="M1871" i="1"/>
  <c r="M677" i="1"/>
  <c r="N147" i="1"/>
  <c r="N261" i="1" s="1"/>
  <c r="N615" i="1" s="1"/>
  <c r="N659" i="1" s="1"/>
  <c r="N675" i="1" s="1"/>
  <c r="N914" i="1"/>
  <c r="N915" i="1" s="1"/>
  <c r="N678" i="1"/>
  <c r="N682" i="1"/>
  <c r="S914" i="1"/>
  <c r="S915" i="1" s="1"/>
  <c r="S682" i="1"/>
  <c r="S678" i="1"/>
  <c r="S640" i="1"/>
  <c r="P235" i="1"/>
  <c r="S650" i="1"/>
  <c r="S668" i="1" s="1"/>
  <c r="S684" i="1" s="1"/>
  <c r="S635" i="1"/>
  <c r="S634" i="1"/>
  <c r="S663" i="1" s="1"/>
  <c r="S679" i="1" s="1"/>
  <c r="S626" i="1"/>
  <c r="S661" i="1" s="1"/>
  <c r="S677" i="1" s="1"/>
  <c r="O637" i="1"/>
  <c r="O914" i="1"/>
  <c r="O915" i="1" s="1"/>
  <c r="O682" i="1"/>
  <c r="O678" i="1"/>
  <c r="V629" i="1"/>
  <c r="V669" i="1" s="1"/>
  <c r="V685" i="1" s="1"/>
  <c r="V914" i="1"/>
  <c r="V915" i="1" s="1"/>
  <c r="V678" i="1"/>
  <c r="V682" i="1"/>
  <c r="AC235" i="1"/>
  <c r="AC230" i="1"/>
  <c r="Z651" i="1"/>
  <c r="Z914" i="1"/>
  <c r="Z915" i="1" s="1"/>
  <c r="Z682" i="1"/>
  <c r="Z678" i="1"/>
  <c r="S651" i="1"/>
  <c r="S627" i="1"/>
  <c r="Z640" i="1"/>
  <c r="S636" i="1"/>
  <c r="S147" i="1"/>
  <c r="S261" i="1" s="1"/>
  <c r="S615" i="1" s="1"/>
  <c r="S659" i="1" s="1"/>
  <c r="S675" i="1" s="1"/>
  <c r="S649" i="1"/>
  <c r="S667" i="1" s="1"/>
  <c r="S683" i="1" s="1"/>
  <c r="S145" i="1"/>
  <c r="S191" i="1" s="1"/>
  <c r="R145" i="1"/>
  <c r="R191" i="1" s="1"/>
  <c r="R919" i="1" s="1"/>
  <c r="R920" i="1" s="1"/>
  <c r="R914" i="1"/>
  <c r="R915" i="1" s="1"/>
  <c r="R678" i="1"/>
  <c r="R682" i="1"/>
  <c r="AE914" i="1"/>
  <c r="AE915" i="1" s="1"/>
  <c r="AE682" i="1"/>
  <c r="AE678" i="1"/>
  <c r="X637" i="1"/>
  <c r="X914" i="1"/>
  <c r="X915" i="1" s="1"/>
  <c r="X682" i="1"/>
  <c r="X678" i="1"/>
  <c r="W914" i="1"/>
  <c r="W915" i="1" s="1"/>
  <c r="W678" i="1"/>
  <c r="W682" i="1"/>
  <c r="G759" i="53"/>
  <c r="N626" i="1"/>
  <c r="N661" i="1" s="1"/>
  <c r="N677" i="1" s="1"/>
  <c r="N641" i="1"/>
  <c r="N665" i="1" s="1"/>
  <c r="N681" i="1" s="1"/>
  <c r="X120" i="1"/>
  <c r="X121" i="1" s="1"/>
  <c r="N639" i="1"/>
  <c r="S133" i="1"/>
  <c r="Z650" i="1"/>
  <c r="Z668" i="1" s="1"/>
  <c r="Z684" i="1" s="1"/>
  <c r="X740" i="1"/>
  <c r="N627" i="1"/>
  <c r="N637" i="1"/>
  <c r="N145" i="1"/>
  <c r="N191" i="1" s="1"/>
  <c r="N620" i="1"/>
  <c r="N622" i="1" s="1"/>
  <c r="N690" i="1" s="1"/>
  <c r="N698" i="1" s="1"/>
  <c r="N651" i="1"/>
  <c r="N629" i="1"/>
  <c r="N669" i="1" s="1"/>
  <c r="N685" i="1" s="1"/>
  <c r="N635" i="1"/>
  <c r="N124" i="1"/>
  <c r="N136" i="1" s="1"/>
  <c r="N146" i="1"/>
  <c r="N251" i="1" s="1"/>
  <c r="N614" i="1" s="1"/>
  <c r="N658" i="1" s="1"/>
  <c r="N674" i="1" s="1"/>
  <c r="N650" i="1"/>
  <c r="N668" i="1" s="1"/>
  <c r="N684" i="1" s="1"/>
  <c r="N649" i="1"/>
  <c r="N667" i="1" s="1"/>
  <c r="N683" i="1" s="1"/>
  <c r="X131" i="1"/>
  <c r="V651" i="1"/>
  <c r="V640" i="1"/>
  <c r="Z620" i="1"/>
  <c r="Z622" i="1" s="1"/>
  <c r="Z690" i="1" s="1"/>
  <c r="Z698" i="1" s="1"/>
  <c r="O640" i="1"/>
  <c r="O620" i="1"/>
  <c r="O622" i="1" s="1"/>
  <c r="O690" i="1" s="1"/>
  <c r="O698" i="1" s="1"/>
  <c r="V626" i="1"/>
  <c r="V661" i="1" s="1"/>
  <c r="V677" i="1" s="1"/>
  <c r="V124" i="1"/>
  <c r="V136" i="1" s="1"/>
  <c r="O634" i="1"/>
  <c r="O663" i="1" s="1"/>
  <c r="O679" i="1" s="1"/>
  <c r="O636" i="1"/>
  <c r="V636" i="1"/>
  <c r="V627" i="1"/>
  <c r="Z627" i="1"/>
  <c r="O639" i="1"/>
  <c r="V146" i="1"/>
  <c r="V251" i="1" s="1"/>
  <c r="V614" i="1" s="1"/>
  <c r="V658" i="1" s="1"/>
  <c r="V674" i="1" s="1"/>
  <c r="V641" i="1"/>
  <c r="V665" i="1" s="1"/>
  <c r="V681" i="1" s="1"/>
  <c r="V147" i="1"/>
  <c r="V261" i="1" s="1"/>
  <c r="V615" i="1" s="1"/>
  <c r="V659" i="1" s="1"/>
  <c r="V675" i="1" s="1"/>
  <c r="O641" i="1"/>
  <c r="O665" i="1" s="1"/>
  <c r="O681" i="1" s="1"/>
  <c r="O626" i="1"/>
  <c r="O661" i="1" s="1"/>
  <c r="O629" i="1"/>
  <c r="O669" i="1" s="1"/>
  <c r="O685" i="1" s="1"/>
  <c r="O124" i="1"/>
  <c r="O136" i="1" s="1"/>
  <c r="V620" i="1"/>
  <c r="O627" i="1"/>
  <c r="V145" i="1"/>
  <c r="V191" i="1" s="1"/>
  <c r="V919" i="1" s="1"/>
  <c r="V920" i="1" s="1"/>
  <c r="V635" i="1"/>
  <c r="O649" i="1"/>
  <c r="O667" i="1" s="1"/>
  <c r="O683" i="1" s="1"/>
  <c r="O635" i="1"/>
  <c r="O650" i="1"/>
  <c r="O668" i="1" s="1"/>
  <c r="O684" i="1" s="1"/>
  <c r="O145" i="1"/>
  <c r="O191" i="1" s="1"/>
  <c r="O919" i="1" s="1"/>
  <c r="O920" i="1" s="1"/>
  <c r="V637" i="1"/>
  <c r="AE145" i="1"/>
  <c r="AE191" i="1" s="1"/>
  <c r="AE634" i="1"/>
  <c r="AE663" i="1" s="1"/>
  <c r="AE679" i="1" s="1"/>
  <c r="R651" i="1"/>
  <c r="X636" i="1"/>
  <c r="AE147" i="1"/>
  <c r="AE261" i="1" s="1"/>
  <c r="AE615" i="1" s="1"/>
  <c r="AE659" i="1" s="1"/>
  <c r="AE675" i="1" s="1"/>
  <c r="R635" i="1"/>
  <c r="X649" i="1"/>
  <c r="X667" i="1" s="1"/>
  <c r="X683" i="1" s="1"/>
  <c r="X651" i="1"/>
  <c r="R640" i="1"/>
  <c r="R639" i="1"/>
  <c r="X620" i="1"/>
  <c r="X622" i="1" s="1"/>
  <c r="X690" i="1" s="1"/>
  <c r="X698" i="1" s="1"/>
  <c r="R795" i="1"/>
  <c r="X124" i="1"/>
  <c r="X136" i="1" s="1"/>
  <c r="X635" i="1"/>
  <c r="AE146" i="1"/>
  <c r="AE251" i="1" s="1"/>
  <c r="AE614" i="1" s="1"/>
  <c r="AE658" i="1" s="1"/>
  <c r="AE674" i="1" s="1"/>
  <c r="R636" i="1"/>
  <c r="AE649" i="1"/>
  <c r="AE667" i="1" s="1"/>
  <c r="AE683" i="1" s="1"/>
  <c r="P915" i="1"/>
  <c r="R637" i="1"/>
  <c r="X650" i="1"/>
  <c r="X668" i="1" s="1"/>
  <c r="X684" i="1" s="1"/>
  <c r="X641" i="1"/>
  <c r="X665" i="1" s="1"/>
  <c r="X681" i="1" s="1"/>
  <c r="R620" i="1"/>
  <c r="R622" i="1" s="1"/>
  <c r="R690" i="1" s="1"/>
  <c r="R698" i="1" s="1"/>
  <c r="X639" i="1"/>
  <c r="X629" i="1"/>
  <c r="X669" i="1" s="1"/>
  <c r="X685" i="1" s="1"/>
  <c r="X634" i="1"/>
  <c r="X663" i="1" s="1"/>
  <c r="X679" i="1" s="1"/>
  <c r="X146" i="1"/>
  <c r="X251" i="1" s="1"/>
  <c r="X924" i="1" s="1"/>
  <c r="X925" i="1" s="1"/>
  <c r="X927" i="1" s="1"/>
  <c r="AE635" i="1"/>
  <c r="R634" i="1"/>
  <c r="R663" i="1" s="1"/>
  <c r="R679" i="1" s="1"/>
  <c r="R641" i="1"/>
  <c r="R665" i="1" s="1"/>
  <c r="R681" i="1" s="1"/>
  <c r="R626" i="1"/>
  <c r="R661" i="1" s="1"/>
  <c r="AE636" i="1"/>
  <c r="R649" i="1"/>
  <c r="R667" i="1" s="1"/>
  <c r="R683" i="1" s="1"/>
  <c r="X626" i="1"/>
  <c r="X661" i="1" s="1"/>
  <c r="AE641" i="1"/>
  <c r="AE665" i="1" s="1"/>
  <c r="AE681" i="1" s="1"/>
  <c r="AE637" i="1"/>
  <c r="R627" i="1"/>
  <c r="X627" i="1"/>
  <c r="AE629" i="1"/>
  <c r="AE669" i="1" s="1"/>
  <c r="AE685" i="1" s="1"/>
  <c r="X640" i="1"/>
  <c r="X145" i="1"/>
  <c r="X191" i="1" s="1"/>
  <c r="R629" i="1"/>
  <c r="R669" i="1" s="1"/>
  <c r="R685" i="1" s="1"/>
  <c r="R146" i="1"/>
  <c r="R251" i="1" s="1"/>
  <c r="R924" i="1" s="1"/>
  <c r="R925" i="1" s="1"/>
  <c r="R927" i="1" s="1"/>
  <c r="R650" i="1"/>
  <c r="R668" i="1" s="1"/>
  <c r="R684" i="1" s="1"/>
  <c r="AC915" i="1"/>
  <c r="AE626" i="1"/>
  <c r="AE661" i="1" s="1"/>
  <c r="R147" i="1"/>
  <c r="R261" i="1" s="1"/>
  <c r="R615" i="1" s="1"/>
  <c r="R659" i="1" s="1"/>
  <c r="R675" i="1" s="1"/>
  <c r="X147" i="1"/>
  <c r="X261" i="1" s="1"/>
  <c r="X615" i="1" s="1"/>
  <c r="X659" i="1" s="1"/>
  <c r="X675" i="1" s="1"/>
  <c r="AE124" i="1"/>
  <c r="AE136" i="1" s="1"/>
  <c r="Z147" i="1"/>
  <c r="Z261" i="1" s="1"/>
  <c r="Z615" i="1" s="1"/>
  <c r="Z659" i="1" s="1"/>
  <c r="Z675" i="1" s="1"/>
  <c r="Z145" i="1"/>
  <c r="Z191" i="1" s="1"/>
  <c r="Z641" i="1"/>
  <c r="Z665" i="1" s="1"/>
  <c r="Z681" i="1" s="1"/>
  <c r="Z634" i="1"/>
  <c r="Z663" i="1" s="1"/>
  <c r="Z679" i="1" s="1"/>
  <c r="Z635" i="1"/>
  <c r="Z146" i="1"/>
  <c r="Z251" i="1" s="1"/>
  <c r="Z636" i="1"/>
  <c r="Z649" i="1"/>
  <c r="Z667" i="1" s="1"/>
  <c r="Z683" i="1" s="1"/>
  <c r="Z629" i="1"/>
  <c r="Z669" i="1" s="1"/>
  <c r="Z685" i="1" s="1"/>
  <c r="Z637" i="1"/>
  <c r="Z124" i="1"/>
  <c r="Z136" i="1" s="1"/>
  <c r="Z626" i="1"/>
  <c r="Z661" i="1" s="1"/>
  <c r="Z677" i="1" s="1"/>
  <c r="P555" i="1"/>
  <c r="P536" i="1"/>
  <c r="T334" i="3"/>
  <c r="T345" i="3" s="1"/>
  <c r="T355" i="3" s="1"/>
  <c r="U324" i="3"/>
  <c r="T286" i="3"/>
  <c r="J286" i="3"/>
  <c r="U286" i="3" s="1"/>
  <c r="J218" i="3"/>
  <c r="U185" i="3"/>
  <c r="E11" i="46"/>
  <c r="D12" i="46"/>
  <c r="AB740" i="1"/>
  <c r="O748" i="1"/>
  <c r="O751" i="1" s="1"/>
  <c r="AE121" i="1"/>
  <c r="AE748" i="1"/>
  <c r="AE751" i="1" s="1"/>
  <c r="Y121" i="1"/>
  <c r="Y748" i="1"/>
  <c r="Y751" i="1" s="1"/>
  <c r="AC121" i="1"/>
  <c r="AC748" i="1"/>
  <c r="AC751" i="1" s="1"/>
  <c r="P121" i="1"/>
  <c r="P748" i="1"/>
  <c r="P751" i="1" s="1"/>
  <c r="S121" i="1"/>
  <c r="S748" i="1"/>
  <c r="S751" i="1" s="1"/>
  <c r="W748" i="1"/>
  <c r="W751" i="1" s="1"/>
  <c r="Z121" i="1"/>
  <c r="Z748" i="1"/>
  <c r="Z751" i="1" s="1"/>
  <c r="AB121" i="1"/>
  <c r="T740" i="1"/>
  <c r="AA740" i="1"/>
  <c r="P740" i="1"/>
  <c r="N121" i="1"/>
  <c r="AD121" i="1"/>
  <c r="AA121" i="1"/>
  <c r="W614" i="1"/>
  <c r="W658" i="1" s="1"/>
  <c r="W674" i="1" s="1"/>
  <c r="T121" i="1"/>
  <c r="M1391" i="1"/>
  <c r="M1432" i="1" s="1"/>
  <c r="O2" i="1"/>
  <c r="I2" i="49"/>
  <c r="G58" i="1"/>
  <c r="E58" i="1" s="1"/>
  <c r="E24" i="1" s="1"/>
  <c r="I2" i="4"/>
  <c r="R64" i="1"/>
  <c r="R133" i="1"/>
  <c r="N1389" i="1"/>
  <c r="N1427" i="1" s="1"/>
  <c r="AA64" i="1"/>
  <c r="AA133" i="1"/>
  <c r="M1285" i="1"/>
  <c r="M1277" i="1" s="1"/>
  <c r="N1206" i="1"/>
  <c r="N1285" i="1" s="1"/>
  <c r="N1277" i="1" s="1"/>
  <c r="R61" i="1"/>
  <c r="G66" i="1"/>
  <c r="E66" i="1" s="1"/>
  <c r="E25" i="1" s="1"/>
  <c r="P565" i="1"/>
  <c r="P542" i="1"/>
  <c r="B758" i="1"/>
  <c r="B763" i="1" s="1"/>
  <c r="B768" i="1" s="1"/>
  <c r="B714" i="1"/>
  <c r="B742" i="1" s="1"/>
  <c r="U766" i="1"/>
  <c r="U790" i="1" s="1"/>
  <c r="U796" i="1" s="1"/>
  <c r="Q771" i="1"/>
  <c r="T771" i="1"/>
  <c r="P771" i="1"/>
  <c r="H5" i="4"/>
  <c r="G42" i="4"/>
  <c r="G65" i="4" s="1"/>
  <c r="U761" i="1"/>
  <c r="U789" i="1" s="1"/>
  <c r="U795" i="1" s="1"/>
  <c r="V761" i="1"/>
  <c r="V789" i="1" s="1"/>
  <c r="V795" i="1" s="1"/>
  <c r="W759" i="1"/>
  <c r="W764" i="1" s="1"/>
  <c r="W766" i="1" s="1"/>
  <c r="W779" i="1" s="1"/>
  <c r="B269" i="1"/>
  <c r="B327" i="1" s="1"/>
  <c r="B591" i="1"/>
  <c r="B610" i="1" s="1"/>
  <c r="B612" i="1" s="1"/>
  <c r="B618" i="1" s="1"/>
  <c r="B624" i="1" s="1"/>
  <c r="B632" i="1" s="1"/>
  <c r="B646" i="1" s="1"/>
  <c r="B654" i="1" s="1"/>
  <c r="AC614" i="1"/>
  <c r="AC658" i="1" s="1"/>
  <c r="AC674" i="1" s="1"/>
  <c r="AC924" i="1"/>
  <c r="AC925" i="1" s="1"/>
  <c r="AC927" i="1" s="1"/>
  <c r="AC919" i="1"/>
  <c r="AC920" i="1" s="1"/>
  <c r="B811" i="1"/>
  <c r="B813" i="1" s="1"/>
  <c r="B875" i="1" s="1"/>
  <c r="B891" i="1" s="1"/>
  <c r="B895" i="1" s="1"/>
  <c r="B901" i="1"/>
  <c r="AC664" i="1"/>
  <c r="AC680" i="1" s="1"/>
  <c r="N1" i="1"/>
  <c r="P778" i="1"/>
  <c r="H5" i="49"/>
  <c r="G42" i="49"/>
  <c r="G65" i="49" s="1"/>
  <c r="AB779" i="1"/>
  <c r="R778" i="1"/>
  <c r="T779" i="1"/>
  <c r="G196" i="1"/>
  <c r="N549" i="1"/>
  <c r="N536" i="1"/>
  <c r="U542" i="1"/>
  <c r="N565" i="1"/>
  <c r="P577" i="1"/>
  <c r="P802" i="1" s="1"/>
  <c r="U536" i="1"/>
  <c r="R497" i="1"/>
  <c r="R548" i="1" s="1"/>
  <c r="R549" i="1" s="1"/>
  <c r="R522" i="1"/>
  <c r="R576" i="1" s="1"/>
  <c r="Z542" i="1"/>
  <c r="R520" i="1"/>
  <c r="R574" i="1" s="1"/>
  <c r="U565" i="1"/>
  <c r="R501" i="1"/>
  <c r="R553" i="1" s="1"/>
  <c r="R555" i="1" s="1"/>
  <c r="V565" i="1"/>
  <c r="T555" i="1"/>
  <c r="U500" i="1"/>
  <c r="U552" i="1" s="1"/>
  <c r="U501" i="1"/>
  <c r="U553" i="1" s="1"/>
  <c r="U495" i="1"/>
  <c r="U546" i="1" s="1"/>
  <c r="U549" i="1" s="1"/>
  <c r="X520" i="1"/>
  <c r="X574" i="1" s="1"/>
  <c r="O485" i="1"/>
  <c r="O534" i="1" s="1"/>
  <c r="O536" i="1" s="1"/>
  <c r="T497" i="1"/>
  <c r="T548" i="1" s="1"/>
  <c r="T549" i="1" s="1"/>
  <c r="O491" i="1"/>
  <c r="O541" i="1" s="1"/>
  <c r="O542" i="1" s="1"/>
  <c r="Q484" i="1"/>
  <c r="Q533" i="1" s="1"/>
  <c r="Q536" i="1" s="1"/>
  <c r="M497" i="1"/>
  <c r="M548" i="1" s="1"/>
  <c r="M549" i="1" s="1"/>
  <c r="T491" i="1"/>
  <c r="T541" i="1" s="1"/>
  <c r="T542" i="1" s="1"/>
  <c r="O516" i="1"/>
  <c r="O570" i="1" s="1"/>
  <c r="O577" i="1" s="1"/>
  <c r="O802" i="1" s="1"/>
  <c r="Q555" i="1"/>
  <c r="M555" i="1"/>
  <c r="T483" i="1"/>
  <c r="T532" i="1" s="1"/>
  <c r="T536" i="1" s="1"/>
  <c r="M507" i="1"/>
  <c r="M560" i="1" s="1"/>
  <c r="M565" i="1" s="1"/>
  <c r="Q577" i="1"/>
  <c r="Q802" i="1" s="1"/>
  <c r="Q495" i="1"/>
  <c r="Q546" i="1" s="1"/>
  <c r="Q549" i="1" s="1"/>
  <c r="M480" i="1"/>
  <c r="M529" i="1" s="1"/>
  <c r="O565" i="1"/>
  <c r="X549" i="1"/>
  <c r="X522" i="1"/>
  <c r="X576" i="1" s="1"/>
  <c r="X481" i="1"/>
  <c r="X530" i="1" s="1"/>
  <c r="X536" i="1" s="1"/>
  <c r="M577" i="1"/>
  <c r="M802" i="1" s="1"/>
  <c r="V555" i="1"/>
  <c r="M779" i="1"/>
  <c r="M790" i="1"/>
  <c r="M796" i="1" s="1"/>
  <c r="X779" i="1"/>
  <c r="X790" i="1"/>
  <c r="X796" i="1" s="1"/>
  <c r="X500" i="1"/>
  <c r="X552" i="1" s="1"/>
  <c r="X555" i="1" s="1"/>
  <c r="Z536" i="1"/>
  <c r="Q779" i="1"/>
  <c r="Q790" i="1"/>
  <c r="Q796" i="1" s="1"/>
  <c r="T507" i="1"/>
  <c r="T560" i="1" s="1"/>
  <c r="T565" i="1" s="1"/>
  <c r="X491" i="1"/>
  <c r="X541" i="1" s="1"/>
  <c r="X542" i="1" s="1"/>
  <c r="Q789" i="1"/>
  <c r="Q795" i="1" s="1"/>
  <c r="Q778" i="1"/>
  <c r="T514" i="1"/>
  <c r="T568" i="1" s="1"/>
  <c r="T577" i="1" s="1"/>
  <c r="T802" i="1" s="1"/>
  <c r="X507" i="1"/>
  <c r="X560" i="1" s="1"/>
  <c r="O497" i="1"/>
  <c r="O548" i="1" s="1"/>
  <c r="O549" i="1" s="1"/>
  <c r="M484" i="1"/>
  <c r="M533" i="1" s="1"/>
  <c r="T778" i="1"/>
  <c r="T789" i="1"/>
  <c r="T795" i="1" s="1"/>
  <c r="X517" i="1"/>
  <c r="X571" i="1" s="1"/>
  <c r="X505" i="1"/>
  <c r="X558" i="1" s="1"/>
  <c r="Q507" i="1"/>
  <c r="Q560" i="1" s="1"/>
  <c r="Q565" i="1" s="1"/>
  <c r="S495" i="1"/>
  <c r="S546" i="1" s="1"/>
  <c r="S549" i="1" s="1"/>
  <c r="Z577" i="1"/>
  <c r="Z802" i="1" s="1"/>
  <c r="Z555" i="1"/>
  <c r="W482" i="1"/>
  <c r="W531" i="1" s="1"/>
  <c r="V516" i="1"/>
  <c r="V570" i="1" s="1"/>
  <c r="V485" i="1"/>
  <c r="V534" i="1" s="1"/>
  <c r="W489" i="1"/>
  <c r="W539" i="1" s="1"/>
  <c r="V518" i="1"/>
  <c r="V572" i="1" s="1"/>
  <c r="AB565" i="1"/>
  <c r="Z496" i="1"/>
  <c r="Z547" i="1" s="1"/>
  <c r="V515" i="1"/>
  <c r="V569" i="1" s="1"/>
  <c r="W511" i="1"/>
  <c r="W564" i="1" s="1"/>
  <c r="W565" i="1" s="1"/>
  <c r="W521" i="1"/>
  <c r="W575" i="1" s="1"/>
  <c r="W577" i="1" s="1"/>
  <c r="W802" i="1" s="1"/>
  <c r="S489" i="1"/>
  <c r="S539" i="1" s="1"/>
  <c r="S542" i="1" s="1"/>
  <c r="AB490" i="1"/>
  <c r="AB540" i="1" s="1"/>
  <c r="V481" i="1"/>
  <c r="V530" i="1" s="1"/>
  <c r="S565" i="1"/>
  <c r="AB489" i="1"/>
  <c r="AB539" i="1" s="1"/>
  <c r="W486" i="1"/>
  <c r="W535" i="1" s="1"/>
  <c r="W555" i="1"/>
  <c r="V549" i="1"/>
  <c r="AB515" i="1"/>
  <c r="AB569" i="1" s="1"/>
  <c r="AB577" i="1" s="1"/>
  <c r="AB802" i="1" s="1"/>
  <c r="AB484" i="1"/>
  <c r="AB533" i="1" s="1"/>
  <c r="AB536" i="1" s="1"/>
  <c r="Z510" i="1"/>
  <c r="Z563" i="1" s="1"/>
  <c r="Z565" i="1" s="1"/>
  <c r="V491" i="1"/>
  <c r="V541" i="1" s="1"/>
  <c r="S516" i="1"/>
  <c r="S570" i="1" s="1"/>
  <c r="W483" i="1"/>
  <c r="W532" i="1" s="1"/>
  <c r="W549" i="1"/>
  <c r="Z790" i="1"/>
  <c r="Z796" i="1" s="1"/>
  <c r="Z779" i="1"/>
  <c r="S789" i="1"/>
  <c r="S795" i="1" s="1"/>
  <c r="S790" i="1"/>
  <c r="S796" i="1" s="1"/>
  <c r="S779" i="1"/>
  <c r="AB549" i="1"/>
  <c r="S524" i="1"/>
  <c r="S579" i="1" s="1"/>
  <c r="S514" i="1"/>
  <c r="S568" i="1" s="1"/>
  <c r="S522" i="1"/>
  <c r="S576" i="1" s="1"/>
  <c r="W490" i="1"/>
  <c r="W540" i="1" s="1"/>
  <c r="S536" i="1"/>
  <c r="V489" i="1"/>
  <c r="V539" i="1" s="1"/>
  <c r="AB502" i="1"/>
  <c r="AB554" i="1" s="1"/>
  <c r="AB555" i="1" s="1"/>
  <c r="W480" i="1"/>
  <c r="W529" i="1" s="1"/>
  <c r="AA481" i="1"/>
  <c r="AA530" i="1" s="1"/>
  <c r="Y494" i="1"/>
  <c r="Y545" i="1" s="1"/>
  <c r="AA480" i="1"/>
  <c r="AA529" i="1" s="1"/>
  <c r="AC490" i="1"/>
  <c r="AC540" i="1" s="1"/>
  <c r="AD481" i="1"/>
  <c r="AD530" i="1" s="1"/>
  <c r="AA524" i="1"/>
  <c r="AA579" i="1" s="1"/>
  <c r="AA501" i="1"/>
  <c r="AA553" i="1" s="1"/>
  <c r="AA555" i="1" s="1"/>
  <c r="Y501" i="1"/>
  <c r="Y553" i="1" s="1"/>
  <c r="AC515" i="1"/>
  <c r="AC569" i="1" s="1"/>
  <c r="AD490" i="1"/>
  <c r="AD540" i="1" s="1"/>
  <c r="AC501" i="1"/>
  <c r="AC553" i="1" s="1"/>
  <c r="AD480" i="1"/>
  <c r="AD529" i="1" s="1"/>
  <c r="AC486" i="1"/>
  <c r="AC535" i="1" s="1"/>
  <c r="AD489" i="1"/>
  <c r="AD539" i="1" s="1"/>
  <c r="Y509" i="1"/>
  <c r="Y562" i="1" s="1"/>
  <c r="AC505" i="1"/>
  <c r="AC558" i="1" s="1"/>
  <c r="AA510" i="1"/>
  <c r="AA563" i="1" s="1"/>
  <c r="Y524" i="1"/>
  <c r="Y579" i="1" s="1"/>
  <c r="AD500" i="1"/>
  <c r="AD552" i="1" s="1"/>
  <c r="AD486" i="1"/>
  <c r="AD535" i="1" s="1"/>
  <c r="AD509" i="1"/>
  <c r="AD562" i="1" s="1"/>
  <c r="AC507" i="1"/>
  <c r="AC560" i="1" s="1"/>
  <c r="AC497" i="1"/>
  <c r="AC548" i="1" s="1"/>
  <c r="AD485" i="1"/>
  <c r="AD534" i="1" s="1"/>
  <c r="Y502" i="1"/>
  <c r="Y554" i="1" s="1"/>
  <c r="Y480" i="1"/>
  <c r="Y529" i="1" s="1"/>
  <c r="Y536" i="1" s="1"/>
  <c r="AA505" i="1"/>
  <c r="AA558" i="1" s="1"/>
  <c r="AC509" i="1"/>
  <c r="AC562" i="1" s="1"/>
  <c r="AD524" i="1"/>
  <c r="AD579" i="1" s="1"/>
  <c r="AD496" i="1"/>
  <c r="AD547" i="1" s="1"/>
  <c r="Y516" i="1"/>
  <c r="Y570" i="1" s="1"/>
  <c r="AC502" i="1"/>
  <c r="AC554" i="1" s="1"/>
  <c r="AD502" i="1"/>
  <c r="AD554" i="1" s="1"/>
  <c r="AC485" i="1"/>
  <c r="AC534" i="1" s="1"/>
  <c r="AC506" i="1"/>
  <c r="AC559" i="1" s="1"/>
  <c r="AD484" i="1"/>
  <c r="AD533" i="1" s="1"/>
  <c r="AD507" i="1"/>
  <c r="AD560" i="1" s="1"/>
  <c r="Y520" i="1"/>
  <c r="Y574" i="1" s="1"/>
  <c r="Y508" i="1"/>
  <c r="Y561" i="1" s="1"/>
  <c r="AA482" i="1"/>
  <c r="AA531" i="1" s="1"/>
  <c r="AC508" i="1"/>
  <c r="AC561" i="1" s="1"/>
  <c r="AD514" i="1"/>
  <c r="AD568" i="1" s="1"/>
  <c r="AD511" i="1"/>
  <c r="AD564" i="1" s="1"/>
  <c r="AA506" i="1"/>
  <c r="AA559" i="1" s="1"/>
  <c r="AA518" i="1"/>
  <c r="AA572" i="1" s="1"/>
  <c r="Y505" i="1"/>
  <c r="Y558" i="1" s="1"/>
  <c r="AC519" i="1"/>
  <c r="AC573" i="1" s="1"/>
  <c r="AD494" i="1"/>
  <c r="AD545" i="1" s="1"/>
  <c r="AA515" i="1"/>
  <c r="AA569" i="1" s="1"/>
  <c r="Y506" i="1"/>
  <c r="Y559" i="1" s="1"/>
  <c r="AD790" i="1"/>
  <c r="AD796" i="1" s="1"/>
  <c r="AD779" i="1"/>
  <c r="Y790" i="1"/>
  <c r="Y796" i="1" s="1"/>
  <c r="Y779" i="1"/>
  <c r="AC622" i="1"/>
  <c r="AC690" i="1" s="1"/>
  <c r="AC698" i="1" s="1"/>
  <c r="AC496" i="1"/>
  <c r="AC547" i="1" s="1"/>
  <c r="AD510" i="1"/>
  <c r="AD563" i="1" s="1"/>
  <c r="AA495" i="1"/>
  <c r="AA546" i="1" s="1"/>
  <c r="AA549" i="1" s="1"/>
  <c r="AA514" i="1"/>
  <c r="AA568" i="1" s="1"/>
  <c r="Y497" i="1"/>
  <c r="Y548" i="1" s="1"/>
  <c r="Y518" i="1"/>
  <c r="Y572" i="1" s="1"/>
  <c r="AC481" i="1"/>
  <c r="AC530" i="1" s="1"/>
  <c r="AA489" i="1"/>
  <c r="AA539" i="1" s="1"/>
  <c r="AA542" i="1" s="1"/>
  <c r="AA507" i="1"/>
  <c r="AA560" i="1" s="1"/>
  <c r="AA516" i="1"/>
  <c r="AA570" i="1" s="1"/>
  <c r="AC491" i="1"/>
  <c r="AC541" i="1" s="1"/>
  <c r="AC489" i="1"/>
  <c r="AC539" i="1" s="1"/>
  <c r="AC522" i="1"/>
  <c r="AC576" i="1" s="1"/>
  <c r="AD521" i="1"/>
  <c r="AD575" i="1" s="1"/>
  <c r="AA509" i="1"/>
  <c r="AA562" i="1" s="1"/>
  <c r="AD517" i="1"/>
  <c r="AD571" i="1" s="1"/>
  <c r="AA508" i="1"/>
  <c r="AA561" i="1" s="1"/>
  <c r="AA485" i="1"/>
  <c r="AA534" i="1" s="1"/>
  <c r="Y491" i="1"/>
  <c r="Y541" i="1" s="1"/>
  <c r="Y542" i="1" s="1"/>
  <c r="AC790" i="1"/>
  <c r="AC796" i="1" s="1"/>
  <c r="AC779" i="1"/>
  <c r="AA779" i="1"/>
  <c r="AA790" i="1"/>
  <c r="AA796" i="1" s="1"/>
  <c r="AE514" i="1"/>
  <c r="AE568" i="1" s="1"/>
  <c r="AE505" i="1"/>
  <c r="AE558" i="1" s="1"/>
  <c r="AE483" i="1"/>
  <c r="AE532" i="1" s="1"/>
  <c r="AE501" i="1"/>
  <c r="AE553" i="1" s="1"/>
  <c r="AE508" i="1"/>
  <c r="AE561" i="1" s="1"/>
  <c r="AE494" i="1"/>
  <c r="AE545" i="1" s="1"/>
  <c r="AE485" i="1"/>
  <c r="AE534" i="1" s="1"/>
  <c r="AE520" i="1"/>
  <c r="AE574" i="1" s="1"/>
  <c r="AE486" i="1"/>
  <c r="AE535" i="1" s="1"/>
  <c r="AE489" i="1"/>
  <c r="AE539" i="1" s="1"/>
  <c r="AE496" i="1"/>
  <c r="AE547" i="1" s="1"/>
  <c r="AE491" i="1"/>
  <c r="AE541" i="1" s="1"/>
  <c r="AE482" i="1"/>
  <c r="AE531" i="1" s="1"/>
  <c r="AE517" i="1"/>
  <c r="AE571" i="1" s="1"/>
  <c r="AE484" i="1"/>
  <c r="AE533" i="1" s="1"/>
  <c r="AE509" i="1"/>
  <c r="AE562" i="1" s="1"/>
  <c r="AE480" i="1"/>
  <c r="AE529" i="1" s="1"/>
  <c r="AE522" i="1"/>
  <c r="AE576" i="1" s="1"/>
  <c r="AE490" i="1"/>
  <c r="AE540" i="1" s="1"/>
  <c r="AE779" i="1"/>
  <c r="AE790" i="1"/>
  <c r="AE519" i="1"/>
  <c r="AE573" i="1" s="1"/>
  <c r="AE481" i="1"/>
  <c r="AE530" i="1" s="1"/>
  <c r="AE521" i="1"/>
  <c r="AE575" i="1" s="1"/>
  <c r="AE524" i="1"/>
  <c r="AE579" i="1" s="1"/>
  <c r="AE518" i="1"/>
  <c r="AE572" i="1" s="1"/>
  <c r="AE507" i="1"/>
  <c r="AE560" i="1" s="1"/>
  <c r="AE516" i="1"/>
  <c r="AE570" i="1" s="1"/>
  <c r="AE510" i="1"/>
  <c r="AE563" i="1" s="1"/>
  <c r="AE506" i="1"/>
  <c r="AE559" i="1" s="1"/>
  <c r="AE495" i="1"/>
  <c r="AE546" i="1" s="1"/>
  <c r="AE502" i="1"/>
  <c r="AE554" i="1" s="1"/>
  <c r="AE500" i="1"/>
  <c r="AE552" i="1" s="1"/>
  <c r="AE515" i="1"/>
  <c r="AE569" i="1" s="1"/>
  <c r="AE497" i="1"/>
  <c r="AE548" i="1" s="1"/>
  <c r="AE511" i="1"/>
  <c r="AE564" i="1" s="1"/>
  <c r="M630" i="1" l="1"/>
  <c r="M691" i="1" s="1"/>
  <c r="M699" i="1" s="1"/>
  <c r="N771" i="1"/>
  <c r="R790" i="1"/>
  <c r="R796" i="1" s="1"/>
  <c r="S771" i="1"/>
  <c r="O121" i="1"/>
  <c r="R121" i="1"/>
  <c r="O740" i="1"/>
  <c r="M919" i="1"/>
  <c r="M920" i="1" s="1"/>
  <c r="P919" i="1"/>
  <c r="P920" i="1" s="1"/>
  <c r="M230" i="1"/>
  <c r="M237" i="1" s="1"/>
  <c r="M197" i="1" s="1"/>
  <c r="M199" i="1" s="1"/>
  <c r="M613" i="1" s="1"/>
  <c r="P664" i="1"/>
  <c r="P680" i="1" s="1"/>
  <c r="M644" i="1"/>
  <c r="M692" i="1" s="1"/>
  <c r="M700" i="1" s="1"/>
  <c r="N779" i="1"/>
  <c r="M924" i="1"/>
  <c r="M925" i="1" s="1"/>
  <c r="M927" i="1" s="1"/>
  <c r="M652" i="1"/>
  <c r="M693" i="1" s="1"/>
  <c r="M701" i="1" s="1"/>
  <c r="G61" i="1"/>
  <c r="E61" i="1" s="1"/>
  <c r="E26" i="1" s="1"/>
  <c r="G198" i="1"/>
  <c r="Y614" i="1"/>
  <c r="Y658" i="1" s="1"/>
  <c r="Y674" i="1" s="1"/>
  <c r="N789" i="1"/>
  <c r="N795" i="1" s="1"/>
  <c r="N38" i="1"/>
  <c r="N24" i="1" s="1"/>
  <c r="N132" i="1" s="1"/>
  <c r="T38" i="1"/>
  <c r="T24" i="1" s="1"/>
  <c r="T132" i="1" s="1"/>
  <c r="Y38" i="1"/>
  <c r="Y24" i="1" s="1"/>
  <c r="G51" i="1"/>
  <c r="E51" i="1" s="1"/>
  <c r="E21" i="1" s="1"/>
  <c r="AA38" i="1"/>
  <c r="AA24" i="1" s="1"/>
  <c r="AA22" i="1"/>
  <c r="AA131" i="1" s="1"/>
  <c r="R38" i="1"/>
  <c r="R24" i="1" s="1"/>
  <c r="O38" i="1"/>
  <c r="O24" i="1" s="1"/>
  <c r="O132" i="1" s="1"/>
  <c r="AE38" i="1"/>
  <c r="AE24" i="1" s="1"/>
  <c r="X38" i="1"/>
  <c r="X24" i="1" s="1"/>
  <c r="M38" i="1"/>
  <c r="M24" i="1" s="1"/>
  <c r="M132" i="1" s="1"/>
  <c r="AC38" i="1"/>
  <c r="AC24" i="1" s="1"/>
  <c r="AC132" i="1" s="1"/>
  <c r="M131" i="1"/>
  <c r="R22" i="1"/>
  <c r="R131" i="1" s="1"/>
  <c r="K38" i="1"/>
  <c r="K31" i="1" s="1"/>
  <c r="G36" i="1"/>
  <c r="G54" i="1"/>
  <c r="E54" i="1" s="1"/>
  <c r="E23" i="1" s="1"/>
  <c r="V38" i="1"/>
  <c r="V24" i="1" s="1"/>
  <c r="V132" i="1" s="1"/>
  <c r="S38" i="1"/>
  <c r="S24" i="1" s="1"/>
  <c r="S132" i="1" s="1"/>
  <c r="L38" i="1"/>
  <c r="L24" i="1" s="1"/>
  <c r="AB38" i="1"/>
  <c r="AB24" i="1" s="1"/>
  <c r="Q38" i="1"/>
  <c r="Q24" i="1" s="1"/>
  <c r="I31" i="1"/>
  <c r="J38" i="1"/>
  <c r="J24" i="1" s="1"/>
  <c r="Z38" i="1"/>
  <c r="Z24" i="1" s="1"/>
  <c r="W38" i="1"/>
  <c r="W24" i="1" s="1"/>
  <c r="P38" i="1"/>
  <c r="P24" i="1" s="1"/>
  <c r="AD38" i="1"/>
  <c r="AD24" i="1" s="1"/>
  <c r="U38" i="1"/>
  <c r="U24" i="1" s="1"/>
  <c r="U132" i="1" s="1"/>
  <c r="G30" i="1"/>
  <c r="S31" i="1"/>
  <c r="Q121" i="1"/>
  <c r="Q753" i="1" s="1"/>
  <c r="Q754" i="1" s="1"/>
  <c r="Y664" i="1"/>
  <c r="Y680" i="1" s="1"/>
  <c r="O771" i="1"/>
  <c r="O790" i="1"/>
  <c r="O796" i="1" s="1"/>
  <c r="Y630" i="1"/>
  <c r="Y691" i="1" s="1"/>
  <c r="Y699" i="1" s="1"/>
  <c r="P1871" i="1"/>
  <c r="Y235" i="1"/>
  <c r="Y237" i="1" s="1"/>
  <c r="Y197" i="1" s="1"/>
  <c r="Y199" i="1" s="1"/>
  <c r="Y613" i="1" s="1"/>
  <c r="Y657" i="1" s="1"/>
  <c r="Y673" i="1" s="1"/>
  <c r="Y919" i="1"/>
  <c r="Y920" i="1" s="1"/>
  <c r="G770" i="1"/>
  <c r="P660" i="1"/>
  <c r="P676" i="1" s="1"/>
  <c r="Y644" i="1"/>
  <c r="Y692" i="1" s="1"/>
  <c r="Y700" i="1" s="1"/>
  <c r="P644" i="1"/>
  <c r="P692" i="1" s="1"/>
  <c r="P700" i="1" s="1"/>
  <c r="P630" i="1"/>
  <c r="P691" i="1" s="1"/>
  <c r="P699" i="1" s="1"/>
  <c r="P614" i="1"/>
  <c r="P658" i="1" s="1"/>
  <c r="P674" i="1" s="1"/>
  <c r="Y1871" i="1"/>
  <c r="P652" i="1"/>
  <c r="P693" i="1" s="1"/>
  <c r="P701" i="1" s="1"/>
  <c r="Y660" i="1"/>
  <c r="Y676" i="1" s="1"/>
  <c r="Y652" i="1"/>
  <c r="Y693" i="1" s="1"/>
  <c r="Y701" i="1" s="1"/>
  <c r="M771" i="1"/>
  <c r="O789" i="1"/>
  <c r="O795" i="1" s="1"/>
  <c r="U919" i="1"/>
  <c r="U920" i="1" s="1"/>
  <c r="T677" i="1"/>
  <c r="Q924" i="1"/>
  <c r="Q925" i="1" s="1"/>
  <c r="Q927" i="1" s="1"/>
  <c r="Q919" i="1"/>
  <c r="Q920" i="1" s="1"/>
  <c r="Q230" i="1"/>
  <c r="Q237" i="1" s="1"/>
  <c r="Q197" i="1" s="1"/>
  <c r="Q199" i="1" s="1"/>
  <c r="Q613" i="1" s="1"/>
  <c r="Q1871" i="1"/>
  <c r="Q630" i="1"/>
  <c r="Q691" i="1" s="1"/>
  <c r="Q699" i="1" s="1"/>
  <c r="V121" i="1"/>
  <c r="V753" i="1" s="1"/>
  <c r="V754" i="1" s="1"/>
  <c r="U740" i="1"/>
  <c r="S644" i="53"/>
  <c r="S692" i="53" s="1"/>
  <c r="S700" i="53" s="1"/>
  <c r="AD924" i="1"/>
  <c r="AD925" i="1" s="1"/>
  <c r="AD927" i="1" s="1"/>
  <c r="T652" i="1"/>
  <c r="T693" i="1" s="1"/>
  <c r="T701" i="1" s="1"/>
  <c r="U235" i="1"/>
  <c r="U237" i="1" s="1"/>
  <c r="U197" i="1" s="1"/>
  <c r="U199" i="1" s="1"/>
  <c r="U613" i="1" s="1"/>
  <c r="U657" i="1" s="1"/>
  <c r="U673" i="1" s="1"/>
  <c r="AD652" i="1"/>
  <c r="AD693" i="1" s="1"/>
  <c r="AD701" i="1" s="1"/>
  <c r="T660" i="1"/>
  <c r="T1870" i="1" s="1"/>
  <c r="Q664" i="1"/>
  <c r="Q680" i="1" s="1"/>
  <c r="T919" i="1"/>
  <c r="T920" i="1" s="1"/>
  <c r="G37" i="1"/>
  <c r="T664" i="1"/>
  <c r="T680" i="1" s="1"/>
  <c r="Q652" i="1"/>
  <c r="Q693" i="1" s="1"/>
  <c r="Q701" i="1" s="1"/>
  <c r="Q660" i="1"/>
  <c r="Q676" i="1" s="1"/>
  <c r="Q644" i="1"/>
  <c r="Q692" i="1" s="1"/>
  <c r="Q700" i="1" s="1"/>
  <c r="T630" i="1"/>
  <c r="T691" i="1" s="1"/>
  <c r="T699" i="1" s="1"/>
  <c r="S614" i="1"/>
  <c r="S658" i="1" s="1"/>
  <c r="S674" i="1" s="1"/>
  <c r="W121" i="1"/>
  <c r="W753" i="1" s="1"/>
  <c r="W754" i="1" s="1"/>
  <c r="AD230" i="1"/>
  <c r="AD237" i="1" s="1"/>
  <c r="AD197" i="1" s="1"/>
  <c r="AD199" i="1" s="1"/>
  <c r="AD613" i="1" s="1"/>
  <c r="I199" i="53"/>
  <c r="I921" i="53" s="1"/>
  <c r="I922" i="53" s="1"/>
  <c r="T581" i="53"/>
  <c r="T582" i="53" s="1"/>
  <c r="T586" i="53" s="1"/>
  <c r="AD660" i="1"/>
  <c r="AD676" i="1" s="1"/>
  <c r="AD919" i="1"/>
  <c r="AD920" i="1" s="1"/>
  <c r="O921" i="53"/>
  <c r="O922" i="53" s="1"/>
  <c r="O613" i="53"/>
  <c r="O657" i="53" s="1"/>
  <c r="O581" i="53"/>
  <c r="O656" i="53" s="1"/>
  <c r="S581" i="53"/>
  <c r="S585" i="53" s="1"/>
  <c r="S613" i="53"/>
  <c r="S616" i="53" s="1"/>
  <c r="S689" i="53" s="1"/>
  <c r="J581" i="53"/>
  <c r="J585" i="53" s="1"/>
  <c r="O644" i="53"/>
  <c r="O692" i="53" s="1"/>
  <c r="O700" i="53" s="1"/>
  <c r="G640" i="53"/>
  <c r="AC644" i="1"/>
  <c r="AC692" i="1" s="1"/>
  <c r="AC700" i="1" s="1"/>
  <c r="M789" i="1"/>
  <c r="M795" i="1" s="1"/>
  <c r="R771" i="1"/>
  <c r="M660" i="1"/>
  <c r="M676" i="1" s="1"/>
  <c r="V644" i="53"/>
  <c r="V692" i="53" s="1"/>
  <c r="V700" i="53" s="1"/>
  <c r="J644" i="53"/>
  <c r="J692" i="53" s="1"/>
  <c r="J700" i="53" s="1"/>
  <c r="AC1871" i="1"/>
  <c r="AC660" i="1"/>
  <c r="AC676" i="1" s="1"/>
  <c r="AC630" i="1"/>
  <c r="AC691" i="1" s="1"/>
  <c r="AC699" i="1" s="1"/>
  <c r="AC652" i="1"/>
  <c r="AC693" i="1" s="1"/>
  <c r="AC701" i="1" s="1"/>
  <c r="AD1871" i="1"/>
  <c r="G734" i="1"/>
  <c r="Z549" i="1"/>
  <c r="Z581" i="1" s="1"/>
  <c r="Z585" i="1" s="1"/>
  <c r="P921" i="53"/>
  <c r="P922" i="53" s="1"/>
  <c r="P613" i="53"/>
  <c r="P616" i="53" s="1"/>
  <c r="P689" i="53" s="1"/>
  <c r="Q613" i="53"/>
  <c r="Q657" i="53" s="1"/>
  <c r="Q921" i="53"/>
  <c r="Q922" i="53" s="1"/>
  <c r="T613" i="53"/>
  <c r="T921" i="53"/>
  <c r="T922" i="53" s="1"/>
  <c r="T644" i="53"/>
  <c r="T692" i="53" s="1"/>
  <c r="T700" i="53" s="1"/>
  <c r="U581" i="53"/>
  <c r="U582" i="53" s="1"/>
  <c r="U586" i="53" s="1"/>
  <c r="G198" i="53"/>
  <c r="G627" i="53"/>
  <c r="V581" i="53"/>
  <c r="V585" i="53" s="1"/>
  <c r="M581" i="53"/>
  <c r="M656" i="53" s="1"/>
  <c r="R581" i="53"/>
  <c r="R656" i="53" s="1"/>
  <c r="M644" i="53"/>
  <c r="M692" i="53" s="1"/>
  <c r="M700" i="53" s="1"/>
  <c r="M921" i="53"/>
  <c r="M922" i="53" s="1"/>
  <c r="M613" i="53"/>
  <c r="M616" i="53" s="1"/>
  <c r="M689" i="53" s="1"/>
  <c r="Q788" i="53"/>
  <c r="Q794" i="53" s="1"/>
  <c r="Q754" i="53"/>
  <c r="Q777" i="53"/>
  <c r="O754" i="53"/>
  <c r="O777" i="53"/>
  <c r="O788" i="53"/>
  <c r="O794" i="53" s="1"/>
  <c r="L754" i="53"/>
  <c r="L788" i="53"/>
  <c r="L794" i="53" s="1"/>
  <c r="L777" i="53"/>
  <c r="V613" i="53"/>
  <c r="V657" i="53" s="1"/>
  <c r="V921" i="53"/>
  <c r="V922" i="53" s="1"/>
  <c r="J777" i="53"/>
  <c r="J754" i="53"/>
  <c r="J788" i="53"/>
  <c r="J794" i="53" s="1"/>
  <c r="N921" i="53"/>
  <c r="N613" i="53"/>
  <c r="N657" i="53" s="1"/>
  <c r="N673" i="53" s="1"/>
  <c r="R754" i="53"/>
  <c r="R777" i="53"/>
  <c r="R788" i="53"/>
  <c r="R794" i="53" s="1"/>
  <c r="R921" i="53"/>
  <c r="R613" i="53"/>
  <c r="R657" i="53" s="1"/>
  <c r="R673" i="53" s="1"/>
  <c r="T754" i="53"/>
  <c r="T777" i="53"/>
  <c r="T788" i="53"/>
  <c r="T794" i="53" s="1"/>
  <c r="P777" i="53"/>
  <c r="P788" i="53"/>
  <c r="P794" i="53" s="1"/>
  <c r="P754" i="53"/>
  <c r="U921" i="53"/>
  <c r="U922" i="53" s="1"/>
  <c r="U613" i="53"/>
  <c r="U657" i="53" s="1"/>
  <c r="J921" i="53"/>
  <c r="J613" i="53"/>
  <c r="J657" i="53" s="1"/>
  <c r="J673" i="53" s="1"/>
  <c r="U664" i="1"/>
  <c r="U680" i="1" s="1"/>
  <c r="O660" i="53"/>
  <c r="O622" i="53"/>
  <c r="O690" i="53" s="1"/>
  <c r="O698" i="53" s="1"/>
  <c r="V754" i="53"/>
  <c r="V788" i="53"/>
  <c r="V794" i="53" s="1"/>
  <c r="V777" i="53"/>
  <c r="N777" i="53"/>
  <c r="N788" i="53"/>
  <c r="N794" i="53" s="1"/>
  <c r="N754" i="53"/>
  <c r="T622" i="53"/>
  <c r="T690" i="53" s="1"/>
  <c r="T698" i="53" s="1"/>
  <c r="T660" i="53"/>
  <c r="E372" i="3"/>
  <c r="E374" i="3"/>
  <c r="E370" i="3"/>
  <c r="E373" i="3"/>
  <c r="E369" i="3"/>
  <c r="E376" i="3"/>
  <c r="E371" i="3"/>
  <c r="L622" i="53"/>
  <c r="L690" i="53" s="1"/>
  <c r="L698" i="53" s="1"/>
  <c r="L660" i="53"/>
  <c r="G542" i="53"/>
  <c r="N581" i="53"/>
  <c r="N660" i="53"/>
  <c r="N622" i="53"/>
  <c r="N690" i="53" s="1"/>
  <c r="N698" i="53" s="1"/>
  <c r="I777" i="53"/>
  <c r="I754" i="53"/>
  <c r="I788" i="53"/>
  <c r="I794" i="53" s="1"/>
  <c r="Q581" i="53"/>
  <c r="V622" i="53"/>
  <c r="V690" i="53" s="1"/>
  <c r="V698" i="53" s="1"/>
  <c r="V660" i="53"/>
  <c r="U677" i="53"/>
  <c r="U1871" i="53"/>
  <c r="G555" i="53"/>
  <c r="P622" i="53"/>
  <c r="P690" i="53" s="1"/>
  <c r="P698" i="53" s="1"/>
  <c r="P660" i="53"/>
  <c r="Q38" i="53"/>
  <c r="S38" i="53"/>
  <c r="S31" i="53" s="1"/>
  <c r="T38" i="53"/>
  <c r="T31" i="53" s="1"/>
  <c r="M622" i="53"/>
  <c r="M690" i="53" s="1"/>
  <c r="M698" i="53" s="1"/>
  <c r="M660" i="53"/>
  <c r="P581" i="53"/>
  <c r="G651" i="53"/>
  <c r="K622" i="53"/>
  <c r="G620" i="53"/>
  <c r="K660" i="53"/>
  <c r="N644" i="53"/>
  <c r="N692" i="53" s="1"/>
  <c r="N700" i="53" s="1"/>
  <c r="R660" i="53"/>
  <c r="R622" i="53"/>
  <c r="R690" i="53" s="1"/>
  <c r="R698" i="53" s="1"/>
  <c r="Q644" i="53"/>
  <c r="Q692" i="53" s="1"/>
  <c r="Q700" i="53" s="1"/>
  <c r="I38" i="53"/>
  <c r="G36" i="53"/>
  <c r="Q31" i="53"/>
  <c r="J622" i="53"/>
  <c r="J690" i="53" s="1"/>
  <c r="J698" i="53" s="1"/>
  <c r="J660" i="53"/>
  <c r="E393" i="3"/>
  <c r="E387" i="3"/>
  <c r="E390" i="3"/>
  <c r="E392" i="3"/>
  <c r="E388" i="3"/>
  <c r="E389" i="3"/>
  <c r="E386" i="3"/>
  <c r="P644" i="53"/>
  <c r="P692" i="53" s="1"/>
  <c r="P700" i="53" s="1"/>
  <c r="G740" i="53"/>
  <c r="O38" i="53"/>
  <c r="O31" i="53" s="1"/>
  <c r="U38" i="53"/>
  <c r="U31" i="53" s="1"/>
  <c r="V38" i="53"/>
  <c r="N38" i="53"/>
  <c r="N31" i="53" s="1"/>
  <c r="I802" i="53"/>
  <c r="G577" i="53"/>
  <c r="I660" i="53"/>
  <c r="I622" i="53"/>
  <c r="I690" i="53" s="1"/>
  <c r="I698" i="53" s="1"/>
  <c r="U644" i="53"/>
  <c r="U692" i="53" s="1"/>
  <c r="U700" i="53" s="1"/>
  <c r="T677" i="53"/>
  <c r="T1871" i="53"/>
  <c r="E375" i="3"/>
  <c r="R644" i="53"/>
  <c r="R692" i="53" s="1"/>
  <c r="R700" i="53" s="1"/>
  <c r="Q622" i="53"/>
  <c r="Q690" i="53" s="1"/>
  <c r="Q698" i="53" s="1"/>
  <c r="Q660" i="53"/>
  <c r="G802" i="53"/>
  <c r="V677" i="53"/>
  <c r="V1871" i="53"/>
  <c r="K661" i="53"/>
  <c r="K630" i="53"/>
  <c r="G626" i="53"/>
  <c r="G734" i="53"/>
  <c r="M38" i="53"/>
  <c r="M31" i="53" s="1"/>
  <c r="J38" i="53"/>
  <c r="R38" i="53"/>
  <c r="R31" i="53" s="1"/>
  <c r="G37" i="53"/>
  <c r="L199" i="53"/>
  <c r="G199" i="53" s="1"/>
  <c r="G639" i="53"/>
  <c r="K644" i="53"/>
  <c r="L644" i="53"/>
  <c r="L692" i="53" s="1"/>
  <c r="L700" i="53" s="1"/>
  <c r="U660" i="53"/>
  <c r="U622" i="53"/>
  <c r="U690" i="53" s="1"/>
  <c r="U698" i="53" s="1"/>
  <c r="K581" i="53"/>
  <c r="E871" i="53"/>
  <c r="E871" i="1"/>
  <c r="G55" i="45"/>
  <c r="S754" i="53"/>
  <c r="S777" i="53"/>
  <c r="S788" i="53"/>
  <c r="S794" i="53" s="1"/>
  <c r="S622" i="53"/>
  <c r="S690" i="53" s="1"/>
  <c r="S698" i="53" s="1"/>
  <c r="S660" i="53"/>
  <c r="M754" i="53"/>
  <c r="M788" i="53"/>
  <c r="M794" i="53" s="1"/>
  <c r="M777" i="53"/>
  <c r="L581" i="53"/>
  <c r="U754" i="53"/>
  <c r="U788" i="53"/>
  <c r="U794" i="53" s="1"/>
  <c r="U777" i="53"/>
  <c r="K668" i="53"/>
  <c r="G650" i="53"/>
  <c r="K652" i="53"/>
  <c r="G30" i="53"/>
  <c r="I581" i="53"/>
  <c r="G536" i="53"/>
  <c r="K754" i="53"/>
  <c r="K788" i="53"/>
  <c r="G753" i="53"/>
  <c r="G754" i="53" s="1"/>
  <c r="K777" i="53"/>
  <c r="K38" i="53"/>
  <c r="L38" i="53"/>
  <c r="P38" i="53"/>
  <c r="P31" i="53" s="1"/>
  <c r="G549" i="53"/>
  <c r="G565" i="53"/>
  <c r="I644" i="53"/>
  <c r="I692" i="53" s="1"/>
  <c r="I700" i="53" s="1"/>
  <c r="U660" i="1"/>
  <c r="U676" i="1" s="1"/>
  <c r="T614" i="1"/>
  <c r="T658" i="1" s="1"/>
  <c r="T674" i="1" s="1"/>
  <c r="T235" i="1"/>
  <c r="T237" i="1" s="1"/>
  <c r="T197" i="1" s="1"/>
  <c r="T199" i="1" s="1"/>
  <c r="T921" i="1" s="1"/>
  <c r="U121" i="1"/>
  <c r="AA1871" i="1"/>
  <c r="U614" i="1"/>
  <c r="U658" i="1" s="1"/>
  <c r="U674" i="1" s="1"/>
  <c r="AA614" i="1"/>
  <c r="AA658" i="1" s="1"/>
  <c r="AA674" i="1" s="1"/>
  <c r="U644" i="1"/>
  <c r="U692" i="1" s="1"/>
  <c r="U700" i="1" s="1"/>
  <c r="U652" i="1"/>
  <c r="U693" i="1" s="1"/>
  <c r="U701" i="1" s="1"/>
  <c r="AD664" i="1"/>
  <c r="AD680" i="1" s="1"/>
  <c r="U630" i="1"/>
  <c r="U691" i="1" s="1"/>
  <c r="U699" i="1" s="1"/>
  <c r="U1871" i="1"/>
  <c r="O614" i="1"/>
  <c r="O658" i="1" s="1"/>
  <c r="O674" i="1" s="1"/>
  <c r="V652" i="1"/>
  <c r="V693" i="1" s="1"/>
  <c r="V701" i="1" s="1"/>
  <c r="AB230" i="1"/>
  <c r="AB237" i="1" s="1"/>
  <c r="AB197" i="1" s="1"/>
  <c r="AB199" i="1" s="1"/>
  <c r="AB921" i="1" s="1"/>
  <c r="AD644" i="1"/>
  <c r="AD692" i="1" s="1"/>
  <c r="AD700" i="1" s="1"/>
  <c r="AA660" i="1"/>
  <c r="AA676" i="1" s="1"/>
  <c r="AA630" i="1"/>
  <c r="AA691" i="1" s="1"/>
  <c r="AA699" i="1" s="1"/>
  <c r="AB919" i="1"/>
  <c r="AB920" i="1" s="1"/>
  <c r="AD630" i="1"/>
  <c r="AD691" i="1" s="1"/>
  <c r="AD699" i="1" s="1"/>
  <c r="M1545" i="1"/>
  <c r="N1526" i="1"/>
  <c r="N1527" i="1"/>
  <c r="N1528" i="1"/>
  <c r="AB660" i="1"/>
  <c r="AB676" i="1" s="1"/>
  <c r="AA664" i="1"/>
  <c r="AA680" i="1" s="1"/>
  <c r="AA919" i="1"/>
  <c r="AA920" i="1" s="1"/>
  <c r="AA644" i="1"/>
  <c r="AA692" i="1" s="1"/>
  <c r="AA700" i="1" s="1"/>
  <c r="T644" i="1"/>
  <c r="T692" i="1" s="1"/>
  <c r="T700" i="1" s="1"/>
  <c r="W1871" i="1"/>
  <c r="AA230" i="1"/>
  <c r="AA237" i="1" s="1"/>
  <c r="AA197" i="1" s="1"/>
  <c r="AA199" i="1" s="1"/>
  <c r="AA613" i="1" s="1"/>
  <c r="O3" i="1"/>
  <c r="N1524" i="1"/>
  <c r="N1522" i="1"/>
  <c r="N1523" i="1"/>
  <c r="AA652" i="1"/>
  <c r="AA693" i="1" s="1"/>
  <c r="AA701" i="1" s="1"/>
  <c r="AB664" i="1"/>
  <c r="AB680" i="1" s="1"/>
  <c r="AE660" i="1"/>
  <c r="AE676" i="1" s="1"/>
  <c r="W790" i="1"/>
  <c r="W796" i="1" s="1"/>
  <c r="AB924" i="1"/>
  <c r="AB925" i="1" s="1"/>
  <c r="AB927" i="1" s="1"/>
  <c r="AB644" i="1"/>
  <c r="AB692" i="1" s="1"/>
  <c r="AB700" i="1" s="1"/>
  <c r="AB677" i="1"/>
  <c r="AB630" i="1"/>
  <c r="AB691" i="1" s="1"/>
  <c r="AB699" i="1" s="1"/>
  <c r="AB652" i="1"/>
  <c r="AB693" i="1" s="1"/>
  <c r="AB701" i="1" s="1"/>
  <c r="W630" i="1"/>
  <c r="W691" i="1" s="1"/>
  <c r="W699" i="1" s="1"/>
  <c r="O1155" i="1"/>
  <c r="W652" i="1"/>
  <c r="W693" i="1" s="1"/>
  <c r="W701" i="1" s="1"/>
  <c r="W230" i="1"/>
  <c r="W237" i="1" s="1"/>
  <c r="W197" i="1" s="1"/>
  <c r="W199" i="1" s="1"/>
  <c r="W613" i="1" s="1"/>
  <c r="W657" i="1" s="1"/>
  <c r="W673" i="1" s="1"/>
  <c r="W660" i="1"/>
  <c r="W676" i="1" s="1"/>
  <c r="W919" i="1"/>
  <c r="W920" i="1" s="1"/>
  <c r="W664" i="1"/>
  <c r="W680" i="1" s="1"/>
  <c r="W622" i="1"/>
  <c r="W690" i="1" s="1"/>
  <c r="W698" i="1" s="1"/>
  <c r="W644" i="1"/>
  <c r="W692" i="1" s="1"/>
  <c r="W700" i="1" s="1"/>
  <c r="P237" i="1"/>
  <c r="P197" i="1" s="1"/>
  <c r="P199" i="1" s="1"/>
  <c r="P613" i="1" s="1"/>
  <c r="P657" i="1" s="1"/>
  <c r="P673" i="1" s="1"/>
  <c r="AE652" i="1"/>
  <c r="AE693" i="1" s="1"/>
  <c r="AE701" i="1" s="1"/>
  <c r="Z1871" i="1"/>
  <c r="V1871" i="1"/>
  <c r="S630" i="1"/>
  <c r="S691" i="1" s="1"/>
  <c r="S699" i="1" s="1"/>
  <c r="S1871" i="1"/>
  <c r="N1871" i="1"/>
  <c r="N630" i="1"/>
  <c r="N691" i="1" s="1"/>
  <c r="N699" i="1" s="1"/>
  <c r="N660" i="1"/>
  <c r="N676" i="1" s="1"/>
  <c r="X748" i="1"/>
  <c r="X751" i="1" s="1"/>
  <c r="X753" i="1" s="1"/>
  <c r="X754" i="1" s="1"/>
  <c r="N664" i="1"/>
  <c r="N680" i="1" s="1"/>
  <c r="S660" i="1"/>
  <c r="S676" i="1" s="1"/>
  <c r="S644" i="1"/>
  <c r="S692" i="1" s="1"/>
  <c r="S700" i="1" s="1"/>
  <c r="K921" i="53"/>
  <c r="K922" i="53" s="1"/>
  <c r="K613" i="53"/>
  <c r="V630" i="1"/>
  <c r="V691" i="1" s="1"/>
  <c r="V699" i="1" s="1"/>
  <c r="N924" i="1"/>
  <c r="N925" i="1" s="1"/>
  <c r="N927" i="1" s="1"/>
  <c r="AD753" i="1"/>
  <c r="AD754" i="1" s="1"/>
  <c r="O664" i="1"/>
  <c r="O680" i="1" s="1"/>
  <c r="R1871" i="1"/>
  <c r="R677" i="1"/>
  <c r="I41" i="1"/>
  <c r="I26" i="1" s="1"/>
  <c r="AE644" i="1"/>
  <c r="AE692" i="1" s="1"/>
  <c r="AE700" i="1" s="1"/>
  <c r="AE1871" i="1"/>
  <c r="AE677" i="1"/>
  <c r="X1871" i="1"/>
  <c r="X677" i="1"/>
  <c r="AE230" i="1"/>
  <c r="AE235" i="1"/>
  <c r="O230" i="1"/>
  <c r="O235" i="1"/>
  <c r="O1871" i="1"/>
  <c r="O677" i="1"/>
  <c r="S664" i="1"/>
  <c r="S680" i="1" s="1"/>
  <c r="Z235" i="1"/>
  <c r="Z230" i="1"/>
  <c r="V235" i="1"/>
  <c r="V230" i="1"/>
  <c r="N644" i="1"/>
  <c r="N692" i="1" s="1"/>
  <c r="N700" i="1" s="1"/>
  <c r="R230" i="1"/>
  <c r="R235" i="1"/>
  <c r="S652" i="1"/>
  <c r="S693" i="1" s="1"/>
  <c r="S701" i="1" s="1"/>
  <c r="X919" i="1"/>
  <c r="X920" i="1" s="1"/>
  <c r="X235" i="1"/>
  <c r="X230" i="1"/>
  <c r="N919" i="1"/>
  <c r="N920" i="1" s="1"/>
  <c r="N230" i="1"/>
  <c r="N235" i="1"/>
  <c r="S919" i="1"/>
  <c r="S920" i="1" s="1"/>
  <c r="S235" i="1"/>
  <c r="S230" i="1"/>
  <c r="V644" i="1"/>
  <c r="V692" i="1" s="1"/>
  <c r="V700" i="1" s="1"/>
  <c r="N652" i="1"/>
  <c r="N693" i="1" s="1"/>
  <c r="N701" i="1" s="1"/>
  <c r="R614" i="1"/>
  <c r="R658" i="1" s="1"/>
  <c r="R674" i="1" s="1"/>
  <c r="R664" i="1"/>
  <c r="R680" i="1" s="1"/>
  <c r="AE919" i="1"/>
  <c r="AE920" i="1" s="1"/>
  <c r="O652" i="1"/>
  <c r="O693" i="1" s="1"/>
  <c r="O701" i="1" s="1"/>
  <c r="AE924" i="1"/>
  <c r="AE925" i="1" s="1"/>
  <c r="AE927" i="1" s="1"/>
  <c r="R753" i="1"/>
  <c r="R754" i="1" s="1"/>
  <c r="R660" i="1"/>
  <c r="R676" i="1" s="1"/>
  <c r="V660" i="1"/>
  <c r="V676" i="1" s="1"/>
  <c r="O644" i="1"/>
  <c r="O692" i="1" s="1"/>
  <c r="O700" i="1" s="1"/>
  <c r="X652" i="1"/>
  <c r="X693" i="1" s="1"/>
  <c r="X701" i="1" s="1"/>
  <c r="R630" i="1"/>
  <c r="R691" i="1" s="1"/>
  <c r="R699" i="1" s="1"/>
  <c r="V664" i="1"/>
  <c r="V680" i="1" s="1"/>
  <c r="Z660" i="1"/>
  <c r="Z676" i="1" s="1"/>
  <c r="X630" i="1"/>
  <c r="X691" i="1" s="1"/>
  <c r="X699" i="1" s="1"/>
  <c r="AE630" i="1"/>
  <c r="AE691" i="1" s="1"/>
  <c r="AE699" i="1" s="1"/>
  <c r="X614" i="1"/>
  <c r="X658" i="1" s="1"/>
  <c r="X674" i="1" s="1"/>
  <c r="Z644" i="1"/>
  <c r="Z692" i="1" s="1"/>
  <c r="Z700" i="1" s="1"/>
  <c r="AE664" i="1"/>
  <c r="AE680" i="1" s="1"/>
  <c r="V622" i="1"/>
  <c r="V690" i="1" s="1"/>
  <c r="V698" i="1" s="1"/>
  <c r="O660" i="1"/>
  <c r="O676" i="1" s="1"/>
  <c r="V924" i="1"/>
  <c r="V925" i="1" s="1"/>
  <c r="V927" i="1" s="1"/>
  <c r="O630" i="1"/>
  <c r="O691" i="1" s="1"/>
  <c r="O699" i="1" s="1"/>
  <c r="X664" i="1"/>
  <c r="X680" i="1" s="1"/>
  <c r="R644" i="1"/>
  <c r="R692" i="1" s="1"/>
  <c r="R700" i="1" s="1"/>
  <c r="R652" i="1"/>
  <c r="R693" i="1" s="1"/>
  <c r="R701" i="1" s="1"/>
  <c r="X644" i="1"/>
  <c r="X692" i="1" s="1"/>
  <c r="X700" i="1" s="1"/>
  <c r="X660" i="1"/>
  <c r="X676" i="1" s="1"/>
  <c r="Z664" i="1"/>
  <c r="Z680" i="1" s="1"/>
  <c r="Z614" i="1"/>
  <c r="Z658" i="1" s="1"/>
  <c r="Z674" i="1" s="1"/>
  <c r="Z924" i="1"/>
  <c r="Z925" i="1" s="1"/>
  <c r="Z927" i="1" s="1"/>
  <c r="Z919" i="1"/>
  <c r="Z920" i="1" s="1"/>
  <c r="Z652" i="1"/>
  <c r="Z693" i="1" s="1"/>
  <c r="Z701" i="1" s="1"/>
  <c r="Z630" i="1"/>
  <c r="Z691" i="1" s="1"/>
  <c r="Z699" i="1" s="1"/>
  <c r="P2" i="1"/>
  <c r="E12" i="46"/>
  <c r="D13" i="46"/>
  <c r="B775" i="1"/>
  <c r="O1206" i="1"/>
  <c r="O1285" i="1" s="1"/>
  <c r="O1277" i="1" s="1"/>
  <c r="V324" i="3"/>
  <c r="V334" i="3" s="1"/>
  <c r="V345" i="3" s="1"/>
  <c r="V355" i="3" s="1"/>
  <c r="U334" i="3"/>
  <c r="U345" i="3" s="1"/>
  <c r="U355" i="3" s="1"/>
  <c r="O1389" i="1"/>
  <c r="O1391" i="1" s="1"/>
  <c r="O1432" i="1" s="1"/>
  <c r="AE753" i="1"/>
  <c r="AE754" i="1" s="1"/>
  <c r="AB753" i="1"/>
  <c r="N753" i="1"/>
  <c r="N754" i="1" s="1"/>
  <c r="Y753" i="1"/>
  <c r="Y754" i="1" s="1"/>
  <c r="T753" i="1"/>
  <c r="T754" i="1" s="1"/>
  <c r="AA753" i="1"/>
  <c r="M777" i="1"/>
  <c r="M780" i="1" s="1"/>
  <c r="M781" i="1" s="1"/>
  <c r="M788" i="1"/>
  <c r="M794" i="1" s="1"/>
  <c r="P753" i="1"/>
  <c r="P754" i="1" s="1"/>
  <c r="AC753" i="1"/>
  <c r="Z753" i="1"/>
  <c r="Z754" i="1" s="1"/>
  <c r="S753" i="1"/>
  <c r="S754" i="1" s="1"/>
  <c r="J2" i="49"/>
  <c r="J2" i="4"/>
  <c r="N1391" i="1"/>
  <c r="N1432" i="1" s="1"/>
  <c r="G64" i="1"/>
  <c r="E64" i="1" s="1"/>
  <c r="E22" i="1" s="1"/>
  <c r="G25" i="1"/>
  <c r="N1880" i="1"/>
  <c r="U779" i="1"/>
  <c r="U778" i="1"/>
  <c r="V778" i="1"/>
  <c r="U769" i="1"/>
  <c r="U771" i="1" s="1"/>
  <c r="AC237" i="1"/>
  <c r="AC197" i="1" s="1"/>
  <c r="AC199" i="1" s="1"/>
  <c r="AC613" i="1" s="1"/>
  <c r="AC657" i="1" s="1"/>
  <c r="AC673" i="1" s="1"/>
  <c r="V766" i="1"/>
  <c r="W769" i="1"/>
  <c r="W771" i="1" s="1"/>
  <c r="W761" i="1"/>
  <c r="V769" i="1"/>
  <c r="V771" i="1" s="1"/>
  <c r="H42" i="4"/>
  <c r="H65" i="4" s="1"/>
  <c r="I5" i="4"/>
  <c r="X759" i="1"/>
  <c r="O1" i="1"/>
  <c r="B955" i="1"/>
  <c r="B939" i="1"/>
  <c r="B475" i="1"/>
  <c r="B526" i="1" s="1"/>
  <c r="B377" i="1"/>
  <c r="B426" i="1" s="1"/>
  <c r="I5" i="49"/>
  <c r="H42" i="49"/>
  <c r="H65" i="49" s="1"/>
  <c r="AC577" i="1"/>
  <c r="AC802" i="1" s="1"/>
  <c r="P581" i="1"/>
  <c r="P585" i="1" s="1"/>
  <c r="N581" i="1"/>
  <c r="N585" i="1" s="1"/>
  <c r="R577" i="1"/>
  <c r="R802" i="1" s="1"/>
  <c r="AC549" i="1"/>
  <c r="X565" i="1"/>
  <c r="U555" i="1"/>
  <c r="U581" i="1" s="1"/>
  <c r="T581" i="1"/>
  <c r="T585" i="1" s="1"/>
  <c r="V536" i="1"/>
  <c r="X577" i="1"/>
  <c r="X802" i="1" s="1"/>
  <c r="Q581" i="1"/>
  <c r="AC536" i="1"/>
  <c r="AB542" i="1"/>
  <c r="AB581" i="1" s="1"/>
  <c r="AB656" i="1" s="1"/>
  <c r="AB672" i="1" s="1"/>
  <c r="V542" i="1"/>
  <c r="AD549" i="1"/>
  <c r="V577" i="1"/>
  <c r="V802" i="1" s="1"/>
  <c r="O581" i="1"/>
  <c r="M536" i="1"/>
  <c r="M581" i="1" s="1"/>
  <c r="W536" i="1"/>
  <c r="S577" i="1"/>
  <c r="S802" i="1" s="1"/>
  <c r="Y577" i="1"/>
  <c r="Y802" i="1" s="1"/>
  <c r="AD542" i="1"/>
  <c r="AC555" i="1"/>
  <c r="AA577" i="1"/>
  <c r="AA802" i="1" s="1"/>
  <c r="W542" i="1"/>
  <c r="Y555" i="1"/>
  <c r="AC542" i="1"/>
  <c r="AD565" i="1"/>
  <c r="AA565" i="1"/>
  <c r="Y549" i="1"/>
  <c r="AA536" i="1"/>
  <c r="AD555" i="1"/>
  <c r="AD536" i="1"/>
  <c r="Y565" i="1"/>
  <c r="AD577" i="1"/>
  <c r="AD802" i="1" s="1"/>
  <c r="AC565" i="1"/>
  <c r="AE555" i="1"/>
  <c r="AE577" i="1"/>
  <c r="AE802" i="1" s="1"/>
  <c r="AE536" i="1"/>
  <c r="AE565" i="1"/>
  <c r="AE796" i="1"/>
  <c r="AE549" i="1"/>
  <c r="AE542" i="1"/>
  <c r="O753" i="1" l="1"/>
  <c r="K41" i="1"/>
  <c r="K26" i="1" s="1"/>
  <c r="Y41" i="1"/>
  <c r="Y26" i="1" s="1"/>
  <c r="Y135" i="1" s="1"/>
  <c r="M41" i="1"/>
  <c r="M26" i="1" s="1"/>
  <c r="M135" i="1" s="1"/>
  <c r="AA31" i="1"/>
  <c r="AA21" i="1" s="1"/>
  <c r="N41" i="1"/>
  <c r="N26" i="1" s="1"/>
  <c r="N135" i="1" s="1"/>
  <c r="AA41" i="1"/>
  <c r="AA26" i="1" s="1"/>
  <c r="AA135" i="1" s="1"/>
  <c r="Y1870" i="1"/>
  <c r="N31" i="1"/>
  <c r="N34" i="1" s="1"/>
  <c r="N23" i="1" s="1"/>
  <c r="N134" i="1" s="1"/>
  <c r="M31" i="1"/>
  <c r="M21" i="1" s="1"/>
  <c r="M130" i="1" s="1"/>
  <c r="R31" i="1"/>
  <c r="R21" i="1" s="1"/>
  <c r="R130" i="1" s="1"/>
  <c r="V31" i="1"/>
  <c r="V21" i="1" s="1"/>
  <c r="V130" i="1" s="1"/>
  <c r="Q31" i="1"/>
  <c r="Q21" i="1" s="1"/>
  <c r="Q130" i="1" s="1"/>
  <c r="AB41" i="1"/>
  <c r="AB26" i="1" s="1"/>
  <c r="AB135" i="1" s="1"/>
  <c r="T31" i="1"/>
  <c r="L31" i="1"/>
  <c r="L21" i="1" s="1"/>
  <c r="Y31" i="1"/>
  <c r="Y21" i="1" s="1"/>
  <c r="Y130" i="1" s="1"/>
  <c r="L41" i="1"/>
  <c r="L26" i="1" s="1"/>
  <c r="X41" i="1"/>
  <c r="X26" i="1" s="1"/>
  <c r="X135" i="1" s="1"/>
  <c r="G22" i="1"/>
  <c r="X31" i="1"/>
  <c r="X21" i="1" s="1"/>
  <c r="J41" i="1"/>
  <c r="J26" i="1" s="1"/>
  <c r="Z41" i="1"/>
  <c r="Z26" i="1" s="1"/>
  <c r="Z135" i="1" s="1"/>
  <c r="AC31" i="1"/>
  <c r="AC21" i="1" s="1"/>
  <c r="AE31" i="1"/>
  <c r="P31" i="1"/>
  <c r="P21" i="1" s="1"/>
  <c r="P130" i="1" s="1"/>
  <c r="J31" i="1"/>
  <c r="S34" i="1"/>
  <c r="S21" i="1"/>
  <c r="S130" i="1" s="1"/>
  <c r="Z31" i="1"/>
  <c r="Z21" i="1" s="1"/>
  <c r="AD31" i="1"/>
  <c r="AD21" i="1" s="1"/>
  <c r="AD130" i="1" s="1"/>
  <c r="W31" i="1"/>
  <c r="W21" i="1" s="1"/>
  <c r="W130" i="1" s="1"/>
  <c r="G38" i="1"/>
  <c r="K24" i="1"/>
  <c r="U31" i="1"/>
  <c r="U21" i="1" s="1"/>
  <c r="U130" i="1" s="1"/>
  <c r="Q34" i="1"/>
  <c r="Q23" i="1" s="1"/>
  <c r="Q134" i="1" s="1"/>
  <c r="O31" i="1"/>
  <c r="O34" i="1" s="1"/>
  <c r="O23" i="1" s="1"/>
  <c r="O134" i="1" s="1"/>
  <c r="AB31" i="1"/>
  <c r="AB21" i="1" s="1"/>
  <c r="P1870" i="1"/>
  <c r="R585" i="53"/>
  <c r="W132" i="1"/>
  <c r="W41" i="1"/>
  <c r="W26" i="1" s="1"/>
  <c r="W135" i="1" s="1"/>
  <c r="AE41" i="1"/>
  <c r="AE132" i="1"/>
  <c r="Q132" i="1"/>
  <c r="AD41" i="1"/>
  <c r="AD26" i="1" s="1"/>
  <c r="AD135" i="1" s="1"/>
  <c r="X132" i="1"/>
  <c r="T41" i="1"/>
  <c r="T26" i="1" s="1"/>
  <c r="T135" i="1" s="1"/>
  <c r="O41" i="1"/>
  <c r="O26" i="1" s="1"/>
  <c r="O135" i="1" s="1"/>
  <c r="AC41" i="1"/>
  <c r="AC26" i="1" s="1"/>
  <c r="AC135" i="1" s="1"/>
  <c r="Z132" i="1"/>
  <c r="AD132" i="1"/>
  <c r="Q41" i="1"/>
  <c r="Q26" i="1" s="1"/>
  <c r="Q135" i="1" s="1"/>
  <c r="K21" i="1"/>
  <c r="P132" i="1"/>
  <c r="R41" i="1"/>
  <c r="P41" i="1"/>
  <c r="P26" i="1" s="1"/>
  <c r="P135" i="1" s="1"/>
  <c r="U41" i="1"/>
  <c r="U26" i="1" s="1"/>
  <c r="U135" i="1" s="1"/>
  <c r="R132" i="1"/>
  <c r="Y132" i="1"/>
  <c r="AB132" i="1"/>
  <c r="S41" i="1"/>
  <c r="S26" i="1" s="1"/>
  <c r="S135" i="1" s="1"/>
  <c r="V41" i="1"/>
  <c r="V26" i="1" s="1"/>
  <c r="V135" i="1" s="1"/>
  <c r="T922" i="1"/>
  <c r="AA132" i="1"/>
  <c r="U753" i="1"/>
  <c r="U754" i="1" s="1"/>
  <c r="T676" i="1"/>
  <c r="Q1870" i="1"/>
  <c r="R582" i="53"/>
  <c r="R586" i="53" s="1"/>
  <c r="U616" i="53"/>
  <c r="U689" i="53" s="1"/>
  <c r="U697" i="53" s="1"/>
  <c r="O585" i="53"/>
  <c r="O616" i="53"/>
  <c r="O689" i="53" s="1"/>
  <c r="O697" i="53" s="1"/>
  <c r="S657" i="53"/>
  <c r="S673" i="53" s="1"/>
  <c r="M1870" i="1"/>
  <c r="J582" i="53"/>
  <c r="J586" i="53" s="1"/>
  <c r="T656" i="53"/>
  <c r="T672" i="53" s="1"/>
  <c r="R1869" i="53"/>
  <c r="AA616" i="1"/>
  <c r="AA689" i="1" s="1"/>
  <c r="AA697" i="1" s="1"/>
  <c r="R616" i="53"/>
  <c r="R689" i="53" s="1"/>
  <c r="R697" i="53" s="1"/>
  <c r="V616" i="53"/>
  <c r="V689" i="53" s="1"/>
  <c r="V697" i="53" s="1"/>
  <c r="T585" i="53"/>
  <c r="P657" i="53"/>
  <c r="P673" i="53" s="1"/>
  <c r="J656" i="53"/>
  <c r="J1872" i="53" s="1"/>
  <c r="AD1870" i="1"/>
  <c r="Q616" i="53"/>
  <c r="Q689" i="53" s="1"/>
  <c r="Q697" i="53" s="1"/>
  <c r="I613" i="53"/>
  <c r="I657" i="53" s="1"/>
  <c r="I673" i="53" s="1"/>
  <c r="O582" i="53"/>
  <c r="O586" i="53" s="1"/>
  <c r="S656" i="53"/>
  <c r="S672" i="53" s="1"/>
  <c r="U656" i="53"/>
  <c r="U688" i="53" s="1"/>
  <c r="U696" i="53" s="1"/>
  <c r="S582" i="53"/>
  <c r="S586" i="53" s="1"/>
  <c r="R670" i="53"/>
  <c r="R787" i="53" s="1"/>
  <c r="R793" i="53" s="1"/>
  <c r="V582" i="53"/>
  <c r="V586" i="53" s="1"/>
  <c r="AC1870" i="1"/>
  <c r="M657" i="53"/>
  <c r="M673" i="53" s="1"/>
  <c r="L921" i="1"/>
  <c r="U1870" i="1"/>
  <c r="N1869" i="53"/>
  <c r="U585" i="53"/>
  <c r="M585" i="53"/>
  <c r="J1869" i="53"/>
  <c r="J616" i="53"/>
  <c r="J689" i="53" s="1"/>
  <c r="J697" i="53" s="1"/>
  <c r="M582" i="53"/>
  <c r="M586" i="53" s="1"/>
  <c r="V656" i="53"/>
  <c r="V672" i="53" s="1"/>
  <c r="U583" i="53"/>
  <c r="U587" i="53" s="1"/>
  <c r="U1869" i="1"/>
  <c r="N616" i="53"/>
  <c r="N689" i="53" s="1"/>
  <c r="N697" i="53" s="1"/>
  <c r="G777" i="53"/>
  <c r="T616" i="53"/>
  <c r="T689" i="53" s="1"/>
  <c r="T697" i="53" s="1"/>
  <c r="T657" i="53"/>
  <c r="R34" i="53"/>
  <c r="R23" i="53" s="1"/>
  <c r="R134" i="53" s="1"/>
  <c r="R21" i="53"/>
  <c r="R130" i="53" s="1"/>
  <c r="U34" i="53"/>
  <c r="U23" i="53" s="1"/>
  <c r="U134" i="53" s="1"/>
  <c r="U21" i="53"/>
  <c r="U130" i="53" s="1"/>
  <c r="O21" i="53"/>
  <c r="O130" i="53" s="1"/>
  <c r="O34" i="53"/>
  <c r="O23" i="53" s="1"/>
  <c r="O134" i="53" s="1"/>
  <c r="P21" i="53"/>
  <c r="P130" i="53" s="1"/>
  <c r="P34" i="53"/>
  <c r="P23" i="53" s="1"/>
  <c r="P134" i="53" s="1"/>
  <c r="L41" i="53"/>
  <c r="L26" i="53" s="1"/>
  <c r="L135" i="53" s="1"/>
  <c r="L24" i="53"/>
  <c r="L132" i="53" s="1"/>
  <c r="K794" i="53"/>
  <c r="G788" i="53"/>
  <c r="G794" i="53" s="1"/>
  <c r="K693" i="53"/>
  <c r="G652" i="53"/>
  <c r="V871" i="1"/>
  <c r="V873" i="1" s="1"/>
  <c r="V1617" i="1" s="1"/>
  <c r="Y871" i="1"/>
  <c r="Y873" i="1" s="1"/>
  <c r="Y1617" i="1" s="1"/>
  <c r="P871" i="1"/>
  <c r="P873" i="1" s="1"/>
  <c r="P1617" i="1" s="1"/>
  <c r="AD871" i="1"/>
  <c r="AD873" i="1" s="1"/>
  <c r="AD1617" i="1" s="1"/>
  <c r="AA871" i="1"/>
  <c r="AA873" i="1" s="1"/>
  <c r="AA1617" i="1" s="1"/>
  <c r="O871" i="1"/>
  <c r="O873" i="1" s="1"/>
  <c r="O1617" i="1" s="1"/>
  <c r="Q871" i="1"/>
  <c r="Q873" i="1" s="1"/>
  <c r="Q1617" i="1" s="1"/>
  <c r="AB871" i="1"/>
  <c r="AB873" i="1" s="1"/>
  <c r="AB1617" i="1" s="1"/>
  <c r="W871" i="1"/>
  <c r="W873" i="1" s="1"/>
  <c r="W1617" i="1" s="1"/>
  <c r="M871" i="1"/>
  <c r="M873" i="1" s="1"/>
  <c r="M1617" i="1" s="1"/>
  <c r="AE871" i="1"/>
  <c r="AE873" i="1" s="1"/>
  <c r="AE1617" i="1" s="1"/>
  <c r="Z871" i="1"/>
  <c r="Z873" i="1" s="1"/>
  <c r="Z1617" i="1" s="1"/>
  <c r="U871" i="1"/>
  <c r="U873" i="1" s="1"/>
  <c r="U1617" i="1" s="1"/>
  <c r="X871" i="1"/>
  <c r="X873" i="1" s="1"/>
  <c r="X1617" i="1" s="1"/>
  <c r="AC871" i="1"/>
  <c r="AC873" i="1" s="1"/>
  <c r="AC1617" i="1" s="1"/>
  <c r="T871" i="1"/>
  <c r="T873" i="1" s="1"/>
  <c r="T1617" i="1" s="1"/>
  <c r="S871" i="1"/>
  <c r="S873" i="1" s="1"/>
  <c r="S1617" i="1" s="1"/>
  <c r="N871" i="1"/>
  <c r="N873" i="1" s="1"/>
  <c r="N1617" i="1" s="1"/>
  <c r="R871" i="1"/>
  <c r="R873" i="1" s="1"/>
  <c r="R1617" i="1" s="1"/>
  <c r="U1870" i="53"/>
  <c r="U676" i="53"/>
  <c r="L921" i="53"/>
  <c r="L922" i="53" s="1"/>
  <c r="L613" i="53"/>
  <c r="G613" i="53" s="1"/>
  <c r="M24" i="53"/>
  <c r="M132" i="53" s="1"/>
  <c r="M41" i="53"/>
  <c r="M26" i="53" s="1"/>
  <c r="M135" i="53" s="1"/>
  <c r="K677" i="53"/>
  <c r="K1871" i="53"/>
  <c r="G1871" i="53" s="1"/>
  <c r="G661" i="53"/>
  <c r="G677" i="53" s="1"/>
  <c r="G1806" i="53" s="1"/>
  <c r="S34" i="53"/>
  <c r="S23" i="53" s="1"/>
  <c r="S134" i="53" s="1"/>
  <c r="S21" i="53"/>
  <c r="S130" i="53" s="1"/>
  <c r="T583" i="53"/>
  <c r="T587" i="53" s="1"/>
  <c r="I676" i="53"/>
  <c r="I1870" i="53"/>
  <c r="V41" i="53"/>
  <c r="V26" i="53" s="1"/>
  <c r="V135" i="53" s="1"/>
  <c r="V24" i="53"/>
  <c r="V132" i="53" s="1"/>
  <c r="J676" i="53"/>
  <c r="J1870" i="53"/>
  <c r="P1870" i="53"/>
  <c r="P676" i="53"/>
  <c r="V31" i="53"/>
  <c r="V1870" i="53"/>
  <c r="V676" i="53"/>
  <c r="N585" i="53"/>
  <c r="N582" i="53"/>
  <c r="N586" i="53" s="1"/>
  <c r="N656" i="53"/>
  <c r="O676" i="53"/>
  <c r="O1870" i="53"/>
  <c r="J922" i="53"/>
  <c r="R672" i="53"/>
  <c r="R1872" i="53"/>
  <c r="R688" i="53"/>
  <c r="R696" i="53" s="1"/>
  <c r="M672" i="53"/>
  <c r="M1872" i="53"/>
  <c r="M688" i="53"/>
  <c r="M696" i="53" s="1"/>
  <c r="K41" i="53"/>
  <c r="K26" i="53" s="1"/>
  <c r="K135" i="53" s="1"/>
  <c r="K24" i="53"/>
  <c r="K132" i="53" s="1"/>
  <c r="K31" i="53"/>
  <c r="V871" i="53"/>
  <c r="Q871" i="53"/>
  <c r="N871" i="53"/>
  <c r="T871" i="53"/>
  <c r="P871" i="53"/>
  <c r="O871" i="53"/>
  <c r="S871" i="53"/>
  <c r="I871" i="53"/>
  <c r="K871" i="53"/>
  <c r="J871" i="53"/>
  <c r="U871" i="53"/>
  <c r="M871" i="53"/>
  <c r="L871" i="53"/>
  <c r="R871" i="53"/>
  <c r="O672" i="53"/>
  <c r="O1872" i="53"/>
  <c r="O688" i="53"/>
  <c r="O696" i="53" s="1"/>
  <c r="U24" i="53"/>
  <c r="U132" i="53" s="1"/>
  <c r="U41" i="53"/>
  <c r="U26" i="53" s="1"/>
  <c r="U135" i="53" s="1"/>
  <c r="E394" i="3"/>
  <c r="R1870" i="53"/>
  <c r="R676" i="53"/>
  <c r="K690" i="53"/>
  <c r="G622" i="53"/>
  <c r="T24" i="53"/>
  <c r="T132" i="53" s="1"/>
  <c r="T41" i="53"/>
  <c r="T26" i="53" s="1"/>
  <c r="T135" i="53" s="1"/>
  <c r="M34" i="53"/>
  <c r="M23" i="53" s="1"/>
  <c r="M134" i="53" s="1"/>
  <c r="M21" i="53"/>
  <c r="M130" i="53" s="1"/>
  <c r="K684" i="53"/>
  <c r="G668" i="53"/>
  <c r="G684" i="53" s="1"/>
  <c r="G1813" i="53" s="1"/>
  <c r="L585" i="53"/>
  <c r="L582" i="53"/>
  <c r="L586" i="53" s="1"/>
  <c r="L656" i="53"/>
  <c r="S676" i="53"/>
  <c r="S1870" i="53"/>
  <c r="K582" i="53"/>
  <c r="K586" i="53" s="1"/>
  <c r="K585" i="53"/>
  <c r="K656" i="53"/>
  <c r="G644" i="53"/>
  <c r="K692" i="53"/>
  <c r="R41" i="53"/>
  <c r="R26" i="53" s="1"/>
  <c r="R135" i="53" s="1"/>
  <c r="R24" i="53"/>
  <c r="R132" i="53" s="1"/>
  <c r="O24" i="53"/>
  <c r="O132" i="53" s="1"/>
  <c r="O41" i="53"/>
  <c r="O26" i="53" s="1"/>
  <c r="O135" i="53" s="1"/>
  <c r="T21" i="53"/>
  <c r="T130" i="53" s="1"/>
  <c r="T34" i="53"/>
  <c r="T23" i="53" s="1"/>
  <c r="T134" i="53" s="1"/>
  <c r="I31" i="53"/>
  <c r="G38" i="53"/>
  <c r="I41" i="53"/>
  <c r="I24" i="53"/>
  <c r="S24" i="53"/>
  <c r="S132" i="53" s="1"/>
  <c r="S41" i="53"/>
  <c r="S26" i="53" s="1"/>
  <c r="S135" i="53" s="1"/>
  <c r="Q656" i="53"/>
  <c r="Q670" i="53" s="1"/>
  <c r="Q582" i="53"/>
  <c r="Q586" i="53" s="1"/>
  <c r="Q585" i="53"/>
  <c r="L676" i="53"/>
  <c r="L1870" i="53"/>
  <c r="E377" i="3"/>
  <c r="K921" i="1"/>
  <c r="R922" i="53"/>
  <c r="P24" i="53"/>
  <c r="P132" i="53" s="1"/>
  <c r="P41" i="53"/>
  <c r="P26" i="53" s="1"/>
  <c r="P135" i="53" s="1"/>
  <c r="I585" i="53"/>
  <c r="I582" i="53"/>
  <c r="I656" i="53"/>
  <c r="G581" i="53"/>
  <c r="N34" i="53"/>
  <c r="N23" i="53" s="1"/>
  <c r="N134" i="53" s="1"/>
  <c r="N21" i="53"/>
  <c r="N130" i="53" s="1"/>
  <c r="J41" i="53"/>
  <c r="J26" i="53" s="1"/>
  <c r="J135" i="53" s="1"/>
  <c r="J24" i="53"/>
  <c r="J132" i="53" s="1"/>
  <c r="K691" i="53"/>
  <c r="G630" i="53"/>
  <c r="J31" i="53"/>
  <c r="Q676" i="53"/>
  <c r="Q1870" i="53"/>
  <c r="N41" i="53"/>
  <c r="N26" i="53" s="1"/>
  <c r="N135" i="53" s="1"/>
  <c r="N24" i="53"/>
  <c r="N132" i="53" s="1"/>
  <c r="Q34" i="53"/>
  <c r="Q23" i="53" s="1"/>
  <c r="Q134" i="53" s="1"/>
  <c r="Q21" i="53"/>
  <c r="Q130" i="53" s="1"/>
  <c r="K676" i="53"/>
  <c r="K1870" i="53"/>
  <c r="G660" i="53"/>
  <c r="G676" i="53" s="1"/>
  <c r="G1805" i="53" s="1"/>
  <c r="P585" i="53"/>
  <c r="P582" i="53"/>
  <c r="P586" i="53" s="1"/>
  <c r="P656" i="53"/>
  <c r="M676" i="53"/>
  <c r="M1870" i="53"/>
  <c r="Q41" i="53"/>
  <c r="Q26" i="53" s="1"/>
  <c r="Q135" i="53" s="1"/>
  <c r="Q24" i="53"/>
  <c r="Q132" i="53" s="1"/>
  <c r="L31" i="53"/>
  <c r="N676" i="53"/>
  <c r="N1870" i="53"/>
  <c r="T1870" i="53"/>
  <c r="T676" i="53"/>
  <c r="N922" i="53"/>
  <c r="J921" i="1"/>
  <c r="N1545" i="1"/>
  <c r="Q921" i="1"/>
  <c r="Q922" i="1" s="1"/>
  <c r="AD921" i="1"/>
  <c r="AD922" i="1" s="1"/>
  <c r="AB922" i="1"/>
  <c r="W1870" i="1"/>
  <c r="AA1870" i="1"/>
  <c r="AB1870" i="1"/>
  <c r="Y616" i="1"/>
  <c r="Y689" i="1" s="1"/>
  <c r="Y697" i="1" s="1"/>
  <c r="U921" i="1"/>
  <c r="U922" i="1" s="1"/>
  <c r="O1526" i="1"/>
  <c r="O1528" i="1"/>
  <c r="O1527" i="1"/>
  <c r="AE1870" i="1"/>
  <c r="Y921" i="1"/>
  <c r="Y922" i="1" s="1"/>
  <c r="O1524" i="1"/>
  <c r="O1522" i="1"/>
  <c r="O1523" i="1"/>
  <c r="P3" i="1"/>
  <c r="M921" i="1"/>
  <c r="M922" i="1" s="1"/>
  <c r="V1870" i="1"/>
  <c r="Q788" i="1"/>
  <c r="Q794" i="1" s="1"/>
  <c r="R1870" i="1"/>
  <c r="Q777" i="1"/>
  <c r="Q780" i="1" s="1"/>
  <c r="Q781" i="1" s="1"/>
  <c r="U616" i="1"/>
  <c r="U689" i="1" s="1"/>
  <c r="U697" i="1" s="1"/>
  <c r="Q2" i="1"/>
  <c r="R2" i="1" s="1"/>
  <c r="P1869" i="1"/>
  <c r="O1427" i="1"/>
  <c r="P921" i="1"/>
  <c r="P922" i="1" s="1"/>
  <c r="S237" i="1"/>
  <c r="S197" i="1" s="1"/>
  <c r="S199" i="1" s="1"/>
  <c r="S613" i="1" s="1"/>
  <c r="S616" i="1" s="1"/>
  <c r="S689" i="1" s="1"/>
  <c r="S697" i="1" s="1"/>
  <c r="N237" i="1"/>
  <c r="N197" i="1" s="1"/>
  <c r="N199" i="1" s="1"/>
  <c r="N613" i="1" s="1"/>
  <c r="N657" i="1" s="1"/>
  <c r="N673" i="1" s="1"/>
  <c r="P616" i="1"/>
  <c r="P689" i="1" s="1"/>
  <c r="P697" i="1" s="1"/>
  <c r="R788" i="1"/>
  <c r="R794" i="1" s="1"/>
  <c r="S697" i="53"/>
  <c r="O1870" i="1"/>
  <c r="N1870" i="1"/>
  <c r="Z1870" i="1"/>
  <c r="U673" i="53"/>
  <c r="U1869" i="53"/>
  <c r="M697" i="53"/>
  <c r="X237" i="1"/>
  <c r="X197" i="1" s="1"/>
  <c r="X199" i="1" s="1"/>
  <c r="X921" i="1" s="1"/>
  <c r="X922" i="1" s="1"/>
  <c r="V673" i="53"/>
  <c r="V1869" i="53"/>
  <c r="Q673" i="53"/>
  <c r="Q1869" i="53"/>
  <c r="P697" i="53"/>
  <c r="AD788" i="1"/>
  <c r="AD794" i="1" s="1"/>
  <c r="O1869" i="53"/>
  <c r="O673" i="53"/>
  <c r="O670" i="53"/>
  <c r="S1870" i="1"/>
  <c r="AD777" i="1"/>
  <c r="K657" i="53"/>
  <c r="K616" i="53"/>
  <c r="AC777" i="1"/>
  <c r="AC754" i="1"/>
  <c r="R237" i="1"/>
  <c r="R197" i="1" s="1"/>
  <c r="R199" i="1" s="1"/>
  <c r="V237" i="1"/>
  <c r="V197" i="1" s="1"/>
  <c r="V199" i="1" s="1"/>
  <c r="AE237" i="1"/>
  <c r="AE197" i="1" s="1"/>
  <c r="AE199" i="1" s="1"/>
  <c r="AB777" i="1"/>
  <c r="AB754" i="1"/>
  <c r="R777" i="1"/>
  <c r="R780" i="1" s="1"/>
  <c r="R781" i="1" s="1"/>
  <c r="O777" i="1"/>
  <c r="O780" i="1" s="1"/>
  <c r="O781" i="1" s="1"/>
  <c r="O754" i="1"/>
  <c r="AA777" i="1"/>
  <c r="AA754" i="1"/>
  <c r="I21" i="1"/>
  <c r="I34" i="1"/>
  <c r="I23" i="1" s="1"/>
  <c r="O237" i="1"/>
  <c r="O197" i="1" s="1"/>
  <c r="O199" i="1" s="1"/>
  <c r="P1389" i="1"/>
  <c r="P1391" i="1" s="1"/>
  <c r="P1432" i="1" s="1"/>
  <c r="X1870" i="1"/>
  <c r="P1206" i="1"/>
  <c r="P1880" i="1" s="1"/>
  <c r="P1155" i="1"/>
  <c r="Z237" i="1"/>
  <c r="Z197" i="1" s="1"/>
  <c r="Z199" i="1" s="1"/>
  <c r="AB788" i="1"/>
  <c r="AB794" i="1" s="1"/>
  <c r="O1880" i="1"/>
  <c r="AE788" i="1"/>
  <c r="AE794" i="1" s="1"/>
  <c r="AE777" i="1"/>
  <c r="E13" i="46"/>
  <c r="D14" i="46"/>
  <c r="N788" i="1"/>
  <c r="N794" i="1" s="1"/>
  <c r="N777" i="1"/>
  <c r="N780" i="1" s="1"/>
  <c r="N781" i="1" s="1"/>
  <c r="AA788" i="1"/>
  <c r="AA794" i="1" s="1"/>
  <c r="X788" i="1"/>
  <c r="X794" i="1" s="1"/>
  <c r="X777" i="1"/>
  <c r="V788" i="1"/>
  <c r="V794" i="1" s="1"/>
  <c r="Y788" i="1"/>
  <c r="Y794" i="1" s="1"/>
  <c r="T788" i="1"/>
  <c r="T794" i="1" s="1"/>
  <c r="T777" i="1"/>
  <c r="T780" i="1" s="1"/>
  <c r="T781" i="1" s="1"/>
  <c r="Y777" i="1"/>
  <c r="V777" i="1"/>
  <c r="W616" i="1"/>
  <c r="W689" i="1" s="1"/>
  <c r="W697" i="1" s="1"/>
  <c r="AC788" i="1"/>
  <c r="AC794" i="1" s="1"/>
  <c r="Z788" i="1"/>
  <c r="Z794" i="1" s="1"/>
  <c r="Z777" i="1"/>
  <c r="O788" i="1"/>
  <c r="O794" i="1" s="1"/>
  <c r="P788" i="1"/>
  <c r="P794" i="1" s="1"/>
  <c r="P777" i="1"/>
  <c r="P780" i="1" s="1"/>
  <c r="P781" i="1" s="1"/>
  <c r="S788" i="1"/>
  <c r="S794" i="1" s="1"/>
  <c r="S777" i="1"/>
  <c r="S780" i="1" s="1"/>
  <c r="S781" i="1" s="1"/>
  <c r="W777" i="1"/>
  <c r="W788" i="1"/>
  <c r="W794" i="1" s="1"/>
  <c r="T613" i="1"/>
  <c r="T616" i="1" s="1"/>
  <c r="T689" i="1" s="1"/>
  <c r="T697" i="1" s="1"/>
  <c r="AA921" i="1"/>
  <c r="AA922" i="1" s="1"/>
  <c r="W921" i="1"/>
  <c r="W922" i="1" s="1"/>
  <c r="AA657" i="1"/>
  <c r="AA673" i="1" s="1"/>
  <c r="AB613" i="1"/>
  <c r="AB657" i="1" s="1"/>
  <c r="AC921" i="1"/>
  <c r="AC922" i="1" s="1"/>
  <c r="Y1869" i="1"/>
  <c r="AC616" i="1"/>
  <c r="AC689" i="1" s="1"/>
  <c r="AC697" i="1" s="1"/>
  <c r="I42" i="4"/>
  <c r="I65" i="4" s="1"/>
  <c r="J5" i="4"/>
  <c r="J42" i="4" s="1"/>
  <c r="J65" i="4" s="1"/>
  <c r="W778" i="1"/>
  <c r="W789" i="1"/>
  <c r="V779" i="1"/>
  <c r="V790" i="1"/>
  <c r="Y759" i="1"/>
  <c r="X761" i="1"/>
  <c r="X769" i="1"/>
  <c r="X771" i="1" s="1"/>
  <c r="AD616" i="1"/>
  <c r="AD689" i="1" s="1"/>
  <c r="AD697" i="1" s="1"/>
  <c r="AD657" i="1"/>
  <c r="AD673" i="1" s="1"/>
  <c r="B1211" i="1"/>
  <c r="B1252" i="1" s="1"/>
  <c r="B957" i="1"/>
  <c r="B1006" i="1" s="1"/>
  <c r="B1012" i="1" s="1"/>
  <c r="B1025" i="1" s="1"/>
  <c r="B1037" i="1" s="1"/>
  <c r="B1090" i="1" s="1"/>
  <c r="B1099" i="1" s="1"/>
  <c r="B1108" i="1" s="1"/>
  <c r="B1133" i="1" s="1"/>
  <c r="Q616" i="1"/>
  <c r="Q689" i="1" s="1"/>
  <c r="Q697" i="1" s="1"/>
  <c r="Q657" i="1"/>
  <c r="Q673" i="1" s="1"/>
  <c r="P1" i="1"/>
  <c r="M657" i="1"/>
  <c r="M673" i="1" s="1"/>
  <c r="M616" i="1"/>
  <c r="M689" i="1" s="1"/>
  <c r="M697" i="1" s="1"/>
  <c r="I42" i="49"/>
  <c r="I65" i="49" s="1"/>
  <c r="J5" i="49"/>
  <c r="J42" i="49" s="1"/>
  <c r="J65" i="49" s="1"/>
  <c r="W1869" i="1"/>
  <c r="T582" i="1"/>
  <c r="T586" i="1" s="1"/>
  <c r="T656" i="1"/>
  <c r="P656" i="1"/>
  <c r="P582" i="1"/>
  <c r="P586" i="1" s="1"/>
  <c r="AB582" i="1"/>
  <c r="AB586" i="1" s="1"/>
  <c r="N656" i="1"/>
  <c r="N582" i="1"/>
  <c r="N586" i="1" s="1"/>
  <c r="R581" i="1"/>
  <c r="R656" i="1" s="1"/>
  <c r="R672" i="1" s="1"/>
  <c r="Z656" i="1"/>
  <c r="AC1869" i="1"/>
  <c r="AB585" i="1"/>
  <c r="Z582" i="1"/>
  <c r="Z586" i="1" s="1"/>
  <c r="Y581" i="1"/>
  <c r="Y582" i="1" s="1"/>
  <c r="Y586" i="1" s="1"/>
  <c r="U582" i="1"/>
  <c r="U586" i="1" s="1"/>
  <c r="U656" i="1"/>
  <c r="U585" i="1"/>
  <c r="AA581" i="1"/>
  <c r="AA656" i="1" s="1"/>
  <c r="AA672" i="1" s="1"/>
  <c r="W581" i="1"/>
  <c r="W656" i="1" s="1"/>
  <c r="W672" i="1" s="1"/>
  <c r="M656" i="1"/>
  <c r="M672" i="1" s="1"/>
  <c r="M582" i="1"/>
  <c r="M585" i="1"/>
  <c r="Q585" i="1"/>
  <c r="Q656" i="1"/>
  <c r="Q672" i="1" s="1"/>
  <c r="Q582" i="1"/>
  <c r="O656" i="1"/>
  <c r="O672" i="1" s="1"/>
  <c r="O582" i="1"/>
  <c r="O586" i="1" s="1"/>
  <c r="O585" i="1"/>
  <c r="V581" i="1"/>
  <c r="X581" i="1"/>
  <c r="AC581" i="1"/>
  <c r="AC656" i="1" s="1"/>
  <c r="AC672" i="1" s="1"/>
  <c r="S581" i="1"/>
  <c r="AD581" i="1"/>
  <c r="AB688" i="1"/>
  <c r="AB696" i="1" s="1"/>
  <c r="AB1872" i="1"/>
  <c r="AE581" i="1"/>
  <c r="I921" i="1" l="1"/>
  <c r="P34" i="1"/>
  <c r="P23" i="1" s="1"/>
  <c r="P134" i="1" s="1"/>
  <c r="R34" i="1"/>
  <c r="R23" i="1" s="1"/>
  <c r="R134" i="1" s="1"/>
  <c r="X34" i="1"/>
  <c r="X23" i="1" s="1"/>
  <c r="X134" i="1" s="1"/>
  <c r="O21" i="1"/>
  <c r="O130" i="1" s="1"/>
  <c r="O137" i="1" s="1"/>
  <c r="O911" i="1" s="1"/>
  <c r="O912" i="1" s="1"/>
  <c r="AD34" i="1"/>
  <c r="AD23" i="1" s="1"/>
  <c r="AD134" i="1" s="1"/>
  <c r="AD139" i="1" s="1"/>
  <c r="AA34" i="1"/>
  <c r="AA23" i="1" s="1"/>
  <c r="AA134" i="1" s="1"/>
  <c r="M34" i="1"/>
  <c r="M23" i="1" s="1"/>
  <c r="M134" i="1" s="1"/>
  <c r="M139" i="1" s="1"/>
  <c r="AB34" i="1"/>
  <c r="AB23" i="1" s="1"/>
  <c r="AB134" i="1" s="1"/>
  <c r="L34" i="1"/>
  <c r="L23" i="1" s="1"/>
  <c r="Z34" i="1"/>
  <c r="Z23" i="1" s="1"/>
  <c r="Z134" i="1" s="1"/>
  <c r="AC34" i="1"/>
  <c r="AC23" i="1" s="1"/>
  <c r="AC134" i="1" s="1"/>
  <c r="T21" i="1"/>
  <c r="T130" i="1" s="1"/>
  <c r="T34" i="1"/>
  <c r="T23" i="1" s="1"/>
  <c r="T134" i="1" s="1"/>
  <c r="W34" i="1"/>
  <c r="W23" i="1" s="1"/>
  <c r="W134" i="1" s="1"/>
  <c r="W139" i="1" s="1"/>
  <c r="G31" i="1"/>
  <c r="J21" i="1"/>
  <c r="J34" i="1"/>
  <c r="J23" i="1" s="1"/>
  <c r="R26" i="1"/>
  <c r="AE21" i="1"/>
  <c r="AE130" i="1" s="1"/>
  <c r="AE34" i="1"/>
  <c r="AE23" i="1" s="1"/>
  <c r="AE134" i="1" s="1"/>
  <c r="AE26" i="1"/>
  <c r="AE135" i="1" s="1"/>
  <c r="S23" i="1"/>
  <c r="S134" i="1" s="1"/>
  <c r="S137" i="1" s="1"/>
  <c r="S1213" i="1" s="1"/>
  <c r="S1254" i="1" s="1"/>
  <c r="S1376" i="1" s="1"/>
  <c r="S1399" i="1" s="1"/>
  <c r="Z130" i="1"/>
  <c r="Q139" i="1"/>
  <c r="X130" i="1"/>
  <c r="R583" i="53"/>
  <c r="R587" i="53" s="1"/>
  <c r="U34" i="1"/>
  <c r="U23" i="1" s="1"/>
  <c r="U134" i="1" s="1"/>
  <c r="U139" i="1" s="1"/>
  <c r="AC130" i="1"/>
  <c r="N21" i="1"/>
  <c r="N130" i="1" s="1"/>
  <c r="N139" i="1" s="1"/>
  <c r="P137" i="1"/>
  <c r="P803" i="1" s="1"/>
  <c r="P804" i="1" s="1"/>
  <c r="P1873" i="1" s="1"/>
  <c r="Q137" i="1"/>
  <c r="Q803" i="1" s="1"/>
  <c r="Q804" i="1" s="1"/>
  <c r="Q1215" i="1" s="1"/>
  <c r="Q1256" i="1" s="1"/>
  <c r="Q1378" i="1" s="1"/>
  <c r="Q1401" i="1" s="1"/>
  <c r="AA130" i="1"/>
  <c r="Y34" i="1"/>
  <c r="Y23" i="1" s="1"/>
  <c r="Y134" i="1" s="1"/>
  <c r="Y139" i="1" s="1"/>
  <c r="AB130" i="1"/>
  <c r="V34" i="1"/>
  <c r="V23" i="1" s="1"/>
  <c r="V134" i="1" s="1"/>
  <c r="V139" i="1" s="1"/>
  <c r="K34" i="1"/>
  <c r="K23" i="1" s="1"/>
  <c r="G41" i="1"/>
  <c r="G24" i="1"/>
  <c r="U788" i="1"/>
  <c r="U794" i="1" s="1"/>
  <c r="U777" i="1"/>
  <c r="U780" i="1" s="1"/>
  <c r="U781" i="1" s="1"/>
  <c r="T688" i="53"/>
  <c r="T694" i="53" s="1"/>
  <c r="T702" i="53" s="1"/>
  <c r="T1872" i="53"/>
  <c r="S1869" i="53"/>
  <c r="I616" i="53"/>
  <c r="I689" i="53" s="1"/>
  <c r="I697" i="53" s="1"/>
  <c r="U1872" i="53"/>
  <c r="I670" i="53"/>
  <c r="I686" i="53" s="1"/>
  <c r="I1869" i="53"/>
  <c r="U670" i="53"/>
  <c r="U787" i="53" s="1"/>
  <c r="U793" i="53" s="1"/>
  <c r="S688" i="53"/>
  <c r="S696" i="53" s="1"/>
  <c r="M670" i="53"/>
  <c r="M686" i="53" s="1"/>
  <c r="S1872" i="53"/>
  <c r="S670" i="53"/>
  <c r="S787" i="53" s="1"/>
  <c r="S793" i="53" s="1"/>
  <c r="M1869" i="53"/>
  <c r="J672" i="53"/>
  <c r="J583" i="53"/>
  <c r="J587" i="53" s="1"/>
  <c r="P1869" i="53"/>
  <c r="P670" i="53"/>
  <c r="P787" i="53" s="1"/>
  <c r="P793" i="53" s="1"/>
  <c r="J688" i="53"/>
  <c r="J696" i="53" s="1"/>
  <c r="R694" i="53"/>
  <c r="R702" i="53" s="1"/>
  <c r="J670" i="53"/>
  <c r="J787" i="53" s="1"/>
  <c r="J793" i="53" s="1"/>
  <c r="V670" i="53"/>
  <c r="V686" i="53" s="1"/>
  <c r="U672" i="53"/>
  <c r="O583" i="53"/>
  <c r="O587" i="53" s="1"/>
  <c r="V688" i="53"/>
  <c r="V696" i="53" s="1"/>
  <c r="M694" i="53"/>
  <c r="M702" i="53" s="1"/>
  <c r="V1872" i="53"/>
  <c r="U694" i="53"/>
  <c r="U702" i="53" s="1"/>
  <c r="R686" i="53"/>
  <c r="V583" i="53"/>
  <c r="V587" i="53" s="1"/>
  <c r="S583" i="53"/>
  <c r="S587" i="53" s="1"/>
  <c r="O694" i="53"/>
  <c r="O702" i="53" s="1"/>
  <c r="G132" i="53"/>
  <c r="M583" i="53"/>
  <c r="M587" i="53" s="1"/>
  <c r="T673" i="53"/>
  <c r="T1869" i="53"/>
  <c r="T670" i="53"/>
  <c r="G135" i="53"/>
  <c r="N139" i="53"/>
  <c r="N137" i="53"/>
  <c r="I672" i="53"/>
  <c r="I688" i="53"/>
  <c r="I696" i="53" s="1"/>
  <c r="I1872" i="53"/>
  <c r="I34" i="53"/>
  <c r="G31" i="53"/>
  <c r="I21" i="53"/>
  <c r="K583" i="53"/>
  <c r="K587" i="53" s="1"/>
  <c r="M139" i="53"/>
  <c r="M137" i="53"/>
  <c r="K698" i="53"/>
  <c r="G690" i="53"/>
  <c r="G698" i="53" s="1"/>
  <c r="G1838" i="53" s="1"/>
  <c r="V34" i="53"/>
  <c r="V23" i="53" s="1"/>
  <c r="V134" i="53" s="1"/>
  <c r="V21" i="53"/>
  <c r="V130" i="53" s="1"/>
  <c r="L616" i="53"/>
  <c r="L689" i="53" s="1"/>
  <c r="L697" i="53" s="1"/>
  <c r="L657" i="53"/>
  <c r="G657" i="53" s="1"/>
  <c r="G673" i="53" s="1"/>
  <c r="G1802" i="53" s="1"/>
  <c r="K701" i="53"/>
  <c r="G693" i="53"/>
  <c r="G701" i="53" s="1"/>
  <c r="G1841" i="53" s="1"/>
  <c r="U139" i="53"/>
  <c r="U137" i="53"/>
  <c r="L34" i="53"/>
  <c r="L23" i="53" s="1"/>
  <c r="L134" i="53" s="1"/>
  <c r="L21" i="53"/>
  <c r="L130" i="53" s="1"/>
  <c r="Q139" i="53"/>
  <c r="Q137" i="53"/>
  <c r="K699" i="53"/>
  <c r="G691" i="53"/>
  <c r="G699" i="53" s="1"/>
  <c r="G1839" i="53" s="1"/>
  <c r="I586" i="53"/>
  <c r="G582" i="53"/>
  <c r="I132" i="53"/>
  <c r="G24" i="53"/>
  <c r="K672" i="53"/>
  <c r="G656" i="53"/>
  <c r="G672" i="53" s="1"/>
  <c r="G1801" i="53" s="1"/>
  <c r="K688" i="53"/>
  <c r="K1872" i="53"/>
  <c r="G871" i="53"/>
  <c r="K34" i="53"/>
  <c r="K23" i="53" s="1"/>
  <c r="K134" i="53" s="1"/>
  <c r="K21" i="53"/>
  <c r="K130" i="53" s="1"/>
  <c r="S139" i="53"/>
  <c r="S137" i="53"/>
  <c r="P139" i="53"/>
  <c r="P137" i="53"/>
  <c r="P583" i="53"/>
  <c r="P587" i="53" s="1"/>
  <c r="I583" i="53"/>
  <c r="Q1872" i="53"/>
  <c r="Q672" i="53"/>
  <c r="Q688" i="53"/>
  <c r="G41" i="53"/>
  <c r="I26" i="53"/>
  <c r="T139" i="53"/>
  <c r="T137" i="53"/>
  <c r="G692" i="53"/>
  <c r="G700" i="53" s="1"/>
  <c r="G1840" i="53" s="1"/>
  <c r="K700" i="53"/>
  <c r="L583" i="53"/>
  <c r="L587" i="53" s="1"/>
  <c r="N583" i="53"/>
  <c r="N587" i="53" s="1"/>
  <c r="R139" i="53"/>
  <c r="R137" i="53"/>
  <c r="P672" i="53"/>
  <c r="P1872" i="53"/>
  <c r="P688" i="53"/>
  <c r="J21" i="53"/>
  <c r="J130" i="53" s="1"/>
  <c r="J34" i="53"/>
  <c r="J23" i="53" s="1"/>
  <c r="J134" i="53" s="1"/>
  <c r="Q583" i="53"/>
  <c r="Q587" i="53" s="1"/>
  <c r="L672" i="53"/>
  <c r="L688" i="53"/>
  <c r="L1872" i="53"/>
  <c r="N672" i="53"/>
  <c r="N1872" i="53"/>
  <c r="N688" i="53"/>
  <c r="N670" i="53"/>
  <c r="G1870" i="53"/>
  <c r="O137" i="53"/>
  <c r="O139" i="53"/>
  <c r="Q1206" i="1"/>
  <c r="Q1285" i="1" s="1"/>
  <c r="Q1277" i="1" s="1"/>
  <c r="N921" i="1"/>
  <c r="N922" i="1" s="1"/>
  <c r="P1526" i="1"/>
  <c r="P1527" i="1"/>
  <c r="P1528" i="1"/>
  <c r="O1545" i="1"/>
  <c r="S657" i="1"/>
  <c r="S673" i="1" s="1"/>
  <c r="S921" i="1"/>
  <c r="S922" i="1" s="1"/>
  <c r="N616" i="1"/>
  <c r="N689" i="1" s="1"/>
  <c r="N697" i="1" s="1"/>
  <c r="Q1389" i="1"/>
  <c r="Q1391" i="1" s="1"/>
  <c r="Q1432" i="1" s="1"/>
  <c r="Q1155" i="1"/>
  <c r="P1524" i="1"/>
  <c r="P1523" i="1"/>
  <c r="P1522" i="1"/>
  <c r="Q3" i="1"/>
  <c r="X613" i="1"/>
  <c r="X616" i="1" s="1"/>
  <c r="X689" i="1" s="1"/>
  <c r="X697" i="1" s="1"/>
  <c r="P1285" i="1"/>
  <c r="P1277" i="1" s="1"/>
  <c r="K673" i="53"/>
  <c r="K670" i="53"/>
  <c r="K1869" i="53"/>
  <c r="K689" i="53"/>
  <c r="O686" i="53"/>
  <c r="O787" i="53"/>
  <c r="O793" i="53" s="1"/>
  <c r="Q686" i="53"/>
  <c r="Q787" i="53"/>
  <c r="Q793" i="53" s="1"/>
  <c r="O921" i="1"/>
  <c r="O922" i="1" s="1"/>
  <c r="O613" i="1"/>
  <c r="U688" i="1"/>
  <c r="U696" i="1" s="1"/>
  <c r="U672" i="1"/>
  <c r="AB670" i="1"/>
  <c r="AB686" i="1" s="1"/>
  <c r="AB673" i="1"/>
  <c r="P139" i="1"/>
  <c r="V921" i="1"/>
  <c r="V922" i="1" s="1"/>
  <c r="V613" i="1"/>
  <c r="N1872" i="1"/>
  <c r="N672" i="1"/>
  <c r="R921" i="1"/>
  <c r="R922" i="1" s="1"/>
  <c r="R613" i="1"/>
  <c r="T688" i="1"/>
  <c r="T696" i="1" s="1"/>
  <c r="T672" i="1"/>
  <c r="Z1872" i="1"/>
  <c r="Z672" i="1"/>
  <c r="P1872" i="1"/>
  <c r="P672" i="1"/>
  <c r="AE921" i="1"/>
  <c r="AE922" i="1" s="1"/>
  <c r="AE613" i="1"/>
  <c r="P1427" i="1"/>
  <c r="Z921" i="1"/>
  <c r="Z922" i="1" s="1"/>
  <c r="Z613" i="1"/>
  <c r="D15" i="46"/>
  <c r="E14" i="46"/>
  <c r="T657" i="1"/>
  <c r="T673" i="1" s="1"/>
  <c r="AB616" i="1"/>
  <c r="AB689" i="1" s="1"/>
  <c r="AB697" i="1" s="1"/>
  <c r="AA1869" i="1"/>
  <c r="T1872" i="1"/>
  <c r="AB1869" i="1"/>
  <c r="W780" i="1"/>
  <c r="W781" i="1" s="1"/>
  <c r="Z759" i="1"/>
  <c r="Y761" i="1"/>
  <c r="Y769" i="1"/>
  <c r="X778" i="1"/>
  <c r="X780" i="1" s="1"/>
  <c r="X781" i="1" s="1"/>
  <c r="X789" i="1"/>
  <c r="X795" i="1" s="1"/>
  <c r="V780" i="1"/>
  <c r="P583" i="1"/>
  <c r="P587" i="1" s="1"/>
  <c r="AD1869" i="1"/>
  <c r="V796" i="1"/>
  <c r="W795" i="1"/>
  <c r="T583" i="1"/>
  <c r="T587" i="1" s="1"/>
  <c r="S2" i="1"/>
  <c r="R1206" i="1"/>
  <c r="R1389" i="1"/>
  <c r="R1427" i="1" s="1"/>
  <c r="R1155" i="1"/>
  <c r="Q1869" i="1"/>
  <c r="Q1" i="1"/>
  <c r="B1293" i="1"/>
  <c r="B1272" i="1"/>
  <c r="N1869" i="1"/>
  <c r="AB583" i="1"/>
  <c r="AB587" i="1" s="1"/>
  <c r="Y585" i="1"/>
  <c r="M1869" i="1"/>
  <c r="N583" i="1"/>
  <c r="N587" i="1" s="1"/>
  <c r="P688" i="1"/>
  <c r="P696" i="1" s="1"/>
  <c r="P670" i="1"/>
  <c r="N670" i="1"/>
  <c r="N686" i="1" s="1"/>
  <c r="N688" i="1"/>
  <c r="U670" i="1"/>
  <c r="U686" i="1" s="1"/>
  <c r="Z583" i="1"/>
  <c r="Z587" i="1" s="1"/>
  <c r="Z688" i="1"/>
  <c r="Z696" i="1" s="1"/>
  <c r="AA582" i="1"/>
  <c r="AA586" i="1" s="1"/>
  <c r="Y656" i="1"/>
  <c r="R582" i="1"/>
  <c r="R585" i="1"/>
  <c r="W585" i="1"/>
  <c r="U583" i="1"/>
  <c r="U587" i="1" s="1"/>
  <c r="O583" i="1"/>
  <c r="O587" i="1" s="1"/>
  <c r="R688" i="1"/>
  <c r="R696" i="1" s="1"/>
  <c r="R1872" i="1"/>
  <c r="U1872" i="1"/>
  <c r="AA585" i="1"/>
  <c r="AC585" i="1"/>
  <c r="W582" i="1"/>
  <c r="W583" i="1" s="1"/>
  <c r="W587" i="1" s="1"/>
  <c r="X585" i="1"/>
  <c r="X656" i="1"/>
  <c r="X672" i="1" s="1"/>
  <c r="X582" i="1"/>
  <c r="X586" i="1" s="1"/>
  <c r="Q586" i="1"/>
  <c r="Q583" i="1"/>
  <c r="Q587" i="1" s="1"/>
  <c r="M586" i="1"/>
  <c r="M583" i="1"/>
  <c r="M587" i="1" s="1"/>
  <c r="AC582" i="1"/>
  <c r="AC586" i="1" s="1"/>
  <c r="V656" i="1"/>
  <c r="V672" i="1" s="1"/>
  <c r="V585" i="1"/>
  <c r="V582" i="1"/>
  <c r="O1872" i="1"/>
  <c r="O688" i="1"/>
  <c r="O696" i="1" s="1"/>
  <c r="Q1872" i="1"/>
  <c r="Q688" i="1"/>
  <c r="Q696" i="1" s="1"/>
  <c r="Q670" i="1"/>
  <c r="Q686" i="1" s="1"/>
  <c r="M1872" i="1"/>
  <c r="M688" i="1"/>
  <c r="M696" i="1" s="1"/>
  <c r="M670" i="1"/>
  <c r="M686" i="1" s="1"/>
  <c r="S582" i="1"/>
  <c r="S586" i="1" s="1"/>
  <c r="S656" i="1"/>
  <c r="S672" i="1" s="1"/>
  <c r="S585" i="1"/>
  <c r="W688" i="1"/>
  <c r="W696" i="1" s="1"/>
  <c r="W1872" i="1"/>
  <c r="W670" i="1"/>
  <c r="W686" i="1" s="1"/>
  <c r="AD656" i="1"/>
  <c r="AD672" i="1" s="1"/>
  <c r="AD582" i="1"/>
  <c r="AD586" i="1" s="1"/>
  <c r="AD585" i="1"/>
  <c r="Y583" i="1"/>
  <c r="Y587" i="1" s="1"/>
  <c r="AC670" i="1"/>
  <c r="AC686" i="1" s="1"/>
  <c r="AC1872" i="1"/>
  <c r="AC688" i="1"/>
  <c r="AC696" i="1" s="1"/>
  <c r="AA1872" i="1"/>
  <c r="AA688" i="1"/>
  <c r="AA696" i="1" s="1"/>
  <c r="AA670" i="1"/>
  <c r="AA686" i="1" s="1"/>
  <c r="AE582" i="1"/>
  <c r="AE586" i="1" s="1"/>
  <c r="AE656" i="1"/>
  <c r="AE672" i="1" s="1"/>
  <c r="AE585" i="1"/>
  <c r="X139" i="1" l="1"/>
  <c r="AD137" i="1"/>
  <c r="AD1213" i="1" s="1"/>
  <c r="AD1254" i="1" s="1"/>
  <c r="AD1376" i="1" s="1"/>
  <c r="AD1399" i="1" s="1"/>
  <c r="O139" i="1"/>
  <c r="AA139" i="1"/>
  <c r="M137" i="1"/>
  <c r="M1014" i="1" s="1"/>
  <c r="M1027" i="1" s="1"/>
  <c r="T139" i="1"/>
  <c r="G26" i="1"/>
  <c r="AB139" i="1"/>
  <c r="T137" i="1"/>
  <c r="T1014" i="1" s="1"/>
  <c r="T1027" i="1" s="1"/>
  <c r="Z139" i="1"/>
  <c r="AC139" i="1"/>
  <c r="AE137" i="1"/>
  <c r="AE911" i="1" s="1"/>
  <c r="AE912" i="1" s="1"/>
  <c r="AE1297" i="1" s="1"/>
  <c r="S139" i="1"/>
  <c r="W137" i="1"/>
  <c r="W803" i="1" s="1"/>
  <c r="W804" i="1" s="1"/>
  <c r="W1873" i="1" s="1"/>
  <c r="W1874" i="1" s="1"/>
  <c r="W1886" i="1" s="1"/>
  <c r="R135" i="1"/>
  <c r="R137" i="1" s="1"/>
  <c r="R911" i="1" s="1"/>
  <c r="R912" i="1" s="1"/>
  <c r="R1297" i="1" s="1"/>
  <c r="AE139" i="1"/>
  <c r="P1014" i="1"/>
  <c r="P1027" i="1" s="1"/>
  <c r="AC137" i="1"/>
  <c r="AC1014" i="1" s="1"/>
  <c r="AC1178" i="1" s="1"/>
  <c r="Z137" i="1"/>
  <c r="Z803" i="1" s="1"/>
  <c r="Z804" i="1" s="1"/>
  <c r="P1029" i="1"/>
  <c r="U137" i="1"/>
  <c r="U803" i="1" s="1"/>
  <c r="U804" i="1" s="1"/>
  <c r="U1029" i="1" s="1"/>
  <c r="Q1873" i="1"/>
  <c r="Q1874" i="1" s="1"/>
  <c r="Q1886" i="1" s="1"/>
  <c r="Q1029" i="1"/>
  <c r="Q1213" i="1"/>
  <c r="Q1254" i="1" s="1"/>
  <c r="Q1376" i="1" s="1"/>
  <c r="Q1399" i="1" s="1"/>
  <c r="Q805" i="1"/>
  <c r="Q911" i="1"/>
  <c r="Q912" i="1" s="1"/>
  <c r="Q1297" i="1" s="1"/>
  <c r="X137" i="1"/>
  <c r="X911" i="1" s="1"/>
  <c r="X912" i="1" s="1"/>
  <c r="X1297" i="1" s="1"/>
  <c r="N137" i="1"/>
  <c r="N1014" i="1" s="1"/>
  <c r="N1178" i="1" s="1"/>
  <c r="T696" i="53"/>
  <c r="S1014" i="1"/>
  <c r="S1178" i="1" s="1"/>
  <c r="G23" i="1"/>
  <c r="Q1016" i="1"/>
  <c r="Q1180" i="1" s="1"/>
  <c r="S911" i="1"/>
  <c r="S912" i="1" s="1"/>
  <c r="S1297" i="1" s="1"/>
  <c r="P1016" i="1"/>
  <c r="P1180" i="1" s="1"/>
  <c r="Q1014" i="1"/>
  <c r="Q1178" i="1" s="1"/>
  <c r="S803" i="1"/>
  <c r="S804" i="1" s="1"/>
  <c r="S1873" i="1" s="1"/>
  <c r="P805" i="1"/>
  <c r="P911" i="1"/>
  <c r="P912" i="1" s="1"/>
  <c r="P941" i="1" s="1"/>
  <c r="P943" i="1" s="1"/>
  <c r="P1213" i="1"/>
  <c r="P1254" i="1" s="1"/>
  <c r="P1376" i="1" s="1"/>
  <c r="P1399" i="1" s="1"/>
  <c r="P1215" i="1"/>
  <c r="P1256" i="1" s="1"/>
  <c r="P1378" i="1" s="1"/>
  <c r="P1401" i="1" s="1"/>
  <c r="P1874" i="1"/>
  <c r="P1886" i="1" s="1"/>
  <c r="G34" i="1"/>
  <c r="J694" i="53"/>
  <c r="J702" i="53" s="1"/>
  <c r="Y137" i="1"/>
  <c r="Y803" i="1" s="1"/>
  <c r="Y804" i="1" s="1"/>
  <c r="Y1215" i="1" s="1"/>
  <c r="Y1256" i="1" s="1"/>
  <c r="Y1378" i="1" s="1"/>
  <c r="Y1401" i="1" s="1"/>
  <c r="G21" i="1"/>
  <c r="AD803" i="1"/>
  <c r="AD804" i="1" s="1"/>
  <c r="AD1873" i="1" s="1"/>
  <c r="AB137" i="1"/>
  <c r="AB1014" i="1" s="1"/>
  <c r="AB1178" i="1" s="1"/>
  <c r="V137" i="1"/>
  <c r="V1213" i="1" s="1"/>
  <c r="V1254" i="1" s="1"/>
  <c r="V1376" i="1" s="1"/>
  <c r="V1399" i="1" s="1"/>
  <c r="U686" i="53"/>
  <c r="S686" i="53"/>
  <c r="S694" i="53"/>
  <c r="S702" i="53" s="1"/>
  <c r="I787" i="53"/>
  <c r="I793" i="53" s="1"/>
  <c r="M787" i="53"/>
  <c r="M793" i="53" s="1"/>
  <c r="P686" i="53"/>
  <c r="J686" i="53"/>
  <c r="V787" i="53"/>
  <c r="V793" i="53" s="1"/>
  <c r="Q1880" i="1"/>
  <c r="V694" i="53"/>
  <c r="V702" i="53" s="1"/>
  <c r="I694" i="53"/>
  <c r="I702" i="53" s="1"/>
  <c r="G616" i="53"/>
  <c r="Q1427" i="1"/>
  <c r="T787" i="53"/>
  <c r="T793" i="53" s="1"/>
  <c r="T686" i="53"/>
  <c r="P1545" i="1"/>
  <c r="N686" i="53"/>
  <c r="N787" i="53"/>
  <c r="N793" i="53" s="1"/>
  <c r="I587" i="53"/>
  <c r="G583" i="53"/>
  <c r="K139" i="53"/>
  <c r="G134" i="53"/>
  <c r="G139" i="53" s="1"/>
  <c r="I130" i="53"/>
  <c r="G21" i="53"/>
  <c r="N696" i="53"/>
  <c r="N694" i="53"/>
  <c r="N702" i="53" s="1"/>
  <c r="L696" i="53"/>
  <c r="L694" i="53"/>
  <c r="L702" i="53" s="1"/>
  <c r="J139" i="53"/>
  <c r="J137" i="53"/>
  <c r="T911" i="53"/>
  <c r="T912" i="53" s="1"/>
  <c r="T803" i="53"/>
  <c r="T804" i="53" s="1"/>
  <c r="T1213" i="53"/>
  <c r="T1254" i="53" s="1"/>
  <c r="T1376" i="53" s="1"/>
  <c r="T1399" i="53" s="1"/>
  <c r="T1446" i="53" s="1"/>
  <c r="Q696" i="53"/>
  <c r="Q694" i="53"/>
  <c r="Q702" i="53" s="1"/>
  <c r="S1213" i="53"/>
  <c r="S1254" i="53" s="1"/>
  <c r="S1376" i="53" s="1"/>
  <c r="S1399" i="53" s="1"/>
  <c r="S1446" i="53" s="1"/>
  <c r="S803" i="53"/>
  <c r="S804" i="53" s="1"/>
  <c r="S911" i="53"/>
  <c r="S912" i="53" s="1"/>
  <c r="L139" i="53"/>
  <c r="L137" i="53"/>
  <c r="V137" i="53"/>
  <c r="V139" i="53"/>
  <c r="M803" i="53"/>
  <c r="M804" i="53" s="1"/>
  <c r="M911" i="53"/>
  <c r="M912" i="53" s="1"/>
  <c r="M1213" i="53"/>
  <c r="M1254" i="53" s="1"/>
  <c r="M1376" i="53" s="1"/>
  <c r="M1399" i="53" s="1"/>
  <c r="M1446" i="53" s="1"/>
  <c r="O803" i="53"/>
  <c r="O804" i="53" s="1"/>
  <c r="O1213" i="53"/>
  <c r="O1254" i="53" s="1"/>
  <c r="O1376" i="53" s="1"/>
  <c r="O1399" i="53" s="1"/>
  <c r="O1446" i="53" s="1"/>
  <c r="O911" i="53"/>
  <c r="O912" i="53" s="1"/>
  <c r="P696" i="53"/>
  <c r="P694" i="53"/>
  <c r="P702" i="53" s="1"/>
  <c r="R911" i="53"/>
  <c r="R912" i="53" s="1"/>
  <c r="R1213" i="53"/>
  <c r="R1254" i="53" s="1"/>
  <c r="R1376" i="53" s="1"/>
  <c r="R1399" i="53" s="1"/>
  <c r="R1446" i="53" s="1"/>
  <c r="R803" i="53"/>
  <c r="R804" i="53" s="1"/>
  <c r="P1213" i="53"/>
  <c r="P1254" i="53" s="1"/>
  <c r="P1376" i="53" s="1"/>
  <c r="P1399" i="53" s="1"/>
  <c r="P1446" i="53" s="1"/>
  <c r="P803" i="53"/>
  <c r="P804" i="53" s="1"/>
  <c r="P911" i="53"/>
  <c r="P912" i="53" s="1"/>
  <c r="G34" i="53"/>
  <c r="I23" i="53"/>
  <c r="N803" i="53"/>
  <c r="N804" i="53" s="1"/>
  <c r="N911" i="53"/>
  <c r="N912" i="53" s="1"/>
  <c r="N1213" i="53"/>
  <c r="N1254" i="53" s="1"/>
  <c r="N1376" i="53" s="1"/>
  <c r="N1399" i="53" s="1"/>
  <c r="N1446" i="53" s="1"/>
  <c r="I135" i="53"/>
  <c r="G26" i="53"/>
  <c r="G130" i="53"/>
  <c r="K137" i="53"/>
  <c r="K696" i="53"/>
  <c r="G688" i="53"/>
  <c r="G696" i="53" s="1"/>
  <c r="G1836" i="53" s="1"/>
  <c r="Q1213" i="53"/>
  <c r="Q1254" i="53" s="1"/>
  <c r="Q1376" i="53" s="1"/>
  <c r="Q1399" i="53" s="1"/>
  <c r="Q1446" i="53" s="1"/>
  <c r="Q911" i="53"/>
  <c r="Q912" i="53" s="1"/>
  <c r="Q803" i="53"/>
  <c r="Q804" i="53" s="1"/>
  <c r="U803" i="53"/>
  <c r="U804" i="53" s="1"/>
  <c r="U1213" i="53"/>
  <c r="U1254" i="53" s="1"/>
  <c r="U1376" i="53" s="1"/>
  <c r="U1399" i="53" s="1"/>
  <c r="U1446" i="53" s="1"/>
  <c r="U911" i="53"/>
  <c r="U912" i="53" s="1"/>
  <c r="L673" i="53"/>
  <c r="L1869" i="53"/>
  <c r="G1869" i="53" s="1"/>
  <c r="L670" i="53"/>
  <c r="G670" i="53" s="1"/>
  <c r="G686" i="53" s="1"/>
  <c r="G1872" i="53"/>
  <c r="S1869" i="1"/>
  <c r="T694" i="1"/>
  <c r="T702" i="1" s="1"/>
  <c r="Q1526" i="1"/>
  <c r="Q1528" i="1"/>
  <c r="Q1527" i="1"/>
  <c r="Q1524" i="1"/>
  <c r="Q1522" i="1"/>
  <c r="Q1523" i="1"/>
  <c r="R3" i="1"/>
  <c r="X657" i="1"/>
  <c r="X673" i="1" s="1"/>
  <c r="U694" i="1"/>
  <c r="U702" i="1" s="1"/>
  <c r="AA137" i="1"/>
  <c r="AA803" i="1" s="1"/>
  <c r="AA804" i="1" s="1"/>
  <c r="AA1016" i="1" s="1"/>
  <c r="AA1180" i="1" s="1"/>
  <c r="K787" i="53"/>
  <c r="K686" i="53"/>
  <c r="AB787" i="1"/>
  <c r="AB793" i="1" s="1"/>
  <c r="K697" i="53"/>
  <c r="K694" i="53"/>
  <c r="G689" i="53"/>
  <c r="G697" i="53" s="1"/>
  <c r="G1837" i="53" s="1"/>
  <c r="G1831" i="53"/>
  <c r="G1826" i="53"/>
  <c r="G1822" i="53"/>
  <c r="G1829" i="53"/>
  <c r="G1821" i="53"/>
  <c r="G1819" i="53"/>
  <c r="G1825" i="53"/>
  <c r="G1823" i="53"/>
  <c r="G1815" i="53"/>
  <c r="G1820" i="53"/>
  <c r="G1818" i="53"/>
  <c r="G1824" i="53"/>
  <c r="G1828" i="53"/>
  <c r="C1828" i="53" s="1"/>
  <c r="G1830" i="53"/>
  <c r="G1827" i="53"/>
  <c r="AE616" i="1"/>
  <c r="AE689" i="1" s="1"/>
  <c r="AE697" i="1" s="1"/>
  <c r="AE657" i="1"/>
  <c r="AE670" i="1" s="1"/>
  <c r="AE686" i="1" s="1"/>
  <c r="O657" i="1"/>
  <c r="O616" i="1"/>
  <c r="O689" i="1" s="1"/>
  <c r="O697" i="1" s="1"/>
  <c r="Y670" i="1"/>
  <c r="Y686" i="1" s="1"/>
  <c r="Y672" i="1"/>
  <c r="N694" i="1"/>
  <c r="N702" i="1" s="1"/>
  <c r="N696" i="1"/>
  <c r="R616" i="1"/>
  <c r="R689" i="1" s="1"/>
  <c r="R697" i="1" s="1"/>
  <c r="R657" i="1"/>
  <c r="P787" i="1"/>
  <c r="P791" i="1" s="1"/>
  <c r="P686" i="1"/>
  <c r="V657" i="1"/>
  <c r="V670" i="1" s="1"/>
  <c r="V686" i="1" s="1"/>
  <c r="V616" i="1"/>
  <c r="V689" i="1" s="1"/>
  <c r="V697" i="1" s="1"/>
  <c r="Z616" i="1"/>
  <c r="Z689" i="1" s="1"/>
  <c r="Z697" i="1" s="1"/>
  <c r="Z657" i="1"/>
  <c r="Z673" i="1" s="1"/>
  <c r="T1869" i="1"/>
  <c r="D16" i="46"/>
  <c r="E15" i="46"/>
  <c r="T670" i="1"/>
  <c r="AB694" i="1"/>
  <c r="AB702" i="1" s="1"/>
  <c r="O1297" i="1"/>
  <c r="J71" i="4" s="1"/>
  <c r="J71" i="49" s="1"/>
  <c r="O941" i="1"/>
  <c r="O943" i="1" s="1"/>
  <c r="O1213" i="1"/>
  <c r="J9" i="4" s="1"/>
  <c r="J9" i="49" s="1"/>
  <c r="O803" i="1"/>
  <c r="O804" i="1" s="1"/>
  <c r="O1014" i="1"/>
  <c r="R1391" i="1"/>
  <c r="R1432" i="1" s="1"/>
  <c r="Y778" i="1"/>
  <c r="Y789" i="1"/>
  <c r="AA759" i="1"/>
  <c r="Z769" i="1"/>
  <c r="Z771" i="1" s="1"/>
  <c r="Z761" i="1"/>
  <c r="V781" i="1"/>
  <c r="U787" i="1"/>
  <c r="U793" i="1" s="1"/>
  <c r="Y771" i="1"/>
  <c r="R1" i="1"/>
  <c r="S1206" i="1"/>
  <c r="S1389" i="1"/>
  <c r="S1391" i="1" s="1"/>
  <c r="S1432" i="1" s="1"/>
  <c r="T2" i="1"/>
  <c r="S1155" i="1"/>
  <c r="B1295" i="1"/>
  <c r="B1304" i="1" s="1"/>
  <c r="B1319" i="1" s="1"/>
  <c r="B1354" i="1" s="1"/>
  <c r="B1361" i="1" s="1"/>
  <c r="B1372" i="1"/>
  <c r="R1880" i="1"/>
  <c r="R1285" i="1"/>
  <c r="R1277" i="1" s="1"/>
  <c r="N787" i="1"/>
  <c r="N793" i="1" s="1"/>
  <c r="P694" i="1"/>
  <c r="P702" i="1" s="1"/>
  <c r="Y688" i="1"/>
  <c r="W586" i="1"/>
  <c r="AA583" i="1"/>
  <c r="AA587" i="1" s="1"/>
  <c r="Y1872" i="1"/>
  <c r="R586" i="1"/>
  <c r="R583" i="1"/>
  <c r="R587" i="1" s="1"/>
  <c r="AC583" i="1"/>
  <c r="AC587" i="1" s="1"/>
  <c r="AD583" i="1"/>
  <c r="AD587" i="1" s="1"/>
  <c r="M787" i="1"/>
  <c r="Q787" i="1"/>
  <c r="V586" i="1"/>
  <c r="V583" i="1"/>
  <c r="V587" i="1" s="1"/>
  <c r="X583" i="1"/>
  <c r="X587" i="1" s="1"/>
  <c r="M694" i="1"/>
  <c r="M702" i="1" s="1"/>
  <c r="Q694" i="1"/>
  <c r="Q702" i="1" s="1"/>
  <c r="V688" i="1"/>
  <c r="V696" i="1" s="1"/>
  <c r="V1872" i="1"/>
  <c r="X688" i="1"/>
  <c r="X696" i="1" s="1"/>
  <c r="X1872" i="1"/>
  <c r="W787" i="1"/>
  <c r="S583" i="1"/>
  <c r="S587" i="1" s="1"/>
  <c r="W694" i="1"/>
  <c r="W702" i="1" s="1"/>
  <c r="S688" i="1"/>
  <c r="S696" i="1" s="1"/>
  <c r="S1872" i="1"/>
  <c r="S670" i="1"/>
  <c r="S686" i="1" s="1"/>
  <c r="AE583" i="1"/>
  <c r="AE587" i="1" s="1"/>
  <c r="AA787" i="1"/>
  <c r="AC787" i="1"/>
  <c r="AA694" i="1"/>
  <c r="AA702" i="1" s="1"/>
  <c r="AC694" i="1"/>
  <c r="AC702" i="1" s="1"/>
  <c r="AD688" i="1"/>
  <c r="AD696" i="1" s="1"/>
  <c r="AD670" i="1"/>
  <c r="AD686" i="1" s="1"/>
  <c r="AD1872" i="1"/>
  <c r="AE1872" i="1"/>
  <c r="AE688" i="1"/>
  <c r="AE696" i="1" s="1"/>
  <c r="AD911" i="1" l="1"/>
  <c r="AD912" i="1" s="1"/>
  <c r="AD1297" i="1" s="1"/>
  <c r="M803" i="1"/>
  <c r="M804" i="1" s="1"/>
  <c r="M805" i="1" s="1"/>
  <c r="R803" i="1"/>
  <c r="R804" i="1" s="1"/>
  <c r="R1873" i="1" s="1"/>
  <c r="AD1014" i="1"/>
  <c r="AD1178" i="1" s="1"/>
  <c r="M911" i="1"/>
  <c r="M912" i="1" s="1"/>
  <c r="M1297" i="1" s="1"/>
  <c r="H71" i="4" s="1"/>
  <c r="H71" i="49" s="1"/>
  <c r="M1178" i="1"/>
  <c r="M1213" i="1"/>
  <c r="H9" i="4" s="1"/>
  <c r="H9" i="49" s="1"/>
  <c r="T911" i="1"/>
  <c r="T912" i="1" s="1"/>
  <c r="T1297" i="1" s="1"/>
  <c r="T1213" i="1"/>
  <c r="T1254" i="1" s="1"/>
  <c r="T1376" i="1" s="1"/>
  <c r="T1399" i="1" s="1"/>
  <c r="R139" i="1"/>
  <c r="T803" i="1"/>
  <c r="T804" i="1" s="1"/>
  <c r="T1016" i="1" s="1"/>
  <c r="T1180" i="1" s="1"/>
  <c r="T1178" i="1"/>
  <c r="U911" i="1"/>
  <c r="U912" i="1" s="1"/>
  <c r="U1297" i="1" s="1"/>
  <c r="R941" i="1"/>
  <c r="R943" i="1" s="1"/>
  <c r="R1014" i="1"/>
  <c r="R1027" i="1" s="1"/>
  <c r="R1213" i="1"/>
  <c r="R1254" i="1" s="1"/>
  <c r="R1376" i="1" s="1"/>
  <c r="R1399" i="1" s="1"/>
  <c r="AE1014" i="1"/>
  <c r="AE1178" i="1" s="1"/>
  <c r="AE1213" i="1"/>
  <c r="AE1254" i="1" s="1"/>
  <c r="AE1376" i="1" s="1"/>
  <c r="AE1399" i="1" s="1"/>
  <c r="AE803" i="1"/>
  <c r="AE804" i="1" s="1"/>
  <c r="AE1873" i="1" s="1"/>
  <c r="W1215" i="1"/>
  <c r="W1256" i="1" s="1"/>
  <c r="W1378" i="1" s="1"/>
  <c r="W1401" i="1" s="1"/>
  <c r="W911" i="1"/>
  <c r="W912" i="1" s="1"/>
  <c r="W941" i="1" s="1"/>
  <c r="W943" i="1" s="1"/>
  <c r="W1016" i="1"/>
  <c r="W1180" i="1" s="1"/>
  <c r="W1014" i="1"/>
  <c r="W1027" i="1" s="1"/>
  <c r="W1029" i="1"/>
  <c r="W805" i="1"/>
  <c r="W1213" i="1"/>
  <c r="W1254" i="1" s="1"/>
  <c r="W1376" i="1" s="1"/>
  <c r="W1399" i="1" s="1"/>
  <c r="AC1027" i="1"/>
  <c r="AE941" i="1"/>
  <c r="AE943" i="1" s="1"/>
  <c r="AC1213" i="1"/>
  <c r="AC1254" i="1" s="1"/>
  <c r="AC1376" i="1" s="1"/>
  <c r="AC1399" i="1" s="1"/>
  <c r="P1178" i="1"/>
  <c r="X941" i="1"/>
  <c r="X943" i="1" s="1"/>
  <c r="X803" i="1"/>
  <c r="X804" i="1" s="1"/>
  <c r="X1016" i="1" s="1"/>
  <c r="X1180" i="1" s="1"/>
  <c r="AC911" i="1"/>
  <c r="AC912" i="1" s="1"/>
  <c r="AC1297" i="1" s="1"/>
  <c r="AC803" i="1"/>
  <c r="AC804" i="1" s="1"/>
  <c r="AC805" i="1" s="1"/>
  <c r="Z1014" i="1"/>
  <c r="Z1027" i="1" s="1"/>
  <c r="Z911" i="1"/>
  <c r="Z912" i="1" s="1"/>
  <c r="Z1297" i="1" s="1"/>
  <c r="Z1213" i="1"/>
  <c r="Z1254" i="1" s="1"/>
  <c r="Z1376" i="1" s="1"/>
  <c r="Z1399" i="1" s="1"/>
  <c r="U1213" i="1"/>
  <c r="U1254" i="1" s="1"/>
  <c r="U1376" i="1" s="1"/>
  <c r="U1399" i="1" s="1"/>
  <c r="U1016" i="1"/>
  <c r="U1180" i="1" s="1"/>
  <c r="U1215" i="1"/>
  <c r="U1256" i="1" s="1"/>
  <c r="U1378" i="1" s="1"/>
  <c r="U1401" i="1" s="1"/>
  <c r="U805" i="1"/>
  <c r="U1014" i="1"/>
  <c r="U1178" i="1" s="1"/>
  <c r="X1014" i="1"/>
  <c r="X1027" i="1" s="1"/>
  <c r="U1873" i="1"/>
  <c r="U1874" i="1" s="1"/>
  <c r="U1886" i="1" s="1"/>
  <c r="N803" i="1"/>
  <c r="N804" i="1" s="1"/>
  <c r="N805" i="1" s="1"/>
  <c r="X1213" i="1"/>
  <c r="X1254" i="1" s="1"/>
  <c r="X1376" i="1" s="1"/>
  <c r="X1399" i="1" s="1"/>
  <c r="Q941" i="1"/>
  <c r="Q943" i="1" s="1"/>
  <c r="Q947" i="1" s="1"/>
  <c r="Q1227" i="1" s="1"/>
  <c r="N1027" i="1"/>
  <c r="AB1213" i="1"/>
  <c r="AB1254" i="1" s="1"/>
  <c r="AB1376" i="1" s="1"/>
  <c r="AB1399" i="1" s="1"/>
  <c r="N1213" i="1"/>
  <c r="N1254" i="1" s="1"/>
  <c r="I46" i="4" s="1"/>
  <c r="I46" i="49" s="1"/>
  <c r="S941" i="1"/>
  <c r="S943" i="1" s="1"/>
  <c r="AB911" i="1"/>
  <c r="AB912" i="1" s="1"/>
  <c r="AB941" i="1" s="1"/>
  <c r="AB943" i="1" s="1"/>
  <c r="N911" i="1"/>
  <c r="N912" i="1" s="1"/>
  <c r="N941" i="1" s="1"/>
  <c r="N943" i="1" s="1"/>
  <c r="O947" i="1" s="1"/>
  <c r="O1227" i="1" s="1"/>
  <c r="J23" i="4" s="1"/>
  <c r="J23" i="49" s="1"/>
  <c r="AB803" i="1"/>
  <c r="AB804" i="1" s="1"/>
  <c r="AB1873" i="1" s="1"/>
  <c r="AB1874" i="1" s="1"/>
  <c r="AB1886" i="1" s="1"/>
  <c r="AB1027" i="1"/>
  <c r="S1027" i="1"/>
  <c r="AD941" i="1"/>
  <c r="AD943" i="1" s="1"/>
  <c r="S1215" i="1"/>
  <c r="S1256" i="1" s="1"/>
  <c r="S1378" i="1" s="1"/>
  <c r="S1401" i="1" s="1"/>
  <c r="S805" i="1"/>
  <c r="V911" i="1"/>
  <c r="V912" i="1" s="1"/>
  <c r="V1297" i="1" s="1"/>
  <c r="Y1016" i="1"/>
  <c r="Y1180" i="1" s="1"/>
  <c r="Y1213" i="1"/>
  <c r="Y1254" i="1" s="1"/>
  <c r="Y1376" i="1" s="1"/>
  <c r="Y1399" i="1" s="1"/>
  <c r="Y1873" i="1"/>
  <c r="Y1874" i="1" s="1"/>
  <c r="Y1886" i="1" s="1"/>
  <c r="S1016" i="1"/>
  <c r="S1180" i="1" s="1"/>
  <c r="Y1014" i="1"/>
  <c r="Y1178" i="1" s="1"/>
  <c r="S1029" i="1"/>
  <c r="AD1016" i="1"/>
  <c r="AD1180" i="1" s="1"/>
  <c r="Q1027" i="1"/>
  <c r="Y911" i="1"/>
  <c r="Y912" i="1" s="1"/>
  <c r="Y1297" i="1" s="1"/>
  <c r="P947" i="1"/>
  <c r="P1227" i="1" s="1"/>
  <c r="P1297" i="1"/>
  <c r="V803" i="1"/>
  <c r="V804" i="1" s="1"/>
  <c r="V805" i="1" s="1"/>
  <c r="V1014" i="1"/>
  <c r="V1178" i="1" s="1"/>
  <c r="Y1029" i="1"/>
  <c r="Y805" i="1"/>
  <c r="AD1029" i="1"/>
  <c r="AD1215" i="1"/>
  <c r="AD1256" i="1" s="1"/>
  <c r="AD1378" i="1" s="1"/>
  <c r="AD1401" i="1" s="1"/>
  <c r="AD1874" i="1"/>
  <c r="AD1886" i="1" s="1"/>
  <c r="AD805" i="1"/>
  <c r="X670" i="1"/>
  <c r="X686" i="1" s="1"/>
  <c r="U1297" i="53"/>
  <c r="U941" i="53"/>
  <c r="U943" i="53" s="1"/>
  <c r="Q1297" i="53"/>
  <c r="Q941" i="53"/>
  <c r="Q943" i="53" s="1"/>
  <c r="K803" i="53"/>
  <c r="G137" i="53"/>
  <c r="K911" i="53"/>
  <c r="K912" i="53" s="1"/>
  <c r="K1213" i="53"/>
  <c r="K1254" i="53" s="1"/>
  <c r="K1376" i="53" s="1"/>
  <c r="K1399" i="53" s="1"/>
  <c r="K1446" i="53" s="1"/>
  <c r="R805" i="53"/>
  <c r="R1873" i="53"/>
  <c r="R1874" i="53" s="1"/>
  <c r="R1886" i="53" s="1"/>
  <c r="R1215" i="53"/>
  <c r="R1256" i="53" s="1"/>
  <c r="R1378" i="53" s="1"/>
  <c r="R1401" i="53" s="1"/>
  <c r="R1448" i="53" s="1"/>
  <c r="V803" i="53"/>
  <c r="V804" i="53" s="1"/>
  <c r="V911" i="53"/>
  <c r="V912" i="53" s="1"/>
  <c r="V1213" i="53"/>
  <c r="V1254" i="53" s="1"/>
  <c r="V1376" i="53" s="1"/>
  <c r="V1399" i="53" s="1"/>
  <c r="V1446" i="53" s="1"/>
  <c r="S805" i="53"/>
  <c r="S1215" i="53"/>
  <c r="S1256" i="53" s="1"/>
  <c r="S1378" i="53" s="1"/>
  <c r="S1401" i="53" s="1"/>
  <c r="S1448" i="53" s="1"/>
  <c r="S1873" i="53"/>
  <c r="S1874" i="53" s="1"/>
  <c r="S1886" i="53" s="1"/>
  <c r="L686" i="53"/>
  <c r="L787" i="53"/>
  <c r="L793" i="53" s="1"/>
  <c r="N1297" i="53"/>
  <c r="J912" i="1"/>
  <c r="N941" i="53"/>
  <c r="N943" i="53" s="1"/>
  <c r="P1297" i="53"/>
  <c r="P941" i="53"/>
  <c r="P943" i="53" s="1"/>
  <c r="O1297" i="53"/>
  <c r="O941" i="53"/>
  <c r="O943" i="53" s="1"/>
  <c r="M1297" i="53"/>
  <c r="M941" i="53"/>
  <c r="M943" i="53" s="1"/>
  <c r="L911" i="53"/>
  <c r="L912" i="53" s="1"/>
  <c r="L1213" i="53"/>
  <c r="L1254" i="53" s="1"/>
  <c r="L1376" i="53" s="1"/>
  <c r="L1399" i="53" s="1"/>
  <c r="L1446" i="53" s="1"/>
  <c r="L803" i="53"/>
  <c r="L804" i="53" s="1"/>
  <c r="T805" i="53"/>
  <c r="T1873" i="53"/>
  <c r="T1874" i="53" s="1"/>
  <c r="T1886" i="53" s="1"/>
  <c r="T1215" i="53"/>
  <c r="T1256" i="53" s="1"/>
  <c r="T1378" i="53" s="1"/>
  <c r="T1401" i="53" s="1"/>
  <c r="T1448" i="53" s="1"/>
  <c r="U1215" i="53"/>
  <c r="U1256" i="53" s="1"/>
  <c r="U1378" i="53" s="1"/>
  <c r="U1401" i="53" s="1"/>
  <c r="U1448" i="53" s="1"/>
  <c r="U805" i="53"/>
  <c r="U1873" i="53"/>
  <c r="U1874" i="53" s="1"/>
  <c r="U1886" i="53" s="1"/>
  <c r="N805" i="53"/>
  <c r="N1215" i="53"/>
  <c r="N1256" i="53" s="1"/>
  <c r="N1378" i="53" s="1"/>
  <c r="N1401" i="53" s="1"/>
  <c r="N1448" i="53" s="1"/>
  <c r="N1873" i="53"/>
  <c r="N1874" i="53" s="1"/>
  <c r="N1886" i="53" s="1"/>
  <c r="P805" i="53"/>
  <c r="P1873" i="53"/>
  <c r="P1874" i="53" s="1"/>
  <c r="P1886" i="53" s="1"/>
  <c r="P1215" i="53"/>
  <c r="P1256" i="53" s="1"/>
  <c r="P1378" i="53" s="1"/>
  <c r="P1401" i="53" s="1"/>
  <c r="P1448" i="53" s="1"/>
  <c r="R1297" i="53"/>
  <c r="K912" i="1"/>
  <c r="R941" i="53"/>
  <c r="R943" i="53" s="1"/>
  <c r="M805" i="53"/>
  <c r="M1215" i="53"/>
  <c r="M1256" i="53" s="1"/>
  <c r="M1378" i="53" s="1"/>
  <c r="M1401" i="53" s="1"/>
  <c r="M1448" i="53" s="1"/>
  <c r="M1873" i="53"/>
  <c r="M1874" i="53" s="1"/>
  <c r="M1886" i="53" s="1"/>
  <c r="T1297" i="53"/>
  <c r="T941" i="53"/>
  <c r="T943" i="53" s="1"/>
  <c r="Q1873" i="53"/>
  <c r="Q1874" i="53" s="1"/>
  <c r="Q1886" i="53" s="1"/>
  <c r="Q805" i="53"/>
  <c r="Q1215" i="53"/>
  <c r="Q1256" i="53" s="1"/>
  <c r="Q1378" i="53" s="1"/>
  <c r="Q1401" i="53" s="1"/>
  <c r="Q1448" i="53" s="1"/>
  <c r="G23" i="53"/>
  <c r="I134" i="53"/>
  <c r="I137" i="53" s="1"/>
  <c r="O805" i="53"/>
  <c r="O1873" i="53"/>
  <c r="O1874" i="53" s="1"/>
  <c r="O1886" i="53" s="1"/>
  <c r="O1215" i="53"/>
  <c r="O1256" i="53" s="1"/>
  <c r="O1378" i="53" s="1"/>
  <c r="O1401" i="53" s="1"/>
  <c r="O1448" i="53" s="1"/>
  <c r="S1297" i="53"/>
  <c r="S941" i="53"/>
  <c r="S943" i="53" s="1"/>
  <c r="J803" i="53"/>
  <c r="J804" i="53" s="1"/>
  <c r="J1213" i="53"/>
  <c r="J1254" i="53" s="1"/>
  <c r="J1376" i="53" s="1"/>
  <c r="J1399" i="53" s="1"/>
  <c r="J1446" i="53" s="1"/>
  <c r="J911" i="53"/>
  <c r="J912" i="53" s="1"/>
  <c r="S1874" i="1"/>
  <c r="S1886" i="1" s="1"/>
  <c r="Y787" i="1"/>
  <c r="Y791" i="1" s="1"/>
  <c r="AA1215" i="1"/>
  <c r="AA1256" i="1" s="1"/>
  <c r="AA1378" i="1" s="1"/>
  <c r="AA1401" i="1" s="1"/>
  <c r="X1869" i="1"/>
  <c r="AA1213" i="1"/>
  <c r="AA1254" i="1" s="1"/>
  <c r="AA1376" i="1" s="1"/>
  <c r="AA1399" i="1" s="1"/>
  <c r="Q1545" i="1"/>
  <c r="R1526" i="1"/>
  <c r="R1527" i="1"/>
  <c r="R1528" i="1"/>
  <c r="P793" i="1"/>
  <c r="R1524" i="1"/>
  <c r="R1523" i="1"/>
  <c r="R1522" i="1"/>
  <c r="S3" i="1"/>
  <c r="AA1029" i="1"/>
  <c r="AA1014" i="1"/>
  <c r="AA1027" i="1" s="1"/>
  <c r="AA805" i="1"/>
  <c r="AA911" i="1"/>
  <c r="AA912" i="1" s="1"/>
  <c r="AA941" i="1" s="1"/>
  <c r="AA943" i="1" s="1"/>
  <c r="AA1873" i="1"/>
  <c r="AA1874" i="1" s="1"/>
  <c r="AA1886" i="1" s="1"/>
  <c r="O694" i="1"/>
  <c r="O702" i="1" s="1"/>
  <c r="Z694" i="1"/>
  <c r="Z702" i="1" s="1"/>
  <c r="C1826" i="53"/>
  <c r="C1821" i="53"/>
  <c r="C1831" i="53"/>
  <c r="K702" i="53"/>
  <c r="G694" i="53"/>
  <c r="G702" i="53" s="1"/>
  <c r="K793" i="53"/>
  <c r="C1820" i="53"/>
  <c r="C1824" i="53"/>
  <c r="C1823" i="53"/>
  <c r="C1829" i="53"/>
  <c r="C1830" i="53"/>
  <c r="C1819" i="53"/>
  <c r="C1827" i="53"/>
  <c r="G1832" i="53"/>
  <c r="H1828" i="53" s="1"/>
  <c r="C1818" i="53"/>
  <c r="C1825" i="53"/>
  <c r="C1822" i="53"/>
  <c r="O673" i="1"/>
  <c r="O1869" i="1"/>
  <c r="O670" i="1"/>
  <c r="Y694" i="1"/>
  <c r="Y702" i="1" s="1"/>
  <c r="Y696" i="1"/>
  <c r="AE673" i="1"/>
  <c r="AE1869" i="1"/>
  <c r="R694" i="1"/>
  <c r="R702" i="1" s="1"/>
  <c r="T787" i="1"/>
  <c r="T791" i="1" s="1"/>
  <c r="T929" i="1" s="1"/>
  <c r="T930" i="1" s="1"/>
  <c r="T686" i="1"/>
  <c r="V673" i="1"/>
  <c r="V1869" i="1"/>
  <c r="R1869" i="1"/>
  <c r="R673" i="1"/>
  <c r="R670" i="1"/>
  <c r="Z670" i="1"/>
  <c r="Z1869" i="1"/>
  <c r="E16" i="46"/>
  <c r="D17" i="46"/>
  <c r="P948" i="1"/>
  <c r="P1414" i="1" s="1"/>
  <c r="O1254" i="1"/>
  <c r="O1178" i="1"/>
  <c r="O1027" i="1"/>
  <c r="O1029" i="1"/>
  <c r="O1215" i="1"/>
  <c r="O1873" i="1"/>
  <c r="O1016" i="1"/>
  <c r="O1180" i="1" s="1"/>
  <c r="O805" i="1"/>
  <c r="Z1873" i="1"/>
  <c r="Z1215" i="1"/>
  <c r="Z1256" i="1" s="1"/>
  <c r="Z1378" i="1" s="1"/>
  <c r="Z1401" i="1" s="1"/>
  <c r="Z805" i="1"/>
  <c r="Z1029" i="1"/>
  <c r="Z1016" i="1"/>
  <c r="Z1180" i="1" s="1"/>
  <c r="N791" i="1"/>
  <c r="N797" i="1" s="1"/>
  <c r="N916" i="1" s="1"/>
  <c r="N917" i="1" s="1"/>
  <c r="U791" i="1"/>
  <c r="U929" i="1" s="1"/>
  <c r="U930" i="1" s="1"/>
  <c r="AB759" i="1"/>
  <c r="AA769" i="1"/>
  <c r="AA771" i="1" s="1"/>
  <c r="AA761" i="1"/>
  <c r="Y795" i="1"/>
  <c r="Z789" i="1"/>
  <c r="Z795" i="1" s="1"/>
  <c r="Z778" i="1"/>
  <c r="Z780" i="1" s="1"/>
  <c r="Z781" i="1" s="1"/>
  <c r="Y780" i="1"/>
  <c r="T1155" i="1"/>
  <c r="T1389" i="1"/>
  <c r="T1391" i="1" s="1"/>
  <c r="T1432" i="1" s="1"/>
  <c r="T1206" i="1"/>
  <c r="U2" i="1"/>
  <c r="B1440" i="1"/>
  <c r="B1374" i="1"/>
  <c r="B1397" i="1" s="1"/>
  <c r="S1427" i="1"/>
  <c r="S1880" i="1"/>
  <c r="S1285" i="1"/>
  <c r="S1277" i="1" s="1"/>
  <c r="S1" i="1"/>
  <c r="V787" i="1"/>
  <c r="M791" i="1"/>
  <c r="M793" i="1"/>
  <c r="X694" i="1"/>
  <c r="X702" i="1" s="1"/>
  <c r="Q793" i="1"/>
  <c r="Q791" i="1"/>
  <c r="V694" i="1"/>
  <c r="V702" i="1" s="1"/>
  <c r="S694" i="1"/>
  <c r="S702" i="1" s="1"/>
  <c r="S787" i="1"/>
  <c r="W791" i="1"/>
  <c r="W793" i="1"/>
  <c r="AD787" i="1"/>
  <c r="AD694" i="1"/>
  <c r="AD702" i="1" s="1"/>
  <c r="AC793" i="1"/>
  <c r="AA793" i="1"/>
  <c r="AE694" i="1"/>
  <c r="AE702" i="1" s="1"/>
  <c r="P929" i="1"/>
  <c r="P930" i="1" s="1"/>
  <c r="P1214" i="1"/>
  <c r="P1015" i="1"/>
  <c r="P797" i="1"/>
  <c r="P916" i="1" s="1"/>
  <c r="P917" i="1" s="1"/>
  <c r="AE787" i="1"/>
  <c r="M1029" i="1" l="1"/>
  <c r="M1016" i="1"/>
  <c r="M1180" i="1" s="1"/>
  <c r="M1215" i="1"/>
  <c r="H11" i="4" s="1"/>
  <c r="H11" i="49" s="1"/>
  <c r="M1873" i="1"/>
  <c r="M1874" i="1" s="1"/>
  <c r="M1886" i="1" s="1"/>
  <c r="R1016" i="1"/>
  <c r="R1180" i="1" s="1"/>
  <c r="M941" i="1"/>
  <c r="M943" i="1" s="1"/>
  <c r="N948" i="1" s="1"/>
  <c r="N1228" i="1" s="1"/>
  <c r="I24" i="4" s="1"/>
  <c r="I24" i="49" s="1"/>
  <c r="R1874" i="1"/>
  <c r="R1886" i="1" s="1"/>
  <c r="R1215" i="1"/>
  <c r="R1256" i="1" s="1"/>
  <c r="R1378" i="1" s="1"/>
  <c r="R1401" i="1" s="1"/>
  <c r="R805" i="1"/>
  <c r="R1029" i="1"/>
  <c r="M1254" i="1"/>
  <c r="M1376" i="1" s="1"/>
  <c r="M1399" i="1" s="1"/>
  <c r="AD1027" i="1"/>
  <c r="T805" i="1"/>
  <c r="AC941" i="1"/>
  <c r="AC943" i="1" s="1"/>
  <c r="AD947" i="1" s="1"/>
  <c r="AD1413" i="1" s="1"/>
  <c r="U941" i="1"/>
  <c r="U943" i="1" s="1"/>
  <c r="T941" i="1"/>
  <c r="T943" i="1" s="1"/>
  <c r="T948" i="1" s="1"/>
  <c r="T1228" i="1" s="1"/>
  <c r="T1029" i="1"/>
  <c r="R1178" i="1"/>
  <c r="T1215" i="1"/>
  <c r="T1256" i="1" s="1"/>
  <c r="T1378" i="1" s="1"/>
  <c r="T1401" i="1" s="1"/>
  <c r="T1873" i="1"/>
  <c r="T1874" i="1" s="1"/>
  <c r="T1886" i="1" s="1"/>
  <c r="S947" i="1"/>
  <c r="S1413" i="1" s="1"/>
  <c r="AE1027" i="1"/>
  <c r="AE1029" i="1"/>
  <c r="X1215" i="1"/>
  <c r="X1256" i="1" s="1"/>
  <c r="X1378" i="1" s="1"/>
  <c r="X1401" i="1" s="1"/>
  <c r="X805" i="1"/>
  <c r="AE1016" i="1"/>
  <c r="AE1180" i="1" s="1"/>
  <c r="W1297" i="1"/>
  <c r="X1178" i="1"/>
  <c r="Z941" i="1"/>
  <c r="Z943" i="1" s="1"/>
  <c r="AA948" i="1" s="1"/>
  <c r="X1873" i="1"/>
  <c r="X1874" i="1" s="1"/>
  <c r="X1886" i="1" s="1"/>
  <c r="X1029" i="1"/>
  <c r="I9" i="4"/>
  <c r="I9" i="49" s="1"/>
  <c r="AE1874" i="1"/>
  <c r="AE1886" i="1" s="1"/>
  <c r="AE805" i="1"/>
  <c r="AE1215" i="1"/>
  <c r="AE1256" i="1" s="1"/>
  <c r="AE1378" i="1" s="1"/>
  <c r="AE1401" i="1" s="1"/>
  <c r="W1178" i="1"/>
  <c r="X947" i="1"/>
  <c r="X1413" i="1" s="1"/>
  <c r="AC1029" i="1"/>
  <c r="AE947" i="1"/>
  <c r="AE1227" i="1" s="1"/>
  <c r="N1016" i="1"/>
  <c r="N1180" i="1" s="1"/>
  <c r="X948" i="1"/>
  <c r="X1228" i="1" s="1"/>
  <c r="AC1873" i="1"/>
  <c r="AC1874" i="1" s="1"/>
  <c r="AC1886" i="1" s="1"/>
  <c r="AC1215" i="1"/>
  <c r="AC1256" i="1" s="1"/>
  <c r="AC1378" i="1" s="1"/>
  <c r="AC1401" i="1" s="1"/>
  <c r="AC1016" i="1"/>
  <c r="AC1180" i="1" s="1"/>
  <c r="Z1178" i="1"/>
  <c r="N1029" i="1"/>
  <c r="U1027" i="1"/>
  <c r="AB1297" i="1"/>
  <c r="AE948" i="1"/>
  <c r="AE1414" i="1" s="1"/>
  <c r="N947" i="1"/>
  <c r="N1227" i="1" s="1"/>
  <c r="I23" i="4" s="1"/>
  <c r="I23" i="49" s="1"/>
  <c r="N1873" i="1"/>
  <c r="N1874" i="1" s="1"/>
  <c r="N1886" i="1" s="1"/>
  <c r="N1215" i="1"/>
  <c r="N1256" i="1" s="1"/>
  <c r="N1378" i="1" s="1"/>
  <c r="N1401" i="1" s="1"/>
  <c r="AB805" i="1"/>
  <c r="AB1215" i="1"/>
  <c r="AB1256" i="1" s="1"/>
  <c r="AB1378" i="1" s="1"/>
  <c r="AB1401" i="1" s="1"/>
  <c r="R948" i="1"/>
  <c r="R1414" i="1" s="1"/>
  <c r="AB1016" i="1"/>
  <c r="AB1180" i="1" s="1"/>
  <c r="N1376" i="1"/>
  <c r="N1399" i="1" s="1"/>
  <c r="AB1029" i="1"/>
  <c r="R947" i="1"/>
  <c r="R1227" i="1" s="1"/>
  <c r="S948" i="1"/>
  <c r="S1414" i="1" s="1"/>
  <c r="O948" i="1"/>
  <c r="O1414" i="1" s="1"/>
  <c r="Q948" i="1"/>
  <c r="Q1414" i="1" s="1"/>
  <c r="N1297" i="1"/>
  <c r="I71" i="4" s="1"/>
  <c r="I71" i="49" s="1"/>
  <c r="Y941" i="1"/>
  <c r="Y943" i="1" s="1"/>
  <c r="Y947" i="1" s="1"/>
  <c r="Y1227" i="1" s="1"/>
  <c r="V941" i="1"/>
  <c r="V943" i="1" s="1"/>
  <c r="W947" i="1" s="1"/>
  <c r="W1227" i="1" s="1"/>
  <c r="Y1027" i="1"/>
  <c r="V1873" i="1"/>
  <c r="V1874" i="1" s="1"/>
  <c r="V1886" i="1" s="1"/>
  <c r="V1016" i="1"/>
  <c r="V1180" i="1" s="1"/>
  <c r="V1215" i="1"/>
  <c r="V1256" i="1" s="1"/>
  <c r="V1378" i="1" s="1"/>
  <c r="V1401" i="1" s="1"/>
  <c r="V1029" i="1"/>
  <c r="P1413" i="1"/>
  <c r="V1027" i="1"/>
  <c r="I139" i="53"/>
  <c r="G787" i="53"/>
  <c r="G793" i="53" s="1"/>
  <c r="X787" i="1"/>
  <c r="X793" i="1" s="1"/>
  <c r="S947" i="53"/>
  <c r="S1413" i="53" s="1"/>
  <c r="Y793" i="1"/>
  <c r="T948" i="53"/>
  <c r="T947" i="53"/>
  <c r="P948" i="53"/>
  <c r="P947" i="53"/>
  <c r="V805" i="53"/>
  <c r="V1215" i="53"/>
  <c r="V1256" i="53" s="1"/>
  <c r="V1378" i="53" s="1"/>
  <c r="V1401" i="53" s="1"/>
  <c r="V1448" i="53" s="1"/>
  <c r="V1873" i="53"/>
  <c r="V1874" i="53" s="1"/>
  <c r="V1886" i="53" s="1"/>
  <c r="Q947" i="53"/>
  <c r="Q948" i="53"/>
  <c r="J805" i="53"/>
  <c r="J1215" i="53"/>
  <c r="J1256" i="53" s="1"/>
  <c r="J1378" i="53" s="1"/>
  <c r="J1401" i="53" s="1"/>
  <c r="J1448" i="53" s="1"/>
  <c r="J1873" i="53"/>
  <c r="J1874" i="53" s="1"/>
  <c r="J1886" i="53" s="1"/>
  <c r="S948" i="53"/>
  <c r="R948" i="53"/>
  <c r="R947" i="53"/>
  <c r="L805" i="53"/>
  <c r="L1215" i="53"/>
  <c r="L1256" i="53" s="1"/>
  <c r="L1378" i="53" s="1"/>
  <c r="L1401" i="53" s="1"/>
  <c r="L1448" i="53" s="1"/>
  <c r="L1873" i="53"/>
  <c r="L1874" i="53" s="1"/>
  <c r="L1886" i="53" s="1"/>
  <c r="K1297" i="53"/>
  <c r="K941" i="53"/>
  <c r="K943" i="53" s="1"/>
  <c r="O947" i="53"/>
  <c r="O948" i="53"/>
  <c r="N948" i="53"/>
  <c r="N947" i="53"/>
  <c r="U948" i="53"/>
  <c r="U947" i="53"/>
  <c r="I912" i="1"/>
  <c r="J1297" i="53"/>
  <c r="J941" i="53"/>
  <c r="J943" i="53" s="1"/>
  <c r="I803" i="53"/>
  <c r="I804" i="53" s="1"/>
  <c r="I911" i="53"/>
  <c r="I912" i="53" s="1"/>
  <c r="I1213" i="53"/>
  <c r="L1297" i="53"/>
  <c r="L941" i="53"/>
  <c r="L943" i="53" s="1"/>
  <c r="V1297" i="53"/>
  <c r="L912" i="1"/>
  <c r="V941" i="53"/>
  <c r="V943" i="53" s="1"/>
  <c r="G803" i="53"/>
  <c r="K804" i="53"/>
  <c r="AA1178" i="1"/>
  <c r="S1526" i="1"/>
  <c r="S1528" i="1"/>
  <c r="S1527" i="1"/>
  <c r="R1545" i="1"/>
  <c r="S1524" i="1"/>
  <c r="S1522" i="1"/>
  <c r="S1523" i="1"/>
  <c r="T3" i="1"/>
  <c r="AA1297" i="1"/>
  <c r="T1214" i="1"/>
  <c r="T1255" i="1" s="1"/>
  <c r="T1015" i="1"/>
  <c r="T1028" i="1" s="1"/>
  <c r="O1874" i="1"/>
  <c r="O1886" i="1" s="1"/>
  <c r="H1825" i="53"/>
  <c r="T793" i="1"/>
  <c r="H1822" i="53"/>
  <c r="H1818" i="53"/>
  <c r="H1819" i="53"/>
  <c r="H1827" i="53"/>
  <c r="H1829" i="53"/>
  <c r="H1821" i="53"/>
  <c r="H1824" i="53"/>
  <c r="H1830" i="53"/>
  <c r="H1823" i="53"/>
  <c r="H1820" i="53"/>
  <c r="H1831" i="53"/>
  <c r="H1826" i="53"/>
  <c r="R686" i="1"/>
  <c r="R787" i="1"/>
  <c r="T797" i="1"/>
  <c r="T916" i="1" s="1"/>
  <c r="T917" i="1" s="1"/>
  <c r="T1299" i="1" s="1"/>
  <c r="Z686" i="1"/>
  <c r="O686" i="1"/>
  <c r="O787" i="1"/>
  <c r="Z1874" i="1"/>
  <c r="Z1886" i="1" s="1"/>
  <c r="Z787" i="1"/>
  <c r="Z793" i="1" s="1"/>
  <c r="E17" i="46"/>
  <c r="D18" i="46"/>
  <c r="Q1413" i="1"/>
  <c r="P1228" i="1"/>
  <c r="O1413" i="1"/>
  <c r="O1376" i="1"/>
  <c r="O1399" i="1" s="1"/>
  <c r="J46" i="4"/>
  <c r="J46" i="49" s="1"/>
  <c r="J11" i="4"/>
  <c r="J11" i="49" s="1"/>
  <c r="O1256" i="1"/>
  <c r="N1015" i="1"/>
  <c r="N1028" i="1" s="1"/>
  <c r="AB947" i="1"/>
  <c r="AB948" i="1"/>
  <c r="N929" i="1"/>
  <c r="N930" i="1" s="1"/>
  <c r="N1214" i="1"/>
  <c r="I10" i="4" s="1"/>
  <c r="I10" i="49" s="1"/>
  <c r="U797" i="1"/>
  <c r="U916" i="1" s="1"/>
  <c r="U917" i="1" s="1"/>
  <c r="U1299" i="1" s="1"/>
  <c r="U1015" i="1"/>
  <c r="U1179" i="1" s="1"/>
  <c r="U1214" i="1"/>
  <c r="U1255" i="1" s="1"/>
  <c r="AC759" i="1"/>
  <c r="AB761" i="1"/>
  <c r="AB769" i="1"/>
  <c r="AB771" i="1" s="1"/>
  <c r="Y781" i="1"/>
  <c r="AA789" i="1"/>
  <c r="AA778" i="1"/>
  <c r="AA780" i="1" s="1"/>
  <c r="AA781" i="1" s="1"/>
  <c r="B1798" i="1"/>
  <c r="B1861" i="1" s="1"/>
  <c r="B1863" i="1" s="1"/>
  <c r="B1876" i="1" s="1"/>
  <c r="B1883" i="1" s="1"/>
  <c r="B1444" i="1"/>
  <c r="B1463" i="1" s="1"/>
  <c r="B1502" i="1" s="1"/>
  <c r="B1519" i="1" s="1"/>
  <c r="B1614" i="1" s="1"/>
  <c r="B1702" i="1" s="1"/>
  <c r="T1" i="1"/>
  <c r="T1880" i="1"/>
  <c r="T1285" i="1"/>
  <c r="T1277" i="1" s="1"/>
  <c r="T1427" i="1"/>
  <c r="U1155" i="1"/>
  <c r="V2" i="1"/>
  <c r="U1206" i="1"/>
  <c r="U1389" i="1"/>
  <c r="V791" i="1"/>
  <c r="V793" i="1"/>
  <c r="Q797" i="1"/>
  <c r="Q916" i="1" s="1"/>
  <c r="Q917" i="1" s="1"/>
  <c r="Q929" i="1"/>
  <c r="Q930" i="1" s="1"/>
  <c r="Q1214" i="1"/>
  <c r="Q1255" i="1" s="1"/>
  <c r="Q1377" i="1" s="1"/>
  <c r="Q1015" i="1"/>
  <c r="M797" i="1"/>
  <c r="M916" i="1" s="1"/>
  <c r="M917" i="1" s="1"/>
  <c r="M1214" i="1"/>
  <c r="M1015" i="1"/>
  <c r="M929" i="1"/>
  <c r="M930" i="1" s="1"/>
  <c r="S793" i="1"/>
  <c r="S791" i="1"/>
  <c r="W929" i="1"/>
  <c r="W930" i="1" s="1"/>
  <c r="W797" i="1"/>
  <c r="W916" i="1" s="1"/>
  <c r="W917" i="1" s="1"/>
  <c r="W1015" i="1"/>
  <c r="W1214" i="1"/>
  <c r="W1255" i="1" s="1"/>
  <c r="W1377" i="1" s="1"/>
  <c r="Y1015" i="1"/>
  <c r="Y1214" i="1"/>
  <c r="Y1255" i="1" s="1"/>
  <c r="Y1377" i="1" s="1"/>
  <c r="Y929" i="1"/>
  <c r="Y930" i="1" s="1"/>
  <c r="Y797" i="1"/>
  <c r="Y916" i="1" s="1"/>
  <c r="Y917" i="1" s="1"/>
  <c r="AD793" i="1"/>
  <c r="P1179" i="1"/>
  <c r="P1028" i="1"/>
  <c r="AE793" i="1"/>
  <c r="P1255" i="1"/>
  <c r="N1299" i="1"/>
  <c r="I73" i="4" s="1"/>
  <c r="I73" i="49" s="1"/>
  <c r="P1299" i="1"/>
  <c r="M1256" i="1" l="1"/>
  <c r="H48" i="4" s="1"/>
  <c r="H48" i="49" s="1"/>
  <c r="H46" i="4"/>
  <c r="H46" i="49" s="1"/>
  <c r="AC947" i="1"/>
  <c r="AC1227" i="1" s="1"/>
  <c r="U948" i="1"/>
  <c r="U1228" i="1" s="1"/>
  <c r="AD948" i="1"/>
  <c r="AD1414" i="1" s="1"/>
  <c r="AC948" i="1"/>
  <c r="AC1414" i="1" s="1"/>
  <c r="T947" i="1"/>
  <c r="T1413" i="1" s="1"/>
  <c r="U947" i="1"/>
  <c r="U1227" i="1" s="1"/>
  <c r="AA947" i="1"/>
  <c r="AA1413" i="1" s="1"/>
  <c r="S1227" i="1"/>
  <c r="X1414" i="1"/>
  <c r="AE1413" i="1"/>
  <c r="X1227" i="1"/>
  <c r="W948" i="1"/>
  <c r="W1414" i="1" s="1"/>
  <c r="N1414" i="1"/>
  <c r="I11" i="4"/>
  <c r="I11" i="49" s="1"/>
  <c r="I48" i="4"/>
  <c r="I48" i="49" s="1"/>
  <c r="AE1228" i="1"/>
  <c r="AD1227" i="1"/>
  <c r="R1413" i="1"/>
  <c r="N1413" i="1"/>
  <c r="S1228" i="1"/>
  <c r="Q1228" i="1"/>
  <c r="R1228" i="1"/>
  <c r="T1414" i="1"/>
  <c r="W1413" i="1"/>
  <c r="Z947" i="1"/>
  <c r="Z1227" i="1" s="1"/>
  <c r="Y1413" i="1"/>
  <c r="O1228" i="1"/>
  <c r="J24" i="4" s="1"/>
  <c r="J24" i="49" s="1"/>
  <c r="Y948" i="1"/>
  <c r="Y1414" i="1" s="1"/>
  <c r="Z948" i="1"/>
  <c r="Z1414" i="1" s="1"/>
  <c r="V948" i="1"/>
  <c r="V1228" i="1" s="1"/>
  <c r="V947" i="1"/>
  <c r="V1413" i="1" s="1"/>
  <c r="X791" i="1"/>
  <c r="X1015" i="1" s="1"/>
  <c r="L947" i="53"/>
  <c r="L1227" i="53" s="1"/>
  <c r="S1227" i="53"/>
  <c r="I1254" i="53"/>
  <c r="G1213" i="53"/>
  <c r="N1227" i="53"/>
  <c r="N1413" i="53"/>
  <c r="R1414" i="53"/>
  <c r="R1228" i="53"/>
  <c r="M948" i="53"/>
  <c r="K805" i="53"/>
  <c r="K1215" i="53"/>
  <c r="K1256" i="53" s="1"/>
  <c r="K1378" i="53" s="1"/>
  <c r="K1401" i="53" s="1"/>
  <c r="K1448" i="53" s="1"/>
  <c r="K1873" i="53"/>
  <c r="K1874" i="53" s="1"/>
  <c r="K1886" i="53" s="1"/>
  <c r="G804" i="53"/>
  <c r="G805" i="53" s="1"/>
  <c r="G1842" i="53" s="1"/>
  <c r="I1297" i="53"/>
  <c r="I941" i="53"/>
  <c r="I943" i="53" s="1"/>
  <c r="J947" i="53" s="1"/>
  <c r="N1414" i="53"/>
  <c r="N1228" i="53"/>
  <c r="S1414" i="53"/>
  <c r="S1228" i="53"/>
  <c r="Q1414" i="53"/>
  <c r="Q1228" i="53"/>
  <c r="M947" i="53"/>
  <c r="I1215" i="53"/>
  <c r="I1873" i="53"/>
  <c r="I805" i="53"/>
  <c r="U1413" i="53"/>
  <c r="U1227" i="53"/>
  <c r="O1228" i="53"/>
  <c r="O1414" i="53"/>
  <c r="L948" i="53"/>
  <c r="K948" i="53"/>
  <c r="K947" i="53"/>
  <c r="Q1227" i="53"/>
  <c r="Q1413" i="53"/>
  <c r="P1413" i="53"/>
  <c r="P1227" i="53"/>
  <c r="T1413" i="53"/>
  <c r="T1227" i="53"/>
  <c r="V948" i="53"/>
  <c r="V947" i="53"/>
  <c r="U1228" i="53"/>
  <c r="U1414" i="53"/>
  <c r="O1227" i="53"/>
  <c r="O1413" i="53"/>
  <c r="R1413" i="53"/>
  <c r="R1227" i="53"/>
  <c r="P1414" i="53"/>
  <c r="P1228" i="53"/>
  <c r="T1228" i="53"/>
  <c r="T1414" i="53"/>
  <c r="S1545" i="1"/>
  <c r="T1526" i="1"/>
  <c r="T1528" i="1"/>
  <c r="T1527" i="1"/>
  <c r="T1179" i="1"/>
  <c r="T1524" i="1"/>
  <c r="T1523" i="1"/>
  <c r="T1522" i="1"/>
  <c r="U3" i="1"/>
  <c r="H1832" i="53"/>
  <c r="O791" i="1"/>
  <c r="O793" i="1"/>
  <c r="R791" i="1"/>
  <c r="R793" i="1"/>
  <c r="Z791" i="1"/>
  <c r="Z1214" i="1" s="1"/>
  <c r="Z1255" i="1" s="1"/>
  <c r="Z1377" i="1" s="1"/>
  <c r="N1255" i="1"/>
  <c r="N1257" i="1" s="1"/>
  <c r="N1179" i="1"/>
  <c r="D19" i="46"/>
  <c r="E18" i="46"/>
  <c r="AD1228" i="1"/>
  <c r="O1378" i="1"/>
  <c r="O1401" i="1" s="1"/>
  <c r="J48" i="4"/>
  <c r="J48" i="49" s="1"/>
  <c r="AB1414" i="1"/>
  <c r="AB1228" i="1"/>
  <c r="AB1413" i="1"/>
  <c r="AB1227" i="1"/>
  <c r="AA1414" i="1"/>
  <c r="AA1228" i="1"/>
  <c r="U1028" i="1"/>
  <c r="Q1257" i="1"/>
  <c r="AB789" i="1"/>
  <c r="AB778" i="1"/>
  <c r="AD759" i="1"/>
  <c r="AC761" i="1"/>
  <c r="AC769" i="1"/>
  <c r="AC771" i="1" s="1"/>
  <c r="AA795" i="1"/>
  <c r="AA791" i="1"/>
  <c r="U1285" i="1"/>
  <c r="U1277" i="1" s="1"/>
  <c r="U1880" i="1"/>
  <c r="B1621" i="1"/>
  <c r="B1634" i="1" s="1"/>
  <c r="B1695" i="1" s="1"/>
  <c r="B1764" i="1"/>
  <c r="B1766" i="1" s="1"/>
  <c r="B1779" i="1" s="1"/>
  <c r="U1427" i="1"/>
  <c r="W2" i="1"/>
  <c r="V1206" i="1"/>
  <c r="V1155" i="1"/>
  <c r="V1389" i="1"/>
  <c r="V1427" i="1" s="1"/>
  <c r="U1" i="1"/>
  <c r="U1391" i="1"/>
  <c r="U1432" i="1" s="1"/>
  <c r="W1257" i="1"/>
  <c r="Y1257" i="1"/>
  <c r="M1179" i="1"/>
  <c r="M1028" i="1"/>
  <c r="M1255" i="1"/>
  <c r="H10" i="4"/>
  <c r="H10" i="49" s="1"/>
  <c r="M1299" i="1"/>
  <c r="H73" i="4" s="1"/>
  <c r="H73" i="49" s="1"/>
  <c r="Q1299" i="1"/>
  <c r="Q1179" i="1"/>
  <c r="Q1028" i="1"/>
  <c r="V1015" i="1"/>
  <c r="V929" i="1"/>
  <c r="V930" i="1" s="1"/>
  <c r="V797" i="1"/>
  <c r="V916" i="1" s="1"/>
  <c r="V917" i="1" s="1"/>
  <c r="V1214" i="1"/>
  <c r="V1255" i="1" s="1"/>
  <c r="W1028" i="1"/>
  <c r="W1179" i="1"/>
  <c r="S1015" i="1"/>
  <c r="S1214" i="1"/>
  <c r="S1255" i="1" s="1"/>
  <c r="S1257" i="1" s="1"/>
  <c r="S929" i="1"/>
  <c r="S930" i="1" s="1"/>
  <c r="S797" i="1"/>
  <c r="S916" i="1" s="1"/>
  <c r="S917" i="1" s="1"/>
  <c r="W1299" i="1"/>
  <c r="Y1299" i="1"/>
  <c r="Y1028" i="1"/>
  <c r="Y1179" i="1"/>
  <c r="W1400" i="1"/>
  <c r="Q1400" i="1"/>
  <c r="Q1390" i="1"/>
  <c r="Y1400" i="1"/>
  <c r="U1377" i="1"/>
  <c r="U1257" i="1"/>
  <c r="P1377" i="1"/>
  <c r="P1257" i="1"/>
  <c r="T1377" i="1"/>
  <c r="T1257" i="1"/>
  <c r="M1378" i="1" l="1"/>
  <c r="M1401" i="1" s="1"/>
  <c r="AC1413" i="1"/>
  <c r="U1414" i="1"/>
  <c r="T1227" i="1"/>
  <c r="AC1228" i="1"/>
  <c r="U1413" i="1"/>
  <c r="AA1227" i="1"/>
  <c r="Z1413" i="1"/>
  <c r="W1228" i="1"/>
  <c r="V1414" i="1"/>
  <c r="Y1228" i="1"/>
  <c r="Z1228" i="1"/>
  <c r="V1227" i="1"/>
  <c r="X1214" i="1"/>
  <c r="X1255" i="1" s="1"/>
  <c r="X1377" i="1" s="1"/>
  <c r="X1400" i="1" s="1"/>
  <c r="L1413" i="53"/>
  <c r="X929" i="1"/>
  <c r="X930" i="1" s="1"/>
  <c r="X797" i="1"/>
  <c r="X916" i="1" s="1"/>
  <c r="X917" i="1" s="1"/>
  <c r="X1299" i="1" s="1"/>
  <c r="J948" i="53"/>
  <c r="J1414" i="53" s="1"/>
  <c r="T1545" i="1"/>
  <c r="V1413" i="53"/>
  <c r="V1227" i="53"/>
  <c r="K1413" i="53"/>
  <c r="K1227" i="53"/>
  <c r="G1873" i="53"/>
  <c r="I1874" i="53"/>
  <c r="M1227" i="53"/>
  <c r="M1413" i="53"/>
  <c r="V1414" i="53"/>
  <c r="V1228" i="53"/>
  <c r="K1228" i="53"/>
  <c r="K1414" i="53"/>
  <c r="I1256" i="53"/>
  <c r="G1215" i="53"/>
  <c r="M1414" i="53"/>
  <c r="M1228" i="53"/>
  <c r="L1414" i="53"/>
  <c r="L1228" i="53"/>
  <c r="J1227" i="53"/>
  <c r="J1413" i="53"/>
  <c r="I948" i="53"/>
  <c r="I947" i="53"/>
  <c r="I1376" i="53"/>
  <c r="G1254" i="53"/>
  <c r="U1526" i="1"/>
  <c r="U1528" i="1"/>
  <c r="U1527" i="1"/>
  <c r="U1524" i="1"/>
  <c r="U1522" i="1"/>
  <c r="U1523" i="1"/>
  <c r="V3" i="1"/>
  <c r="Z1015" i="1"/>
  <c r="Z1179" i="1" s="1"/>
  <c r="O1015" i="1"/>
  <c r="O1214" i="1"/>
  <c r="O797" i="1"/>
  <c r="O916" i="1" s="1"/>
  <c r="O917" i="1" s="1"/>
  <c r="O929" i="1"/>
  <c r="O930" i="1" s="1"/>
  <c r="R1015" i="1"/>
  <c r="R1214" i="1"/>
  <c r="R1255" i="1" s="1"/>
  <c r="R929" i="1"/>
  <c r="R930" i="1" s="1"/>
  <c r="R797" i="1"/>
  <c r="R916" i="1" s="1"/>
  <c r="R917" i="1" s="1"/>
  <c r="Z929" i="1"/>
  <c r="Z930" i="1" s="1"/>
  <c r="N1377" i="1"/>
  <c r="N1400" i="1" s="1"/>
  <c r="I47" i="4"/>
  <c r="I47" i="49" s="1"/>
  <c r="Z797" i="1"/>
  <c r="Z916" i="1" s="1"/>
  <c r="Z917" i="1" s="1"/>
  <c r="Z1299" i="1" s="1"/>
  <c r="E19" i="46"/>
  <c r="D20" i="46"/>
  <c r="AA1214" i="1"/>
  <c r="AA1255" i="1" s="1"/>
  <c r="AA1015" i="1"/>
  <c r="AA797" i="1"/>
  <c r="AA916" i="1" s="1"/>
  <c r="AA917" i="1" s="1"/>
  <c r="AA1299" i="1" s="1"/>
  <c r="AA929" i="1"/>
  <c r="AA930" i="1" s="1"/>
  <c r="AE759" i="1"/>
  <c r="AD769" i="1"/>
  <c r="AD771" i="1" s="1"/>
  <c r="AD761" i="1"/>
  <c r="AB780" i="1"/>
  <c r="AC789" i="1"/>
  <c r="AC778" i="1"/>
  <c r="AC780" i="1" s="1"/>
  <c r="AC781" i="1" s="1"/>
  <c r="Z1257" i="1"/>
  <c r="AB795" i="1"/>
  <c r="AB791" i="1"/>
  <c r="V1" i="1"/>
  <c r="W1155" i="1"/>
  <c r="X2" i="1"/>
  <c r="W1206" i="1"/>
  <c r="W1389" i="1"/>
  <c r="V1285" i="1"/>
  <c r="V1277" i="1" s="1"/>
  <c r="V1880" i="1"/>
  <c r="V1391" i="1"/>
  <c r="V1432" i="1" s="1"/>
  <c r="S1377" i="1"/>
  <c r="S1390" i="1" s="1"/>
  <c r="V1028" i="1"/>
  <c r="V1179" i="1"/>
  <c r="V1377" i="1"/>
  <c r="V1257" i="1"/>
  <c r="V1299" i="1"/>
  <c r="X1028" i="1"/>
  <c r="X1179" i="1"/>
  <c r="H47" i="4"/>
  <c r="H47" i="49" s="1"/>
  <c r="M1377" i="1"/>
  <c r="M1257" i="1"/>
  <c r="H49" i="4" s="1"/>
  <c r="H49" i="49" s="1"/>
  <c r="S1028" i="1"/>
  <c r="S1179" i="1"/>
  <c r="S1299" i="1"/>
  <c r="Q1428" i="1"/>
  <c r="T1400" i="1"/>
  <c r="T1390" i="1"/>
  <c r="Z1400" i="1"/>
  <c r="I49" i="4"/>
  <c r="I49" i="49" s="1"/>
  <c r="P1400" i="1"/>
  <c r="P1390" i="1"/>
  <c r="U1400" i="1"/>
  <c r="U1390" i="1"/>
  <c r="X1257" i="1" l="1"/>
  <c r="J1228" i="53"/>
  <c r="I1228" i="53"/>
  <c r="I1414" i="53"/>
  <c r="G1414" i="53" s="1"/>
  <c r="G948" i="53"/>
  <c r="I1399" i="53"/>
  <c r="G1376" i="53"/>
  <c r="I1378" i="53"/>
  <c r="G1256" i="53"/>
  <c r="I1886" i="53"/>
  <c r="G1886" i="53" s="1"/>
  <c r="G1874" i="53"/>
  <c r="I1227" i="53"/>
  <c r="G1227" i="53" s="1"/>
  <c r="I949" i="53"/>
  <c r="I1413" i="53"/>
  <c r="G1413" i="53" s="1"/>
  <c r="G947" i="53"/>
  <c r="Z1028" i="1"/>
  <c r="U1545" i="1"/>
  <c r="V1526" i="1"/>
  <c r="V1527" i="1"/>
  <c r="V1528" i="1"/>
  <c r="N1390" i="1"/>
  <c r="N1428" i="1" s="1"/>
  <c r="V1524" i="1"/>
  <c r="V1523" i="1"/>
  <c r="V1522" i="1"/>
  <c r="W3" i="1"/>
  <c r="S1400" i="1"/>
  <c r="O1299" i="1"/>
  <c r="J73" i="4" s="1"/>
  <c r="J73" i="49" s="1"/>
  <c r="R1377" i="1"/>
  <c r="R1257" i="1"/>
  <c r="O1255" i="1"/>
  <c r="J10" i="4"/>
  <c r="J10" i="49" s="1"/>
  <c r="R1299" i="1"/>
  <c r="R1179" i="1"/>
  <c r="R1028" i="1"/>
  <c r="O1179" i="1"/>
  <c r="O1028" i="1"/>
  <c r="E20" i="46"/>
  <c r="D21" i="46"/>
  <c r="AE769" i="1"/>
  <c r="AE761" i="1"/>
  <c r="AD789" i="1"/>
  <c r="AD778" i="1"/>
  <c r="AA1377" i="1"/>
  <c r="AA1400" i="1" s="1"/>
  <c r="AA1257" i="1"/>
  <c r="AB781" i="1"/>
  <c r="AB797" i="1"/>
  <c r="AB916" i="1" s="1"/>
  <c r="AB917" i="1" s="1"/>
  <c r="AB1299" i="1" s="1"/>
  <c r="AB1015" i="1"/>
  <c r="AB929" i="1"/>
  <c r="AB930" i="1" s="1"/>
  <c r="AB1214" i="1"/>
  <c r="AC795" i="1"/>
  <c r="AC791" i="1"/>
  <c r="AA1179" i="1"/>
  <c r="AA1028" i="1"/>
  <c r="W1285" i="1"/>
  <c r="W1277" i="1" s="1"/>
  <c r="W1880" i="1"/>
  <c r="X1206" i="1"/>
  <c r="Y2" i="1"/>
  <c r="X1389" i="1"/>
  <c r="X1391" i="1" s="1"/>
  <c r="X1432" i="1" s="1"/>
  <c r="X1155" i="1"/>
  <c r="W1427" i="1"/>
  <c r="W1390" i="1"/>
  <c r="W1428" i="1" s="1"/>
  <c r="W1391" i="1"/>
  <c r="W1432" i="1" s="1"/>
  <c r="W1" i="1"/>
  <c r="M1390" i="1"/>
  <c r="M1428" i="1" s="1"/>
  <c r="M1400" i="1"/>
  <c r="V1400" i="1"/>
  <c r="V1390" i="1"/>
  <c r="V1428" i="1" s="1"/>
  <c r="S1428" i="1"/>
  <c r="P1428" i="1"/>
  <c r="U1428" i="1"/>
  <c r="T1428" i="1"/>
  <c r="G1228" i="53" l="1"/>
  <c r="I1307" i="53"/>
  <c r="J946" i="53"/>
  <c r="J949" i="53" s="1"/>
  <c r="I951" i="53"/>
  <c r="I1401" i="53"/>
  <c r="G1378" i="53"/>
  <c r="I1446" i="53"/>
  <c r="G1399" i="53"/>
  <c r="W1526" i="1"/>
  <c r="W1527" i="1"/>
  <c r="W1528" i="1"/>
  <c r="W1524" i="1"/>
  <c r="W1522" i="1"/>
  <c r="W1523" i="1"/>
  <c r="X3" i="1"/>
  <c r="O1377" i="1"/>
  <c r="J47" i="4"/>
  <c r="J47" i="49" s="1"/>
  <c r="O1257" i="1"/>
  <c r="J49" i="4" s="1"/>
  <c r="J49" i="49" s="1"/>
  <c r="R1390" i="1"/>
  <c r="R1428" i="1" s="1"/>
  <c r="R1400" i="1"/>
  <c r="E21" i="46"/>
  <c r="D22" i="46"/>
  <c r="AC1214" i="1"/>
  <c r="AC1255" i="1" s="1"/>
  <c r="AC929" i="1"/>
  <c r="AC930" i="1" s="1"/>
  <c r="AC1015" i="1"/>
  <c r="AC797" i="1"/>
  <c r="AC916" i="1" s="1"/>
  <c r="AC917" i="1" s="1"/>
  <c r="AC1299" i="1" s="1"/>
  <c r="AB1179" i="1"/>
  <c r="AB1028" i="1"/>
  <c r="AE789" i="1"/>
  <c r="AE778" i="1"/>
  <c r="AE780" i="1" s="1"/>
  <c r="AE781" i="1" s="1"/>
  <c r="AD795" i="1"/>
  <c r="AD791" i="1"/>
  <c r="AB1255" i="1"/>
  <c r="AD780" i="1"/>
  <c r="AE771" i="1"/>
  <c r="Y1155" i="1"/>
  <c r="Z2" i="1"/>
  <c r="Y1206" i="1"/>
  <c r="Y1389" i="1"/>
  <c r="Y1391" i="1" s="1"/>
  <c r="Y1432" i="1" s="1"/>
  <c r="X1285" i="1"/>
  <c r="X1277" i="1" s="1"/>
  <c r="X1880" i="1"/>
  <c r="X1" i="1"/>
  <c r="X1427" i="1"/>
  <c r="X1390" i="1"/>
  <c r="X1428" i="1" s="1"/>
  <c r="I1448" i="53" l="1"/>
  <c r="G1401" i="53"/>
  <c r="I1229" i="53"/>
  <c r="I1415" i="53"/>
  <c r="I1264" i="53"/>
  <c r="J951" i="53"/>
  <c r="K946" i="53"/>
  <c r="K949" i="53" s="1"/>
  <c r="J1307" i="53"/>
  <c r="X1526" i="1"/>
  <c r="X1527" i="1"/>
  <c r="X1528" i="1"/>
  <c r="Y3" i="1"/>
  <c r="X1524" i="1"/>
  <c r="X1523" i="1"/>
  <c r="X1522" i="1"/>
  <c r="O1400" i="1"/>
  <c r="O1390" i="1"/>
  <c r="O1428" i="1" s="1"/>
  <c r="D23" i="46"/>
  <c r="E22" i="46"/>
  <c r="AC1028" i="1"/>
  <c r="AC1179" i="1"/>
  <c r="AB1377" i="1"/>
  <c r="AB1257" i="1"/>
  <c r="AD929" i="1"/>
  <c r="AD930" i="1" s="1"/>
  <c r="AD1214" i="1"/>
  <c r="AD1015" i="1"/>
  <c r="AD797" i="1"/>
  <c r="AD916" i="1" s="1"/>
  <c r="AD917" i="1" s="1"/>
  <c r="AD1299" i="1" s="1"/>
  <c r="AE795" i="1"/>
  <c r="AE791" i="1"/>
  <c r="AC1257" i="1"/>
  <c r="AC1377" i="1"/>
  <c r="AC1400" i="1" s="1"/>
  <c r="AD781" i="1"/>
  <c r="Y1880" i="1"/>
  <c r="Y1285" i="1"/>
  <c r="Y1277" i="1" s="1"/>
  <c r="Y1" i="1"/>
  <c r="Z1389" i="1"/>
  <c r="Z1391" i="1" s="1"/>
  <c r="Z1432" i="1" s="1"/>
  <c r="AA2" i="1"/>
  <c r="Z1155" i="1"/>
  <c r="Z1206" i="1"/>
  <c r="Y1390" i="1"/>
  <c r="Y1428" i="1" s="1"/>
  <c r="Y1427" i="1"/>
  <c r="K951" i="53" l="1"/>
  <c r="K1307" i="53"/>
  <c r="L946" i="53"/>
  <c r="L949" i="53" s="1"/>
  <c r="J1229" i="53"/>
  <c r="J1415" i="53"/>
  <c r="J1264" i="53"/>
  <c r="Y1526" i="1"/>
  <c r="Y1527" i="1"/>
  <c r="Y1528" i="1"/>
  <c r="Z3" i="1"/>
  <c r="Y1524" i="1"/>
  <c r="Y1523" i="1"/>
  <c r="Y1522" i="1"/>
  <c r="D24" i="46"/>
  <c r="E23" i="46"/>
  <c r="AB1400" i="1"/>
  <c r="AD1179" i="1"/>
  <c r="AD1028" i="1"/>
  <c r="AE1214" i="1"/>
  <c r="AE1255" i="1" s="1"/>
  <c r="AE929" i="1"/>
  <c r="AE930" i="1" s="1"/>
  <c r="AE797" i="1"/>
  <c r="AE916" i="1" s="1"/>
  <c r="AE917" i="1" s="1"/>
  <c r="AE1299" i="1" s="1"/>
  <c r="AE1015" i="1"/>
  <c r="AD1255" i="1"/>
  <c r="Z1880" i="1"/>
  <c r="Z1285" i="1"/>
  <c r="Z1277" i="1" s="1"/>
  <c r="AA1389" i="1"/>
  <c r="AA1155" i="1"/>
  <c r="AB2" i="1"/>
  <c r="AA1206" i="1"/>
  <c r="Z1390" i="1"/>
  <c r="Z1428" i="1" s="1"/>
  <c r="Z1427" i="1"/>
  <c r="Z1" i="1"/>
  <c r="L951" i="53" l="1"/>
  <c r="M946" i="53"/>
  <c r="M949" i="53" s="1"/>
  <c r="L1307" i="53"/>
  <c r="K1415" i="53"/>
  <c r="K1264" i="53"/>
  <c r="K1229" i="53"/>
  <c r="Z1526" i="1"/>
  <c r="Z1527" i="1"/>
  <c r="Z1528" i="1"/>
  <c r="AA3" i="1"/>
  <c r="Z1524" i="1"/>
  <c r="Z1523" i="1"/>
  <c r="Z1522" i="1"/>
  <c r="J1297" i="1"/>
  <c r="E71" i="4" s="1"/>
  <c r="E71" i="49" s="1"/>
  <c r="L1297" i="1"/>
  <c r="G71" i="4" s="1"/>
  <c r="G71" i="49" s="1"/>
  <c r="I1297" i="1"/>
  <c r="D71" i="4" s="1"/>
  <c r="D71" i="49" s="1"/>
  <c r="K1297" i="1"/>
  <c r="F71" i="4" s="1"/>
  <c r="F71" i="49" s="1"/>
  <c r="D25" i="46"/>
  <c r="E24" i="46"/>
  <c r="AD1377" i="1"/>
  <c r="AD1257" i="1"/>
  <c r="AE1377" i="1"/>
  <c r="AE1400" i="1" s="1"/>
  <c r="AE1257" i="1"/>
  <c r="AE1028" i="1"/>
  <c r="AE1179" i="1"/>
  <c r="AA1" i="1"/>
  <c r="AA1390" i="1"/>
  <c r="AA1428" i="1" s="1"/>
  <c r="AA1427" i="1"/>
  <c r="AC2" i="1"/>
  <c r="AB1155" i="1"/>
  <c r="AB1389" i="1"/>
  <c r="AB1391" i="1" s="1"/>
  <c r="AB1432" i="1" s="1"/>
  <c r="AB1206" i="1"/>
  <c r="AA1880" i="1"/>
  <c r="AA1285" i="1"/>
  <c r="AA1277" i="1" s="1"/>
  <c r="AA1391" i="1"/>
  <c r="AA1432" i="1" s="1"/>
  <c r="M951" i="53" l="1"/>
  <c r="M1307" i="53"/>
  <c r="N946" i="53"/>
  <c r="L1229" i="53"/>
  <c r="L1264" i="53"/>
  <c r="L1415" i="53"/>
  <c r="AA1526" i="1"/>
  <c r="AA1527" i="1"/>
  <c r="AA1528" i="1"/>
  <c r="AB3" i="1"/>
  <c r="AA1524" i="1"/>
  <c r="AA1522" i="1"/>
  <c r="AA1523" i="1"/>
  <c r="E25" i="46"/>
  <c r="D26" i="46"/>
  <c r="AD1400" i="1"/>
  <c r="AB1880" i="1"/>
  <c r="AB1285" i="1"/>
  <c r="AB1277" i="1" s="1"/>
  <c r="AB1427" i="1"/>
  <c r="AB1390" i="1"/>
  <c r="AB1428" i="1" s="1"/>
  <c r="AB1" i="1"/>
  <c r="AD2" i="1"/>
  <c r="AC1206" i="1"/>
  <c r="AC1155" i="1"/>
  <c r="AC1389" i="1"/>
  <c r="AC1391" i="1" s="1"/>
  <c r="AC1432" i="1" s="1"/>
  <c r="M1229" i="53" l="1"/>
  <c r="M1415" i="53"/>
  <c r="M1264" i="53"/>
  <c r="N949" i="53"/>
  <c r="N951" i="53" s="1"/>
  <c r="AB1526" i="1"/>
  <c r="AB1527" i="1"/>
  <c r="AB1528" i="1"/>
  <c r="AC3" i="1"/>
  <c r="AB1524" i="1"/>
  <c r="AB1523" i="1"/>
  <c r="AB1522" i="1"/>
  <c r="E26" i="46"/>
  <c r="D27" i="46"/>
  <c r="AC1285" i="1"/>
  <c r="AC1277" i="1" s="1"/>
  <c r="AC1880" i="1"/>
  <c r="AC1" i="1"/>
  <c r="AD1389" i="1"/>
  <c r="AD1391" i="1" s="1"/>
  <c r="AD1432" i="1" s="1"/>
  <c r="AE2" i="1"/>
  <c r="AD1155" i="1"/>
  <c r="AD1206" i="1"/>
  <c r="AC1427" i="1"/>
  <c r="AC1390" i="1"/>
  <c r="AC1428" i="1" s="1"/>
  <c r="C1587" i="1" l="1" a="1"/>
  <c r="C1606" i="1" s="1"/>
  <c r="C1737" i="1" a="1"/>
  <c r="O946" i="53"/>
  <c r="O949" i="53" s="1"/>
  <c r="N1307" i="53"/>
  <c r="N1229" i="53"/>
  <c r="N1264" i="53"/>
  <c r="N1415" i="53"/>
  <c r="AC1526" i="1"/>
  <c r="AC1527" i="1"/>
  <c r="AC1528" i="1"/>
  <c r="AD3" i="1"/>
  <c r="AC1524" i="1"/>
  <c r="AC1523" i="1"/>
  <c r="AC1522" i="1"/>
  <c r="C1670" i="1" a="1"/>
  <c r="C1670" i="1" s="1"/>
  <c r="D28" i="46"/>
  <c r="E27" i="46"/>
  <c r="C1329" i="1" a="1"/>
  <c r="C1345" i="1" s="1"/>
  <c r="C1053" i="1" a="1"/>
  <c r="C1070" i="1" s="1"/>
  <c r="AE1206" i="1"/>
  <c r="AE1389" i="1"/>
  <c r="AE1155" i="1"/>
  <c r="AD1" i="1"/>
  <c r="AD1880" i="1"/>
  <c r="AD1285" i="1"/>
  <c r="AD1427" i="1"/>
  <c r="AD1390" i="1"/>
  <c r="AD1428" i="1" s="1"/>
  <c r="C1604" i="1" l="1"/>
  <c r="C1602" i="1"/>
  <c r="C1587" i="1"/>
  <c r="C1590" i="1"/>
  <c r="C1603" i="1"/>
  <c r="C1588" i="1"/>
  <c r="C1607" i="1"/>
  <c r="C1605" i="1"/>
  <c r="C1598" i="1"/>
  <c r="C1595" i="1"/>
  <c r="C1600" i="1"/>
  <c r="C1609" i="1"/>
  <c r="C1589" i="1"/>
  <c r="C1592" i="1"/>
  <c r="C1599" i="1"/>
  <c r="C1596" i="1"/>
  <c r="C1594" i="1"/>
  <c r="C1593" i="1"/>
  <c r="C1591" i="1"/>
  <c r="C1601" i="1"/>
  <c r="C1597" i="1"/>
  <c r="C1608" i="1"/>
  <c r="C1737" i="1"/>
  <c r="C1759" i="1"/>
  <c r="C1743" i="1"/>
  <c r="C1758" i="1"/>
  <c r="C1742" i="1"/>
  <c r="C1753" i="1"/>
  <c r="C1755" i="1"/>
  <c r="C1754" i="1"/>
  <c r="C1749" i="1"/>
  <c r="C1751" i="1"/>
  <c r="C1750" i="1"/>
  <c r="C1745" i="1"/>
  <c r="C1740" i="1"/>
  <c r="C1744" i="1"/>
  <c r="C1757" i="1"/>
  <c r="C1739" i="1"/>
  <c r="C1738" i="1"/>
  <c r="C1752" i="1"/>
  <c r="C1756" i="1"/>
  <c r="C1748" i="1"/>
  <c r="C1747" i="1"/>
  <c r="C1746" i="1"/>
  <c r="C1741" i="1"/>
  <c r="O951" i="53"/>
  <c r="O1307" i="53"/>
  <c r="P946" i="53"/>
  <c r="AD1526" i="1"/>
  <c r="AD1528" i="1"/>
  <c r="AD1527" i="1"/>
  <c r="C1679" i="1"/>
  <c r="C1687" i="1"/>
  <c r="C1686" i="1"/>
  <c r="C1672" i="1"/>
  <c r="C1690" i="1"/>
  <c r="C1688" i="1"/>
  <c r="C1671" i="1"/>
  <c r="C1678" i="1"/>
  <c r="C1676" i="1"/>
  <c r="C1677" i="1"/>
  <c r="C1674" i="1"/>
  <c r="AE3" i="1"/>
  <c r="V760" i="53" s="1"/>
  <c r="AD1524" i="1"/>
  <c r="AD1522" i="1"/>
  <c r="AD1523" i="1"/>
  <c r="N760" i="53"/>
  <c r="C1675" i="1"/>
  <c r="C1691" i="1"/>
  <c r="C1684" i="1"/>
  <c r="C1681" i="1"/>
  <c r="C1683" i="1"/>
  <c r="C1682" i="1"/>
  <c r="C1692" i="1"/>
  <c r="C1680" i="1"/>
  <c r="C1685" i="1"/>
  <c r="C1673" i="1"/>
  <c r="C1689" i="1"/>
  <c r="D29" i="46"/>
  <c r="E28" i="46"/>
  <c r="C1053" i="1"/>
  <c r="C1066" i="1"/>
  <c r="C1350" i="1"/>
  <c r="C1334" i="1"/>
  <c r="C1339" i="1"/>
  <c r="C1065" i="1"/>
  <c r="C1064" i="1"/>
  <c r="C1342" i="1"/>
  <c r="C1336" i="1"/>
  <c r="C1332" i="1"/>
  <c r="C1057" i="1"/>
  <c r="C1061" i="1"/>
  <c r="C1067" i="1"/>
  <c r="C1337" i="1"/>
  <c r="C1329" i="1"/>
  <c r="C1333" i="1"/>
  <c r="C1055" i="1"/>
  <c r="C1062" i="1"/>
  <c r="C1056" i="1"/>
  <c r="C1344" i="1"/>
  <c r="C1330" i="1"/>
  <c r="C1340" i="1"/>
  <c r="C1063" i="1"/>
  <c r="C1072" i="1"/>
  <c r="C1060" i="1"/>
  <c r="C1068" i="1"/>
  <c r="C1343" i="1"/>
  <c r="C1349" i="1"/>
  <c r="C1335" i="1"/>
  <c r="C1338" i="1"/>
  <c r="C1331" i="1"/>
  <c r="C1069" i="1"/>
  <c r="C1341" i="1"/>
  <c r="C1073" i="1"/>
  <c r="C1058" i="1"/>
  <c r="C1071" i="1"/>
  <c r="C1059" i="1"/>
  <c r="C1054" i="1"/>
  <c r="C1351" i="1"/>
  <c r="C1346" i="1"/>
  <c r="C1074" i="1"/>
  <c r="C1348" i="1"/>
  <c r="C1347" i="1"/>
  <c r="C1075" i="1"/>
  <c r="AE1" i="1"/>
  <c r="G1737" i="1" s="1" a="1"/>
  <c r="AE1390" i="1"/>
  <c r="AE1428" i="1" s="1"/>
  <c r="AE1427" i="1"/>
  <c r="V333" i="3" s="1"/>
  <c r="V335" i="3" s="1"/>
  <c r="V337" i="3" s="1"/>
  <c r="AE1391" i="1"/>
  <c r="AE1432" i="1" s="1"/>
  <c r="AE1880" i="1"/>
  <c r="G1880" i="1" s="1"/>
  <c r="AE1285" i="1"/>
  <c r="AE1277" i="1" s="1"/>
  <c r="G1206" i="1"/>
  <c r="AD1277" i="1"/>
  <c r="V765" i="53" l="1"/>
  <c r="V770" i="53" s="1"/>
  <c r="U765" i="53"/>
  <c r="T1206" i="53"/>
  <c r="T1285" i="53" s="1"/>
  <c r="T1277" i="53" s="1"/>
  <c r="G1737" i="1"/>
  <c r="G1759" i="1"/>
  <c r="G1743" i="1"/>
  <c r="G1748" i="1"/>
  <c r="G1754" i="1"/>
  <c r="G1738" i="1"/>
  <c r="G1745" i="1"/>
  <c r="G1739" i="1"/>
  <c r="G1750" i="1"/>
  <c r="G1741" i="1"/>
  <c r="G1755" i="1"/>
  <c r="G1744" i="1"/>
  <c r="G1757" i="1"/>
  <c r="G1751" i="1"/>
  <c r="G1756" i="1"/>
  <c r="G1740" i="1"/>
  <c r="G1746" i="1"/>
  <c r="G1753" i="1"/>
  <c r="G1747" i="1"/>
  <c r="G1752" i="1"/>
  <c r="G1758" i="1"/>
  <c r="G1742" i="1"/>
  <c r="G1749" i="1"/>
  <c r="K1206" i="53"/>
  <c r="K1880" i="53" s="1"/>
  <c r="P1206" i="53"/>
  <c r="P1285" i="53" s="1"/>
  <c r="P1277" i="53" s="1"/>
  <c r="N765" i="53"/>
  <c r="N770" i="53" s="1"/>
  <c r="T2" i="53"/>
  <c r="T1389" i="53" s="1"/>
  <c r="T1427" i="53" s="1"/>
  <c r="S765" i="53"/>
  <c r="I765" i="53"/>
  <c r="J765" i="53"/>
  <c r="J1206" i="53"/>
  <c r="J1880" i="53" s="1"/>
  <c r="Q765" i="53"/>
  <c r="R760" i="53"/>
  <c r="R761" i="53" s="1"/>
  <c r="O1206" i="53"/>
  <c r="O1880" i="53" s="1"/>
  <c r="K2" i="53"/>
  <c r="K1389" i="53" s="1"/>
  <c r="K1427" i="53" s="1"/>
  <c r="I1206" i="53"/>
  <c r="I1285" i="53" s="1"/>
  <c r="I2" i="53"/>
  <c r="Q760" i="53"/>
  <c r="Q761" i="53" s="1"/>
  <c r="P949" i="53"/>
  <c r="P951" i="53" s="1"/>
  <c r="O1229" i="53"/>
  <c r="O1264" i="53"/>
  <c r="O1415" i="53"/>
  <c r="M760" i="53"/>
  <c r="M761" i="53" s="1"/>
  <c r="J2" i="53"/>
  <c r="J1389" i="53" s="1"/>
  <c r="J1427" i="53" s="1"/>
  <c r="P765" i="53"/>
  <c r="V2" i="53"/>
  <c r="V1389" i="53" s="1"/>
  <c r="V1427" i="53" s="1"/>
  <c r="T760" i="53"/>
  <c r="T761" i="53" s="1"/>
  <c r="I760" i="53"/>
  <c r="I761" i="53" s="1"/>
  <c r="M2" i="53"/>
  <c r="M1389" i="53" s="1"/>
  <c r="M1427" i="53" s="1"/>
  <c r="O760" i="53"/>
  <c r="O761" i="53" s="1"/>
  <c r="M1206" i="53"/>
  <c r="M1880" i="53" s="1"/>
  <c r="P2" i="53"/>
  <c r="P1389" i="53" s="1"/>
  <c r="P1427" i="53" s="1"/>
  <c r="S1206" i="53"/>
  <c r="S1285" i="53" s="1"/>
  <c r="S1277" i="53" s="1"/>
  <c r="R765" i="53"/>
  <c r="L2" i="53"/>
  <c r="L1389" i="53" s="1"/>
  <c r="L1427" i="53" s="1"/>
  <c r="N2" i="53"/>
  <c r="N1389" i="53" s="1"/>
  <c r="N1427" i="53" s="1"/>
  <c r="S760" i="53"/>
  <c r="AE1526" i="1"/>
  <c r="AE1527" i="1"/>
  <c r="AE1528" i="1"/>
  <c r="V761" i="53"/>
  <c r="N761" i="53"/>
  <c r="E1468" i="1"/>
  <c r="AE1471" i="1" s="1"/>
  <c r="AE1524" i="1"/>
  <c r="AE1523" i="1"/>
  <c r="AE1522" i="1"/>
  <c r="N1206" i="53"/>
  <c r="Q1206" i="53"/>
  <c r="U760" i="53"/>
  <c r="S2" i="53"/>
  <c r="S1389" i="53" s="1"/>
  <c r="S1427" i="53" s="1"/>
  <c r="J760" i="53"/>
  <c r="U2" i="53"/>
  <c r="U1389" i="53" s="1"/>
  <c r="U1427" i="53" s="1"/>
  <c r="T765" i="53"/>
  <c r="L765" i="53"/>
  <c r="R1206" i="53"/>
  <c r="V1206" i="53"/>
  <c r="O2" i="53"/>
  <c r="P760" i="53"/>
  <c r="L1206" i="53"/>
  <c r="U1206" i="53"/>
  <c r="L760" i="53"/>
  <c r="R2" i="53"/>
  <c r="R1389" i="53" s="1"/>
  <c r="R1427" i="53" s="1"/>
  <c r="M765" i="53"/>
  <c r="K760" i="53"/>
  <c r="Q2" i="53"/>
  <c r="Q1389" i="53" s="1"/>
  <c r="Q1427" i="53" s="1"/>
  <c r="K765" i="53"/>
  <c r="O765" i="53"/>
  <c r="D30" i="46"/>
  <c r="E29" i="46"/>
  <c r="G1285" i="1"/>
  <c r="P323" i="3"/>
  <c r="P325" i="3" s="1"/>
  <c r="O333" i="3"/>
  <c r="O335" i="3" s="1"/>
  <c r="O337" i="3" s="1"/>
  <c r="S323" i="3"/>
  <c r="S325" i="3" s="1"/>
  <c r="S362" i="3"/>
  <c r="S357" i="3" s="1"/>
  <c r="P333" i="3"/>
  <c r="P335" i="3" s="1"/>
  <c r="P337" i="3" s="1"/>
  <c r="R323" i="3"/>
  <c r="N323" i="3"/>
  <c r="U333" i="3"/>
  <c r="U335" i="3" s="1"/>
  <c r="U337" i="3" s="1"/>
  <c r="Q323" i="3"/>
  <c r="T362" i="3"/>
  <c r="T357" i="3" s="1"/>
  <c r="U362" i="3"/>
  <c r="U357" i="3" s="1"/>
  <c r="Q362" i="3"/>
  <c r="Q357" i="3" s="1"/>
  <c r="N333" i="3"/>
  <c r="N335" i="3" s="1"/>
  <c r="N337" i="3" s="1"/>
  <c r="P362" i="3"/>
  <c r="P357" i="3" s="1"/>
  <c r="R333" i="3"/>
  <c r="R335" i="3" s="1"/>
  <c r="R337" i="3" s="1"/>
  <c r="V362" i="3"/>
  <c r="V357" i="3" s="1"/>
  <c r="Q333" i="3"/>
  <c r="Q335" i="3" s="1"/>
  <c r="Q337" i="3" s="1"/>
  <c r="O323" i="3"/>
  <c r="R362" i="3"/>
  <c r="R357" i="3" s="1"/>
  <c r="S333" i="3"/>
  <c r="S335" i="3" s="1"/>
  <c r="S337" i="3" s="1"/>
  <c r="T323" i="3"/>
  <c r="G1277" i="1"/>
  <c r="V323" i="3"/>
  <c r="U323" i="3"/>
  <c r="T333" i="3"/>
  <c r="T335" i="3" s="1"/>
  <c r="T337" i="3" s="1"/>
  <c r="N362" i="3"/>
  <c r="N357" i="3" s="1"/>
  <c r="O362" i="3"/>
  <c r="O357" i="3" s="1"/>
  <c r="T1880" i="53" l="1"/>
  <c r="P1880" i="53"/>
  <c r="J816" i="1"/>
  <c r="I1728" i="1"/>
  <c r="S1880" i="53"/>
  <c r="K1285" i="53"/>
  <c r="K1277" i="53" s="1"/>
  <c r="L1728" i="1"/>
  <c r="L1723" i="1"/>
  <c r="L1722" i="1"/>
  <c r="J1455" i="1"/>
  <c r="I1723" i="1"/>
  <c r="K1728" i="1"/>
  <c r="K1723" i="1"/>
  <c r="K1722" i="1"/>
  <c r="I1455" i="1"/>
  <c r="J1728" i="1"/>
  <c r="J1723" i="1"/>
  <c r="J1722" i="1"/>
  <c r="L1455" i="1"/>
  <c r="I1722" i="1"/>
  <c r="K1455" i="1"/>
  <c r="J1285" i="53"/>
  <c r="J1277" i="53" s="1"/>
  <c r="I1389" i="53"/>
  <c r="J1391" i="53" s="1"/>
  <c r="J1432" i="53" s="1"/>
  <c r="L1237" i="1"/>
  <c r="K1237" i="1"/>
  <c r="J1237" i="1"/>
  <c r="I1237" i="1"/>
  <c r="S770" i="53"/>
  <c r="I1880" i="53"/>
  <c r="R770" i="53"/>
  <c r="M770" i="53"/>
  <c r="O1285" i="53"/>
  <c r="O1277" i="53" s="1"/>
  <c r="Q770" i="53"/>
  <c r="M1285" i="53"/>
  <c r="M1277" i="53" s="1"/>
  <c r="T770" i="53"/>
  <c r="P1415" i="53"/>
  <c r="P1264" i="53"/>
  <c r="P1229" i="53"/>
  <c r="P1307" i="53"/>
  <c r="Q946" i="53"/>
  <c r="S761" i="53"/>
  <c r="S789" i="53" s="1"/>
  <c r="S795" i="53" s="1"/>
  <c r="I770" i="53"/>
  <c r="O770" i="53"/>
  <c r="AE1473" i="1"/>
  <c r="AE1472" i="1"/>
  <c r="I1264" i="1"/>
  <c r="K1545" i="1"/>
  <c r="J1213" i="1"/>
  <c r="J1254" i="1"/>
  <c r="L1215" i="1"/>
  <c r="L1256" i="1"/>
  <c r="I1227" i="1"/>
  <c r="J1545" i="1"/>
  <c r="K1535" i="1"/>
  <c r="J1227" i="1"/>
  <c r="K1213" i="1"/>
  <c r="K1254" i="1"/>
  <c r="I1215" i="1"/>
  <c r="I1228" i="1"/>
  <c r="I1256" i="1"/>
  <c r="L1545" i="1"/>
  <c r="L1535" i="1"/>
  <c r="J1215" i="1"/>
  <c r="J1228" i="1"/>
  <c r="J1256" i="1"/>
  <c r="K1227" i="1"/>
  <c r="L1213" i="1"/>
  <c r="L1254" i="1"/>
  <c r="I1229" i="1"/>
  <c r="J1264" i="1"/>
  <c r="L1228" i="1"/>
  <c r="I1545" i="1"/>
  <c r="I1535" i="1"/>
  <c r="J1229" i="1"/>
  <c r="K1215" i="1"/>
  <c r="K1228" i="1"/>
  <c r="K1256" i="1"/>
  <c r="L1227" i="1"/>
  <c r="I1213" i="1"/>
  <c r="I1254" i="1"/>
  <c r="K821" i="1"/>
  <c r="K662" i="1"/>
  <c r="Q789" i="53"/>
  <c r="Q795" i="53" s="1"/>
  <c r="Q778" i="53"/>
  <c r="K636" i="1"/>
  <c r="K574" i="1"/>
  <c r="J134" i="1"/>
  <c r="I554" i="1"/>
  <c r="K560" i="1"/>
  <c r="L109" i="1"/>
  <c r="J100" i="1"/>
  <c r="L133" i="1"/>
  <c r="K640" i="1"/>
  <c r="K120" i="1"/>
  <c r="I569" i="1"/>
  <c r="I535" i="1"/>
  <c r="L621" i="1"/>
  <c r="L669" i="1"/>
  <c r="K575" i="1"/>
  <c r="I662" i="1"/>
  <c r="L568" i="1"/>
  <c r="J666" i="1"/>
  <c r="L839" i="1"/>
  <c r="L112" i="1"/>
  <c r="L529" i="1"/>
  <c r="J135" i="1"/>
  <c r="L545" i="1"/>
  <c r="I131" i="1"/>
  <c r="I548" i="1"/>
  <c r="J535" i="1"/>
  <c r="I539" i="1"/>
  <c r="L102" i="1"/>
  <c r="K657" i="1"/>
  <c r="K131" i="1"/>
  <c r="K620" i="1"/>
  <c r="J132" i="1"/>
  <c r="J109" i="1"/>
  <c r="L534" i="1"/>
  <c r="K100" i="1"/>
  <c r="I133" i="1"/>
  <c r="K641" i="1"/>
  <c r="L558" i="1"/>
  <c r="L640" i="1"/>
  <c r="J545" i="1"/>
  <c r="K629" i="1"/>
  <c r="K532" i="1"/>
  <c r="L614" i="1"/>
  <c r="L824" i="1"/>
  <c r="I862" i="1"/>
  <c r="K669" i="1"/>
  <c r="K132" i="1"/>
  <c r="I628" i="1"/>
  <c r="J133" i="1"/>
  <c r="J112" i="1"/>
  <c r="J540" i="1"/>
  <c r="K101" i="1"/>
  <c r="I134" i="1"/>
  <c r="I649" i="1"/>
  <c r="L559" i="1"/>
  <c r="L641" i="1"/>
  <c r="J546" i="1"/>
  <c r="I634" i="1"/>
  <c r="K533" i="1"/>
  <c r="L615" i="1"/>
  <c r="K877" i="1"/>
  <c r="J643" i="1"/>
  <c r="J667" i="1"/>
  <c r="I825" i="1"/>
  <c r="J851" i="1"/>
  <c r="K841" i="1"/>
  <c r="I850" i="1"/>
  <c r="J553" i="1"/>
  <c r="L662" i="1"/>
  <c r="K651" i="1"/>
  <c r="J640" i="1"/>
  <c r="K885" i="1"/>
  <c r="J576" i="1"/>
  <c r="K569" i="1"/>
  <c r="J559" i="1"/>
  <c r="K1448" i="1"/>
  <c r="J845" i="1"/>
  <c r="J830" i="1" s="1"/>
  <c r="K835" i="1"/>
  <c r="K850" i="1"/>
  <c r="U1459" i="1"/>
  <c r="J885" i="1"/>
  <c r="L761" i="53"/>
  <c r="L770" i="53"/>
  <c r="U770" i="53"/>
  <c r="U761" i="53"/>
  <c r="AD1459" i="1"/>
  <c r="K133" i="1"/>
  <c r="L620" i="1"/>
  <c r="L553" i="1"/>
  <c r="I109" i="1"/>
  <c r="U1880" i="53"/>
  <c r="U1285" i="53"/>
  <c r="U1277" i="53" s="1"/>
  <c r="Q1880" i="53"/>
  <c r="Q1285" i="53"/>
  <c r="Q1277" i="53" s="1"/>
  <c r="AC1459" i="1"/>
  <c r="J131" i="1"/>
  <c r="K102" i="1"/>
  <c r="K656" i="1"/>
  <c r="I637" i="1"/>
  <c r="I117" i="1"/>
  <c r="L1880" i="53"/>
  <c r="L1285" i="53"/>
  <c r="L1277" i="53" s="1"/>
  <c r="G1206" i="53"/>
  <c r="R1880" i="53"/>
  <c r="R1285" i="53"/>
  <c r="R1277" i="53" s="1"/>
  <c r="J761" i="53"/>
  <c r="J770" i="53"/>
  <c r="N1880" i="53"/>
  <c r="N1285" i="53"/>
  <c r="N1277" i="53" s="1"/>
  <c r="U1471" i="1"/>
  <c r="U1473" i="1"/>
  <c r="J1473" i="1"/>
  <c r="K1471" i="1"/>
  <c r="L1472" i="1"/>
  <c r="M1473" i="1"/>
  <c r="O1472" i="1"/>
  <c r="P1471" i="1"/>
  <c r="Q1472" i="1"/>
  <c r="S1471" i="1"/>
  <c r="T1471" i="1"/>
  <c r="V1471" i="1"/>
  <c r="I1472" i="1"/>
  <c r="M1472" i="1"/>
  <c r="Q1471" i="1"/>
  <c r="T1473" i="1"/>
  <c r="V1473" i="1"/>
  <c r="U1472" i="1"/>
  <c r="I1473" i="1"/>
  <c r="K1473" i="1"/>
  <c r="L1473" i="1"/>
  <c r="N1472" i="1"/>
  <c r="O1471" i="1"/>
  <c r="P1472" i="1"/>
  <c r="R1473" i="1"/>
  <c r="S1472" i="1"/>
  <c r="T1472" i="1"/>
  <c r="V1472" i="1"/>
  <c r="J1471" i="1"/>
  <c r="L1471" i="1"/>
  <c r="P1473" i="1"/>
  <c r="R1471" i="1"/>
  <c r="I1471" i="1"/>
  <c r="J1472" i="1"/>
  <c r="K1472" i="1"/>
  <c r="M1471" i="1"/>
  <c r="N1471" i="1"/>
  <c r="O1473" i="1"/>
  <c r="Q1473" i="1"/>
  <c r="R1472" i="1"/>
  <c r="S1473" i="1"/>
  <c r="N1473" i="1"/>
  <c r="W1471" i="1"/>
  <c r="W1472" i="1"/>
  <c r="W1473" i="1"/>
  <c r="X1472" i="1"/>
  <c r="X1473" i="1"/>
  <c r="X1471" i="1"/>
  <c r="Y1472" i="1"/>
  <c r="Y1473" i="1"/>
  <c r="Y1471" i="1"/>
  <c r="Z1471" i="1"/>
  <c r="Z1472" i="1"/>
  <c r="Z1473" i="1"/>
  <c r="AA1471" i="1"/>
  <c r="AA1473" i="1"/>
  <c r="AA1472" i="1"/>
  <c r="AB1473" i="1"/>
  <c r="AB1472" i="1"/>
  <c r="AB1471" i="1"/>
  <c r="AC1471" i="1"/>
  <c r="AC1472" i="1"/>
  <c r="AC1473" i="1"/>
  <c r="AD1473" i="1"/>
  <c r="AD1472" i="1"/>
  <c r="AD1471" i="1"/>
  <c r="J951" i="1"/>
  <c r="I116" i="1"/>
  <c r="K638" i="1"/>
  <c r="K658" i="1"/>
  <c r="J120" i="1"/>
  <c r="J748" i="1" s="1"/>
  <c r="J751" i="1" s="1"/>
  <c r="K119" i="1"/>
  <c r="I534" i="1"/>
  <c r="L668" i="1"/>
  <c r="I661" i="1"/>
  <c r="J662" i="1"/>
  <c r="L100" i="1"/>
  <c r="K642" i="1"/>
  <c r="K130" i="1"/>
  <c r="I613" i="1"/>
  <c r="J130" i="1"/>
  <c r="J108" i="1"/>
  <c r="L530" i="1"/>
  <c r="K667" i="1"/>
  <c r="I132" i="1"/>
  <c r="K637" i="1"/>
  <c r="J552" i="1"/>
  <c r="L637" i="1"/>
  <c r="L539" i="1"/>
  <c r="K626" i="1"/>
  <c r="K529" i="1"/>
  <c r="L576" i="1"/>
  <c r="L818" i="1"/>
  <c r="I843" i="1"/>
  <c r="I553" i="1"/>
  <c r="I575" i="1"/>
  <c r="K665" i="1"/>
  <c r="I576" i="1"/>
  <c r="J541" i="1"/>
  <c r="J573" i="1"/>
  <c r="I563" i="1"/>
  <c r="J564" i="1"/>
  <c r="J844" i="1"/>
  <c r="L119" i="1"/>
  <c r="L737" i="1" s="1"/>
  <c r="L740" i="1" s="1"/>
  <c r="I102" i="1"/>
  <c r="K135" i="1"/>
  <c r="K643" i="1"/>
  <c r="K559" i="1"/>
  <c r="J117" i="1"/>
  <c r="I568" i="1"/>
  <c r="K108" i="1"/>
  <c r="L531" i="1"/>
  <c r="K664" i="1"/>
  <c r="J569" i="1"/>
  <c r="L656" i="1"/>
  <c r="I559" i="1"/>
  <c r="I641" i="1"/>
  <c r="K546" i="1"/>
  <c r="J634" i="1"/>
  <c r="K824" i="1"/>
  <c r="L759" i="1"/>
  <c r="L761" i="1" s="1"/>
  <c r="I103" i="1"/>
  <c r="K136" i="1"/>
  <c r="I651" i="1"/>
  <c r="I570" i="1"/>
  <c r="J119" i="1"/>
  <c r="J737" i="1" s="1"/>
  <c r="J740" i="1" s="1"/>
  <c r="I572" i="1"/>
  <c r="K109" i="1"/>
  <c r="L535" i="1"/>
  <c r="K668" i="1"/>
  <c r="J570" i="1"/>
  <c r="L657" i="1"/>
  <c r="I560" i="1"/>
  <c r="I642" i="1"/>
  <c r="K547" i="1"/>
  <c r="J635" i="1"/>
  <c r="L882" i="1"/>
  <c r="L651" i="1"/>
  <c r="K759" i="1"/>
  <c r="I819" i="1"/>
  <c r="J871" i="1"/>
  <c r="L843" i="1"/>
  <c r="I869" i="1"/>
  <c r="L564" i="1"/>
  <c r="L540" i="1"/>
  <c r="K530" i="1"/>
  <c r="J664" i="1"/>
  <c r="I948" i="1"/>
  <c r="L639" i="1"/>
  <c r="K628" i="1"/>
  <c r="L613" i="1"/>
  <c r="J840" i="1"/>
  <c r="L816" i="1"/>
  <c r="J864" i="1"/>
  <c r="L840" i="1"/>
  <c r="I844" i="1"/>
  <c r="O1389" i="53"/>
  <c r="O1427" i="53" s="1"/>
  <c r="I1448" i="1"/>
  <c r="I877" i="1"/>
  <c r="I853" i="1"/>
  <c r="I834" i="1"/>
  <c r="L889" i="1"/>
  <c r="L849" i="1"/>
  <c r="K856" i="1"/>
  <c r="K884" i="1"/>
  <c r="K855" i="1"/>
  <c r="J878" i="1"/>
  <c r="J854" i="1"/>
  <c r="J835" i="1"/>
  <c r="I817" i="1"/>
  <c r="Y1459" i="1"/>
  <c r="X1459" i="1"/>
  <c r="I884" i="1"/>
  <c r="I860" i="1"/>
  <c r="I841" i="1"/>
  <c r="K843" i="1"/>
  <c r="L880" i="1"/>
  <c r="L856" i="1"/>
  <c r="L837" i="1"/>
  <c r="L947" i="1"/>
  <c r="K871" i="1"/>
  <c r="S1459" i="1"/>
  <c r="I889" i="1"/>
  <c r="I849" i="1"/>
  <c r="K854" i="1"/>
  <c r="L885" i="1"/>
  <c r="L861" i="1"/>
  <c r="L842" i="1"/>
  <c r="K839" i="1"/>
  <c r="K880" i="1"/>
  <c r="K947" i="1"/>
  <c r="J869" i="1"/>
  <c r="J850" i="1"/>
  <c r="J1448" i="1"/>
  <c r="I880" i="1"/>
  <c r="I856" i="1"/>
  <c r="I837" i="1"/>
  <c r="K834" i="1"/>
  <c r="L852" i="1"/>
  <c r="L833" i="1"/>
  <c r="K887" i="1"/>
  <c r="K861" i="1"/>
  <c r="J881" i="1"/>
  <c r="J857" i="1"/>
  <c r="J838" i="1"/>
  <c r="L1448" i="1"/>
  <c r="I883" i="1"/>
  <c r="I859" i="1"/>
  <c r="I840" i="1"/>
  <c r="K840" i="1"/>
  <c r="L879" i="1"/>
  <c r="L855" i="1"/>
  <c r="L836" i="1"/>
  <c r="I947" i="1"/>
  <c r="K869" i="1"/>
  <c r="J884" i="1"/>
  <c r="J860" i="1"/>
  <c r="J841" i="1"/>
  <c r="K820" i="1"/>
  <c r="J819" i="1"/>
  <c r="L827" i="1"/>
  <c r="I882" i="1"/>
  <c r="L878" i="1"/>
  <c r="K863" i="1"/>
  <c r="K819" i="1"/>
  <c r="L820" i="1"/>
  <c r="J661" i="1"/>
  <c r="J637" i="1"/>
  <c r="L574" i="1"/>
  <c r="L552" i="1"/>
  <c r="I668" i="1"/>
  <c r="K648" i="1"/>
  <c r="I620" i="1"/>
  <c r="I562" i="1"/>
  <c r="J534" i="1"/>
  <c r="L659" i="1"/>
  <c r="L635" i="1"/>
  <c r="J572" i="1"/>
  <c r="I547" i="1"/>
  <c r="I878" i="1"/>
  <c r="L869" i="1"/>
  <c r="K857" i="1"/>
  <c r="K817" i="1"/>
  <c r="J660" i="1"/>
  <c r="J636" i="1"/>
  <c r="L573" i="1"/>
  <c r="K548" i="1"/>
  <c r="I667" i="1"/>
  <c r="I643" i="1"/>
  <c r="K615" i="1"/>
  <c r="I561" i="1"/>
  <c r="J533" i="1"/>
  <c r="L658" i="1"/>
  <c r="L634" i="1"/>
  <c r="J571" i="1"/>
  <c r="I546" i="1"/>
  <c r="J947" i="1"/>
  <c r="L886" i="1"/>
  <c r="W1459" i="1"/>
  <c r="I885" i="1"/>
  <c r="I861" i="1"/>
  <c r="I842" i="1"/>
  <c r="K844" i="1"/>
  <c r="L881" i="1"/>
  <c r="L857" i="1"/>
  <c r="L838" i="1"/>
  <c r="I951" i="1"/>
  <c r="J886" i="1"/>
  <c r="J862" i="1"/>
  <c r="J843" i="1"/>
  <c r="I818" i="1"/>
  <c r="P1459" i="1"/>
  <c r="K1446" i="1"/>
  <c r="I852" i="1"/>
  <c r="I833" i="1"/>
  <c r="L888" i="1"/>
  <c r="L864" i="1"/>
  <c r="L845" i="1"/>
  <c r="L830" i="1" s="1"/>
  <c r="K853" i="1"/>
  <c r="K883" i="1"/>
  <c r="K852" i="1"/>
  <c r="J877" i="1"/>
  <c r="J853" i="1"/>
  <c r="J834" i="1"/>
  <c r="L1446" i="1"/>
  <c r="I879" i="1"/>
  <c r="I855" i="1"/>
  <c r="I836" i="1"/>
  <c r="J948" i="1"/>
  <c r="L871" i="1"/>
  <c r="L851" i="1"/>
  <c r="K886" i="1"/>
  <c r="K860" i="1"/>
  <c r="J880" i="1"/>
  <c r="J856" i="1"/>
  <c r="J837" i="1"/>
  <c r="K816" i="1"/>
  <c r="J826" i="1"/>
  <c r="L825" i="1"/>
  <c r="I858" i="1"/>
  <c r="L854" i="1"/>
  <c r="J883" i="1"/>
  <c r="J818" i="1"/>
  <c r="L817" i="1"/>
  <c r="J657" i="1"/>
  <c r="L629" i="1"/>
  <c r="L570" i="1"/>
  <c r="K545" i="1"/>
  <c r="I664" i="1"/>
  <c r="I640" i="1"/>
  <c r="I579" i="1"/>
  <c r="I558" i="1"/>
  <c r="J530" i="1"/>
  <c r="J651" i="1"/>
  <c r="J627" i="1"/>
  <c r="J568" i="1"/>
  <c r="K540" i="1"/>
  <c r="I854" i="1"/>
  <c r="L850" i="1"/>
  <c r="J879" i="1"/>
  <c r="I820" i="1"/>
  <c r="L819" i="1"/>
  <c r="J656" i="1"/>
  <c r="L628" i="1"/>
  <c r="L569" i="1"/>
  <c r="I541" i="1"/>
  <c r="I663" i="1"/>
  <c r="I639" i="1"/>
  <c r="K576" i="1"/>
  <c r="K554" i="1"/>
  <c r="J529" i="1"/>
  <c r="J650" i="1"/>
  <c r="J626" i="1"/>
  <c r="I1446" i="1"/>
  <c r="I881" i="1"/>
  <c r="I857" i="1"/>
  <c r="I838" i="1"/>
  <c r="K836" i="1"/>
  <c r="L877" i="1"/>
  <c r="L853" i="1"/>
  <c r="L834" i="1"/>
  <c r="K888" i="1"/>
  <c r="K862" i="1"/>
  <c r="J882" i="1"/>
  <c r="J858" i="1"/>
  <c r="J839" i="1"/>
  <c r="K818" i="1"/>
  <c r="I816" i="1"/>
  <c r="T1459" i="1"/>
  <c r="I888" i="1"/>
  <c r="I864" i="1"/>
  <c r="I845" i="1"/>
  <c r="K851" i="1"/>
  <c r="L884" i="1"/>
  <c r="L860" i="1"/>
  <c r="L841" i="1"/>
  <c r="K837" i="1"/>
  <c r="K879" i="1"/>
  <c r="J889" i="1"/>
  <c r="J849" i="1"/>
  <c r="K826" i="1"/>
  <c r="R1459" i="1"/>
  <c r="K948" i="1"/>
  <c r="I871" i="1"/>
  <c r="I851" i="1"/>
  <c r="K864" i="1"/>
  <c r="L887" i="1"/>
  <c r="L863" i="1"/>
  <c r="L844" i="1"/>
  <c r="K842" i="1"/>
  <c r="K882" i="1"/>
  <c r="K849" i="1"/>
  <c r="J852" i="1"/>
  <c r="J833" i="1"/>
  <c r="I826" i="1"/>
  <c r="J820" i="1"/>
  <c r="I839" i="1"/>
  <c r="L835" i="1"/>
  <c r="J859" i="1"/>
  <c r="J669" i="1"/>
  <c r="L649" i="1"/>
  <c r="J621" i="1"/>
  <c r="J563" i="1"/>
  <c r="K535" i="1"/>
  <c r="I660" i="1"/>
  <c r="I636" i="1"/>
  <c r="K573" i="1"/>
  <c r="J548" i="1"/>
  <c r="L667" i="1"/>
  <c r="L643" i="1"/>
  <c r="J615" i="1"/>
  <c r="L561" i="1"/>
  <c r="I835" i="1"/>
  <c r="K859" i="1"/>
  <c r="J855" i="1"/>
  <c r="J817" i="1"/>
  <c r="J668" i="1"/>
  <c r="L648" i="1"/>
  <c r="J620" i="1"/>
  <c r="J562" i="1"/>
  <c r="K534" i="1"/>
  <c r="I659" i="1"/>
  <c r="I635" i="1"/>
  <c r="K572" i="1"/>
  <c r="J547" i="1"/>
  <c r="L666" i="1"/>
  <c r="L642" i="1"/>
  <c r="J614" i="1"/>
  <c r="L560" i="1"/>
  <c r="I532" i="1"/>
  <c r="AA1459" i="1"/>
  <c r="K579" i="1"/>
  <c r="K562" i="1"/>
  <c r="V1459" i="1"/>
  <c r="L533" i="1"/>
  <c r="K770" i="53"/>
  <c r="K761" i="53"/>
  <c r="G760" i="53"/>
  <c r="V1880" i="53"/>
  <c r="V1285" i="53"/>
  <c r="V1277" i="53" s="1"/>
  <c r="Z1459" i="1"/>
  <c r="J103" i="1"/>
  <c r="J648" i="1"/>
  <c r="L626" i="1"/>
  <c r="K563" i="1"/>
  <c r="G765" i="53"/>
  <c r="P770" i="53"/>
  <c r="P761" i="53"/>
  <c r="N789" i="53"/>
  <c r="N795" i="53" s="1"/>
  <c r="N778" i="53"/>
  <c r="AE1459" i="1"/>
  <c r="AB1459" i="1"/>
  <c r="L121" i="1"/>
  <c r="I108" i="1"/>
  <c r="L120" i="1"/>
  <c r="L748" i="1" s="1"/>
  <c r="L751" i="1" s="1"/>
  <c r="L136" i="1"/>
  <c r="I135" i="1"/>
  <c r="L562" i="1"/>
  <c r="K552" i="1"/>
  <c r="I669" i="1"/>
  <c r="K833" i="1"/>
  <c r="L116" i="1"/>
  <c r="I101" i="1"/>
  <c r="K134" i="1"/>
  <c r="K639" i="1"/>
  <c r="L547" i="1"/>
  <c r="J116" i="1"/>
  <c r="K561" i="1"/>
  <c r="K103" i="1"/>
  <c r="I136" i="1"/>
  <c r="K660" i="1"/>
  <c r="L563" i="1"/>
  <c r="J649" i="1"/>
  <c r="K553" i="1"/>
  <c r="I638" i="1"/>
  <c r="I540" i="1"/>
  <c r="L627" i="1"/>
  <c r="I821" i="1"/>
  <c r="L108" i="1"/>
  <c r="I100" i="1"/>
  <c r="K635" i="1"/>
  <c r="J113" i="1"/>
  <c r="K663" i="1"/>
  <c r="I626" i="1"/>
  <c r="L636" i="1"/>
  <c r="I621" i="1"/>
  <c r="L575" i="1"/>
  <c r="K845" i="1"/>
  <c r="K830" i="1" s="1"/>
  <c r="J136" i="1"/>
  <c r="I112" i="1"/>
  <c r="J539" i="1"/>
  <c r="K666" i="1"/>
  <c r="I650" i="1"/>
  <c r="L130" i="1"/>
  <c r="K621" i="1"/>
  <c r="K116" i="1"/>
  <c r="I552" i="1"/>
  <c r="I531" i="1"/>
  <c r="L579" i="1"/>
  <c r="L664" i="1"/>
  <c r="K570" i="1"/>
  <c r="I657" i="1"/>
  <c r="J560" i="1"/>
  <c r="L650" i="1"/>
  <c r="J887" i="1"/>
  <c r="L532" i="1"/>
  <c r="I113" i="1"/>
  <c r="L548" i="1"/>
  <c r="L101" i="1"/>
  <c r="K661" i="1"/>
  <c r="K1871" i="1" s="1"/>
  <c r="L131" i="1"/>
  <c r="I629" i="1"/>
  <c r="K117" i="1"/>
  <c r="K558" i="1"/>
  <c r="I533" i="1"/>
  <c r="J613" i="1"/>
  <c r="L665" i="1"/>
  <c r="K571" i="1"/>
  <c r="I658" i="1"/>
  <c r="J561" i="1"/>
  <c r="J658" i="1"/>
  <c r="I886" i="1"/>
  <c r="J659" i="1"/>
  <c r="L826" i="1"/>
  <c r="L948" i="1"/>
  <c r="L862" i="1"/>
  <c r="Q1459" i="1"/>
  <c r="J575" i="1"/>
  <c r="K568" i="1"/>
  <c r="J558" i="1"/>
  <c r="J825" i="1"/>
  <c r="J1446" i="1"/>
  <c r="L663" i="1"/>
  <c r="I656" i="1"/>
  <c r="J641" i="1"/>
  <c r="K889" i="1"/>
  <c r="J821" i="1"/>
  <c r="J888" i="1"/>
  <c r="L859" i="1"/>
  <c r="I863" i="1"/>
  <c r="J842" i="1"/>
  <c r="K634" i="1"/>
  <c r="J121" i="1"/>
  <c r="I614" i="1"/>
  <c r="K113" i="1"/>
  <c r="L546" i="1"/>
  <c r="I530" i="1"/>
  <c r="J574" i="1"/>
  <c r="L661" i="1"/>
  <c r="I564" i="1"/>
  <c r="K650" i="1"/>
  <c r="L554" i="1"/>
  <c r="J642" i="1"/>
  <c r="J863" i="1"/>
  <c r="I121" i="1"/>
  <c r="L103" i="1"/>
  <c r="L132" i="1"/>
  <c r="K112" i="1"/>
  <c r="I529" i="1"/>
  <c r="L660" i="1"/>
  <c r="K649" i="1"/>
  <c r="J638" i="1"/>
  <c r="J759" i="1"/>
  <c r="J761" i="1" s="1"/>
  <c r="I574" i="1"/>
  <c r="I119" i="1"/>
  <c r="I737" i="1" s="1"/>
  <c r="I740" i="1" s="1"/>
  <c r="K564" i="1"/>
  <c r="L113" i="1"/>
  <c r="J101" i="1"/>
  <c r="L134" i="1"/>
  <c r="I648" i="1"/>
  <c r="K121" i="1"/>
  <c r="I573" i="1"/>
  <c r="K541" i="1"/>
  <c r="J628" i="1"/>
  <c r="J531" i="1"/>
  <c r="K613" i="1"/>
  <c r="I665" i="1"/>
  <c r="L571" i="1"/>
  <c r="I759" i="1"/>
  <c r="I761" i="1" s="1"/>
  <c r="L858" i="1"/>
  <c r="I627" i="1"/>
  <c r="I120" i="1"/>
  <c r="I748" i="1" s="1"/>
  <c r="I571" i="1"/>
  <c r="L117" i="1"/>
  <c r="J102" i="1"/>
  <c r="L135" i="1"/>
  <c r="K659" i="1"/>
  <c r="I130" i="1"/>
  <c r="I615" i="1"/>
  <c r="I545" i="1"/>
  <c r="J629" i="1"/>
  <c r="J532" i="1"/>
  <c r="K614" i="1"/>
  <c r="I666" i="1"/>
  <c r="L572" i="1"/>
  <c r="J639" i="1"/>
  <c r="J663" i="1"/>
  <c r="L821" i="1"/>
  <c r="K881" i="1"/>
  <c r="K858" i="1"/>
  <c r="K539" i="1"/>
  <c r="L638" i="1"/>
  <c r="K627" i="1"/>
  <c r="J579" i="1"/>
  <c r="J836" i="1"/>
  <c r="J554" i="1"/>
  <c r="L541" i="1"/>
  <c r="K531" i="1"/>
  <c r="J665" i="1"/>
  <c r="K838" i="1"/>
  <c r="K825" i="1"/>
  <c r="K878" i="1"/>
  <c r="L883" i="1"/>
  <c r="I887" i="1"/>
  <c r="J861" i="1"/>
  <c r="I1277" i="53"/>
  <c r="O789" i="53"/>
  <c r="O795" i="53" s="1"/>
  <c r="O778" i="53"/>
  <c r="R789" i="53"/>
  <c r="R795" i="53" s="1"/>
  <c r="R778" i="53"/>
  <c r="T789" i="53"/>
  <c r="T795" i="53" s="1"/>
  <c r="T778" i="53"/>
  <c r="V778" i="53"/>
  <c r="V789" i="53"/>
  <c r="V795" i="53" s="1"/>
  <c r="I789" i="53"/>
  <c r="I795" i="53" s="1"/>
  <c r="I778" i="53"/>
  <c r="M778" i="53"/>
  <c r="M789" i="53"/>
  <c r="M795" i="53" s="1"/>
  <c r="D31" i="46"/>
  <c r="E30" i="46"/>
  <c r="S344" i="3"/>
  <c r="S346" i="3" s="1"/>
  <c r="U344" i="3"/>
  <c r="U325" i="3"/>
  <c r="V344" i="3"/>
  <c r="V325" i="3"/>
  <c r="N325" i="3"/>
  <c r="N344" i="3"/>
  <c r="O344" i="3"/>
  <c r="O325" i="3"/>
  <c r="AE1636" i="1"/>
  <c r="R325" i="3"/>
  <c r="R344" i="3"/>
  <c r="T325" i="3"/>
  <c r="T344" i="3"/>
  <c r="P344" i="3"/>
  <c r="Q325" i="3"/>
  <c r="Q344" i="3"/>
  <c r="D33" i="4" l="1"/>
  <c r="D33" i="49" s="1"/>
  <c r="I1408" i="1"/>
  <c r="E33" i="4"/>
  <c r="E33" i="49" s="1"/>
  <c r="J1408" i="1"/>
  <c r="F33" i="4"/>
  <c r="F33" i="49" s="1"/>
  <c r="K1408" i="1"/>
  <c r="G33" i="4"/>
  <c r="G33" i="49" s="1"/>
  <c r="L1408" i="1"/>
  <c r="G1728" i="1"/>
  <c r="K1724" i="1"/>
  <c r="L1724" i="1"/>
  <c r="J1724" i="1"/>
  <c r="M1391" i="53"/>
  <c r="M1432" i="53" s="1"/>
  <c r="I1391" i="53"/>
  <c r="I1432" i="53" s="1"/>
  <c r="I1427" i="53"/>
  <c r="N1391" i="53"/>
  <c r="N1432" i="53" s="1"/>
  <c r="L1391" i="53"/>
  <c r="L1432" i="53" s="1"/>
  <c r="K1391" i="53"/>
  <c r="K1432" i="53" s="1"/>
  <c r="I1724" i="1"/>
  <c r="G1237" i="1"/>
  <c r="S778" i="53"/>
  <c r="Q949" i="53"/>
  <c r="Q951" i="53" s="1"/>
  <c r="G863" i="1"/>
  <c r="L753" i="1"/>
  <c r="L754" i="1" s="1"/>
  <c r="G1472" i="1"/>
  <c r="G116" i="1"/>
  <c r="G1285" i="53"/>
  <c r="G112" i="1"/>
  <c r="C160" i="3"/>
  <c r="C87" i="3"/>
  <c r="C124" i="3" s="1"/>
  <c r="G117" i="1"/>
  <c r="I555" i="1"/>
  <c r="G103" i="1"/>
  <c r="G133" i="1"/>
  <c r="O1391" i="53"/>
  <c r="O1432" i="53" s="1"/>
  <c r="J753" i="1"/>
  <c r="J754" i="1" s="1"/>
  <c r="J616" i="1"/>
  <c r="J689" i="1" s="1"/>
  <c r="G885" i="1"/>
  <c r="N1636" i="1"/>
  <c r="U1636" i="1"/>
  <c r="P1391" i="53"/>
  <c r="P1432" i="53" s="1"/>
  <c r="G530" i="1"/>
  <c r="J565" i="1"/>
  <c r="K555" i="1"/>
  <c r="G640" i="1"/>
  <c r="M1636" i="1"/>
  <c r="G102" i="1"/>
  <c r="Q1391" i="53"/>
  <c r="Q1432" i="53" s="1"/>
  <c r="G824" i="1"/>
  <c r="G113" i="1"/>
  <c r="G1880" i="53"/>
  <c r="J622" i="1"/>
  <c r="J690" i="1" s="1"/>
  <c r="G839" i="1"/>
  <c r="G857" i="1"/>
  <c r="G820" i="1"/>
  <c r="G879" i="1"/>
  <c r="G842" i="1"/>
  <c r="G547" i="1"/>
  <c r="G668" i="1"/>
  <c r="G883" i="1"/>
  <c r="G837" i="1"/>
  <c r="G849" i="1"/>
  <c r="G884" i="1"/>
  <c r="L616" i="1"/>
  <c r="L689" i="1" s="1"/>
  <c r="G136" i="1"/>
  <c r="G108" i="1"/>
  <c r="J555" i="1"/>
  <c r="AA1636" i="1"/>
  <c r="Y1636" i="1"/>
  <c r="W1636" i="1"/>
  <c r="O1636" i="1"/>
  <c r="G1473" i="1"/>
  <c r="L622" i="1"/>
  <c r="L690" i="1" s="1"/>
  <c r="G666" i="1"/>
  <c r="I751" i="1"/>
  <c r="G650" i="1"/>
  <c r="I830" i="1"/>
  <c r="G830" i="1" s="1"/>
  <c r="G845" i="1"/>
  <c r="J630" i="1"/>
  <c r="J691" i="1" s="1"/>
  <c r="J1869" i="1"/>
  <c r="G833" i="1"/>
  <c r="G869" i="1"/>
  <c r="J644" i="1"/>
  <c r="J692" i="1" s="1"/>
  <c r="J1018" i="1"/>
  <c r="E56" i="4"/>
  <c r="E56" i="49" s="1"/>
  <c r="E25" i="4"/>
  <c r="E25" i="49" s="1"/>
  <c r="J1031" i="1"/>
  <c r="J1182" i="1"/>
  <c r="J1415" i="1"/>
  <c r="Q1636" i="1"/>
  <c r="T1636" i="1"/>
  <c r="G862" i="1"/>
  <c r="K1869" i="1"/>
  <c r="K748" i="1"/>
  <c r="K751" i="1" s="1"/>
  <c r="G120" i="1"/>
  <c r="G615" i="1"/>
  <c r="G627" i="1"/>
  <c r="G665" i="1"/>
  <c r="K644" i="1"/>
  <c r="K692" i="1" s="1"/>
  <c r="G629" i="1"/>
  <c r="G626" i="1"/>
  <c r="I630" i="1"/>
  <c r="I104" i="1"/>
  <c r="I672" i="1" s="1"/>
  <c r="G540" i="1"/>
  <c r="G134" i="1"/>
  <c r="G669" i="1"/>
  <c r="P789" i="53"/>
  <c r="P795" i="53" s="1"/>
  <c r="P778" i="53"/>
  <c r="G532" i="1"/>
  <c r="G659" i="1"/>
  <c r="L652" i="1"/>
  <c r="L693" i="1" s="1"/>
  <c r="G864" i="1"/>
  <c r="G881" i="1"/>
  <c r="G639" i="1"/>
  <c r="J577" i="1"/>
  <c r="J802" i="1" s="1"/>
  <c r="I565" i="1"/>
  <c r="K549" i="1"/>
  <c r="G858" i="1"/>
  <c r="E24" i="4"/>
  <c r="E24" i="49" s="1"/>
  <c r="J1414" i="1"/>
  <c r="G852" i="1"/>
  <c r="G818" i="1"/>
  <c r="G861" i="1"/>
  <c r="E23" i="4"/>
  <c r="E23" i="49" s="1"/>
  <c r="J1413" i="1"/>
  <c r="G643" i="1"/>
  <c r="L555" i="1"/>
  <c r="G882" i="1"/>
  <c r="I949" i="1"/>
  <c r="I1413" i="1"/>
  <c r="G856" i="1"/>
  <c r="K1413" i="1"/>
  <c r="F23" i="4"/>
  <c r="F23" i="49" s="1"/>
  <c r="G23" i="4"/>
  <c r="G23" i="49" s="1"/>
  <c r="L1413" i="1"/>
  <c r="G834" i="1"/>
  <c r="G642" i="1"/>
  <c r="I577" i="1"/>
  <c r="I802" i="1" s="1"/>
  <c r="G135" i="1"/>
  <c r="G843" i="1"/>
  <c r="K630" i="1"/>
  <c r="K691" i="1" s="1"/>
  <c r="AD1636" i="1"/>
  <c r="L1636" i="1"/>
  <c r="S1636" i="1"/>
  <c r="G637" i="1"/>
  <c r="G825" i="1"/>
  <c r="G101" i="1"/>
  <c r="G628" i="1"/>
  <c r="J549" i="1"/>
  <c r="G548" i="1"/>
  <c r="L536" i="1"/>
  <c r="L577" i="1"/>
  <c r="L802" i="1" s="1"/>
  <c r="G664" i="1"/>
  <c r="K761" i="1"/>
  <c r="G759" i="1"/>
  <c r="L1872" i="1"/>
  <c r="L688" i="1"/>
  <c r="L670" i="1"/>
  <c r="K536" i="1"/>
  <c r="K137" i="1"/>
  <c r="G130" i="1"/>
  <c r="G887" i="1"/>
  <c r="G827" i="1"/>
  <c r="K616" i="1"/>
  <c r="K689" i="1" s="1"/>
  <c r="L1870" i="1"/>
  <c r="L1871" i="1"/>
  <c r="G658" i="1"/>
  <c r="J542" i="1"/>
  <c r="G638" i="1"/>
  <c r="G851" i="1"/>
  <c r="G888" i="1"/>
  <c r="J536" i="1"/>
  <c r="G663" i="1"/>
  <c r="J688" i="1"/>
  <c r="J1872" i="1"/>
  <c r="J670" i="1"/>
  <c r="G836" i="1"/>
  <c r="G546" i="1"/>
  <c r="G667" i="1"/>
  <c r="J1870" i="1"/>
  <c r="G620" i="1"/>
  <c r="I622" i="1"/>
  <c r="G840" i="1"/>
  <c r="G880" i="1"/>
  <c r="G889" i="1"/>
  <c r="G841" i="1"/>
  <c r="G853" i="1"/>
  <c r="L789" i="1"/>
  <c r="L778" i="1"/>
  <c r="G641" i="1"/>
  <c r="L542" i="1"/>
  <c r="J137" i="1"/>
  <c r="L104" i="1"/>
  <c r="L672" i="1" s="1"/>
  <c r="G534" i="1"/>
  <c r="AC1636" i="1"/>
  <c r="J1636" i="1"/>
  <c r="J789" i="53"/>
  <c r="J795" i="53" s="1"/>
  <c r="J778" i="53"/>
  <c r="K670" i="1"/>
  <c r="K688" i="1"/>
  <c r="K1872" i="1"/>
  <c r="L778" i="53"/>
  <c r="L789" i="53"/>
  <c r="L795" i="53" s="1"/>
  <c r="G850" i="1"/>
  <c r="G132" i="1"/>
  <c r="G100" i="1"/>
  <c r="K104" i="1"/>
  <c r="K914" i="1" s="1"/>
  <c r="K622" i="1"/>
  <c r="K690" i="1" s="1"/>
  <c r="G662" i="1"/>
  <c r="G535" i="1"/>
  <c r="V1391" i="53"/>
  <c r="V1432" i="53" s="1"/>
  <c r="G545" i="1"/>
  <c r="I549" i="1"/>
  <c r="G648" i="1"/>
  <c r="I652" i="1"/>
  <c r="J652" i="1"/>
  <c r="J693" i="1" s="1"/>
  <c r="G635" i="1"/>
  <c r="F24" i="4"/>
  <c r="F24" i="49" s="1"/>
  <c r="K1414" i="1"/>
  <c r="G816" i="1"/>
  <c r="L644" i="1"/>
  <c r="L692" i="1" s="1"/>
  <c r="J1871" i="1"/>
  <c r="G661" i="1"/>
  <c r="I1871" i="1"/>
  <c r="G1471" i="1"/>
  <c r="I137" i="1"/>
  <c r="I1872" i="1"/>
  <c r="G656" i="1"/>
  <c r="I670" i="1"/>
  <c r="I688" i="1"/>
  <c r="G533" i="1"/>
  <c r="K1870" i="1"/>
  <c r="K778" i="53"/>
  <c r="K789" i="53"/>
  <c r="G761" i="53"/>
  <c r="G835" i="1"/>
  <c r="G636" i="1"/>
  <c r="G1277" i="53"/>
  <c r="K542" i="1"/>
  <c r="I789" i="1"/>
  <c r="I778" i="1"/>
  <c r="G121" i="1"/>
  <c r="J789" i="1"/>
  <c r="J778" i="1"/>
  <c r="G529" i="1"/>
  <c r="I536" i="1"/>
  <c r="G614" i="1"/>
  <c r="K577" i="1"/>
  <c r="K802" i="1" s="1"/>
  <c r="G24" i="4"/>
  <c r="G24" i="49" s="1"/>
  <c r="L1414" i="1"/>
  <c r="G886" i="1"/>
  <c r="K565" i="1"/>
  <c r="I1869" i="1"/>
  <c r="G657" i="1"/>
  <c r="G531" i="1"/>
  <c r="L137" i="1"/>
  <c r="G621" i="1"/>
  <c r="G821" i="1"/>
  <c r="L630" i="1"/>
  <c r="L691" i="1" s="1"/>
  <c r="G770" i="53"/>
  <c r="L683" i="1"/>
  <c r="G660" i="1"/>
  <c r="I1870" i="1"/>
  <c r="G826" i="1"/>
  <c r="G871" i="1"/>
  <c r="G838" i="1"/>
  <c r="G541" i="1"/>
  <c r="G854" i="1"/>
  <c r="G855" i="1"/>
  <c r="I1031" i="1"/>
  <c r="D25" i="4"/>
  <c r="D25" i="49" s="1"/>
  <c r="I1182" i="1"/>
  <c r="D56" i="4"/>
  <c r="D56" i="49" s="1"/>
  <c r="I1018" i="1"/>
  <c r="I1415" i="1"/>
  <c r="G878" i="1"/>
  <c r="K652" i="1"/>
  <c r="K693" i="1" s="1"/>
  <c r="G859" i="1"/>
  <c r="G860" i="1"/>
  <c r="G817" i="1"/>
  <c r="G877" i="1"/>
  <c r="G844" i="1"/>
  <c r="I1414" i="1"/>
  <c r="G819" i="1"/>
  <c r="L1869" i="1"/>
  <c r="G109" i="1"/>
  <c r="G651" i="1"/>
  <c r="G613" i="1"/>
  <c r="I616" i="1"/>
  <c r="G119" i="1"/>
  <c r="K737" i="1"/>
  <c r="Z1636" i="1"/>
  <c r="X1636" i="1"/>
  <c r="R1636" i="1"/>
  <c r="V1636" i="1"/>
  <c r="P1636" i="1"/>
  <c r="K1636" i="1"/>
  <c r="U778" i="53"/>
  <c r="U789" i="53"/>
  <c r="U795" i="53" s="1"/>
  <c r="G634" i="1"/>
  <c r="I644" i="1"/>
  <c r="G649" i="1"/>
  <c r="L565" i="1"/>
  <c r="G131" i="1"/>
  <c r="G539" i="1"/>
  <c r="I542" i="1"/>
  <c r="L549" i="1"/>
  <c r="J104" i="1"/>
  <c r="U1391" i="53"/>
  <c r="U1432" i="53" s="1"/>
  <c r="T1391" i="53"/>
  <c r="T1432" i="53" s="1"/>
  <c r="S1391" i="53"/>
  <c r="S1432" i="53" s="1"/>
  <c r="R1391" i="53"/>
  <c r="R1432" i="53" s="1"/>
  <c r="E31" i="46"/>
  <c r="D32" i="46"/>
  <c r="S354" i="3"/>
  <c r="S356" i="3" s="1"/>
  <c r="S358" i="3" s="1"/>
  <c r="T354" i="3"/>
  <c r="T356" i="3" s="1"/>
  <c r="T358" i="3" s="1"/>
  <c r="T346" i="3"/>
  <c r="N346" i="3"/>
  <c r="N354" i="3"/>
  <c r="N356" i="3" s="1"/>
  <c r="N358" i="3" s="1"/>
  <c r="Q354" i="3"/>
  <c r="Q356" i="3" s="1"/>
  <c r="Q358" i="3" s="1"/>
  <c r="Q346" i="3"/>
  <c r="P354" i="3"/>
  <c r="P356" i="3" s="1"/>
  <c r="P358" i="3" s="1"/>
  <c r="P346" i="3"/>
  <c r="R346" i="3"/>
  <c r="R354" i="3"/>
  <c r="R356" i="3" s="1"/>
  <c r="R358" i="3" s="1"/>
  <c r="O346" i="3"/>
  <c r="O354" i="3"/>
  <c r="O356" i="3" s="1"/>
  <c r="O358" i="3" s="1"/>
  <c r="V354" i="3"/>
  <c r="V356" i="3" s="1"/>
  <c r="V358" i="3" s="1"/>
  <c r="V346" i="3"/>
  <c r="U354" i="3"/>
  <c r="U356" i="3" s="1"/>
  <c r="U358" i="3" s="1"/>
  <c r="U346" i="3"/>
  <c r="G1408" i="1" l="1"/>
  <c r="E1737" i="1" a="1"/>
  <c r="E1737" i="1" s="1"/>
  <c r="Q1264" i="53"/>
  <c r="Q1229" i="53"/>
  <c r="Q1415" i="53"/>
  <c r="R946" i="53"/>
  <c r="Q1307" i="53"/>
  <c r="L777" i="1"/>
  <c r="L788" i="1"/>
  <c r="L794" i="1" s="1"/>
  <c r="K676" i="1"/>
  <c r="L139" i="1"/>
  <c r="G1872" i="1"/>
  <c r="L673" i="1"/>
  <c r="L679" i="1"/>
  <c r="I682" i="1"/>
  <c r="I914" i="1"/>
  <c r="J777" i="1"/>
  <c r="J680" i="1"/>
  <c r="J914" i="1"/>
  <c r="J788" i="1"/>
  <c r="J794" i="1" s="1"/>
  <c r="I683" i="1"/>
  <c r="F124" i="3"/>
  <c r="C125" i="3"/>
  <c r="J685" i="1"/>
  <c r="L680" i="1"/>
  <c r="L914" i="1"/>
  <c r="I673" i="1"/>
  <c r="I678" i="1"/>
  <c r="J581" i="1"/>
  <c r="J585" i="1" s="1"/>
  <c r="I680" i="1"/>
  <c r="L681" i="1"/>
  <c r="G748" i="1"/>
  <c r="AE1581" i="1"/>
  <c r="G1871" i="1"/>
  <c r="D24" i="4"/>
  <c r="D24" i="49" s="1"/>
  <c r="K677" i="1"/>
  <c r="K146" i="1"/>
  <c r="K251" i="1" s="1"/>
  <c r="K924" i="1" s="1"/>
  <c r="K927" i="1" s="1"/>
  <c r="K97" i="1"/>
  <c r="K124" i="1"/>
  <c r="K147" i="1"/>
  <c r="K261" i="1" s="1"/>
  <c r="G104" i="1"/>
  <c r="G674" i="1" s="1"/>
  <c r="G1803" i="1" s="1"/>
  <c r="K145" i="1"/>
  <c r="K191" i="1" s="1"/>
  <c r="K678" i="1"/>
  <c r="G622" i="1"/>
  <c r="I690" i="1"/>
  <c r="K699" i="1"/>
  <c r="K684" i="1"/>
  <c r="I681" i="1"/>
  <c r="J682" i="1"/>
  <c r="J97" i="1"/>
  <c r="J124" i="1"/>
  <c r="J145" i="1"/>
  <c r="J191" i="1" s="1"/>
  <c r="J147" i="1"/>
  <c r="J261" i="1" s="1"/>
  <c r="J146" i="1"/>
  <c r="J251" i="1" s="1"/>
  <c r="J924" i="1" s="1"/>
  <c r="J927" i="1" s="1"/>
  <c r="G644" i="1"/>
  <c r="I692" i="1"/>
  <c r="K683" i="1"/>
  <c r="I676" i="1"/>
  <c r="J681" i="1"/>
  <c r="G688" i="1"/>
  <c r="I696" i="1"/>
  <c r="I139" i="1"/>
  <c r="I677" i="1"/>
  <c r="J677" i="1"/>
  <c r="G549" i="1"/>
  <c r="K696" i="1"/>
  <c r="K694" i="1"/>
  <c r="K702" i="1" s="1"/>
  <c r="L682" i="1"/>
  <c r="L97" i="1"/>
  <c r="L147" i="1"/>
  <c r="L261" i="1" s="1"/>
  <c r="L145" i="1"/>
  <c r="L191" i="1" s="1"/>
  <c r="L146" i="1"/>
  <c r="L251" i="1" s="1"/>
  <c r="L924" i="1" s="1"/>
  <c r="L927" i="1" s="1"/>
  <c r="L124" i="1"/>
  <c r="K681" i="1"/>
  <c r="L795" i="1"/>
  <c r="J696" i="1"/>
  <c r="J694" i="1"/>
  <c r="J702" i="1" s="1"/>
  <c r="K679" i="1"/>
  <c r="L677" i="1"/>
  <c r="K697" i="1"/>
  <c r="L686" i="1"/>
  <c r="L787" i="1"/>
  <c r="L793" i="1" s="1"/>
  <c r="G761" i="1"/>
  <c r="K778" i="1"/>
  <c r="G778" i="1" s="1"/>
  <c r="K789" i="1"/>
  <c r="K795" i="1" s="1"/>
  <c r="I685" i="1"/>
  <c r="G630" i="1"/>
  <c r="I691" i="1"/>
  <c r="J673" i="1"/>
  <c r="G751" i="1"/>
  <c r="J678" i="1"/>
  <c r="K701" i="1"/>
  <c r="G1870" i="1"/>
  <c r="L699" i="1"/>
  <c r="L1014" i="1"/>
  <c r="L911" i="1"/>
  <c r="L803" i="1"/>
  <c r="L804" i="1" s="1"/>
  <c r="G1869" i="1"/>
  <c r="I753" i="1"/>
  <c r="J795" i="1"/>
  <c r="I795" i="1"/>
  <c r="G789" i="53"/>
  <c r="G795" i="53" s="1"/>
  <c r="K795" i="53"/>
  <c r="I787" i="1"/>
  <c r="I686" i="1"/>
  <c r="G670" i="1"/>
  <c r="I1014" i="1"/>
  <c r="I911" i="1"/>
  <c r="I803" i="1"/>
  <c r="J701" i="1"/>
  <c r="J674" i="1"/>
  <c r="I693" i="1"/>
  <c r="G652" i="1"/>
  <c r="J679" i="1"/>
  <c r="K686" i="1"/>
  <c r="K787" i="1"/>
  <c r="K793" i="1" s="1"/>
  <c r="I1581" i="1"/>
  <c r="M1581" i="1"/>
  <c r="Q1581" i="1"/>
  <c r="U1581" i="1"/>
  <c r="I1566" i="1"/>
  <c r="N1581" i="1"/>
  <c r="R1581" i="1"/>
  <c r="I1636" i="1"/>
  <c r="K1581" i="1"/>
  <c r="O1581" i="1"/>
  <c r="S1581" i="1"/>
  <c r="J1581" i="1"/>
  <c r="L1581" i="1"/>
  <c r="P1581" i="1"/>
  <c r="T1581" i="1"/>
  <c r="V1581" i="1"/>
  <c r="X1581" i="1"/>
  <c r="Y1581" i="1"/>
  <c r="Z1581" i="1"/>
  <c r="AA1581" i="1"/>
  <c r="AC1581" i="1"/>
  <c r="AD1581" i="1"/>
  <c r="J139" i="1"/>
  <c r="K680" i="1"/>
  <c r="J676" i="1"/>
  <c r="J672" i="1"/>
  <c r="I679" i="1"/>
  <c r="K911" i="1"/>
  <c r="K803" i="1"/>
  <c r="K804" i="1" s="1"/>
  <c r="G137" i="1"/>
  <c r="K1014" i="1"/>
  <c r="L694" i="1"/>
  <c r="L702" i="1" s="1"/>
  <c r="L696" i="1"/>
  <c r="L697" i="1"/>
  <c r="K674" i="1"/>
  <c r="D23" i="4"/>
  <c r="D23" i="49" s="1"/>
  <c r="L701" i="1"/>
  <c r="J697" i="1"/>
  <c r="L685" i="1"/>
  <c r="L678" i="1"/>
  <c r="J700" i="1"/>
  <c r="J698" i="1"/>
  <c r="K740" i="1"/>
  <c r="G737" i="1"/>
  <c r="K139" i="1"/>
  <c r="I684" i="1"/>
  <c r="I124" i="1"/>
  <c r="I147" i="1"/>
  <c r="I261" i="1" s="1"/>
  <c r="I97" i="1"/>
  <c r="I145" i="1"/>
  <c r="I191" i="1" s="1"/>
  <c r="I146" i="1"/>
  <c r="I251" i="1" s="1"/>
  <c r="I924" i="1" s="1"/>
  <c r="I927" i="1" s="1"/>
  <c r="G542" i="1"/>
  <c r="K685" i="1"/>
  <c r="AB1581" i="1"/>
  <c r="AB1636" i="1"/>
  <c r="G616" i="1"/>
  <c r="I689" i="1"/>
  <c r="L675" i="1"/>
  <c r="G536" i="1"/>
  <c r="I581" i="1"/>
  <c r="K675" i="1"/>
  <c r="G778" i="53"/>
  <c r="J675" i="1"/>
  <c r="L700" i="1"/>
  <c r="K698" i="1"/>
  <c r="J683" i="1"/>
  <c r="K672" i="1"/>
  <c r="J803" i="1"/>
  <c r="J804" i="1" s="1"/>
  <c r="J911" i="1"/>
  <c r="J1014" i="1"/>
  <c r="J686" i="1"/>
  <c r="J787" i="1"/>
  <c r="J793" i="1" s="1"/>
  <c r="J684" i="1"/>
  <c r="I674" i="1"/>
  <c r="L676" i="1"/>
  <c r="K581" i="1"/>
  <c r="L581" i="1"/>
  <c r="L684" i="1"/>
  <c r="G802" i="1"/>
  <c r="I1307" i="1"/>
  <c r="D81" i="4" s="1"/>
  <c r="D81" i="49" s="1"/>
  <c r="J946" i="1"/>
  <c r="J949" i="1" s="1"/>
  <c r="L674" i="1"/>
  <c r="I675" i="1"/>
  <c r="K682" i="1"/>
  <c r="K700" i="1"/>
  <c r="K673" i="1"/>
  <c r="L698" i="1"/>
  <c r="W1581" i="1"/>
  <c r="J699" i="1"/>
  <c r="D33" i="46"/>
  <c r="E32" i="46"/>
  <c r="Y1545" i="1"/>
  <c r="AB1545" i="1"/>
  <c r="F125" i="3" l="1"/>
  <c r="E1738" i="1"/>
  <c r="AA1738" i="1" s="1"/>
  <c r="E1742" i="1"/>
  <c r="W1742" i="1" s="1"/>
  <c r="E1741" i="1"/>
  <c r="V1741" i="1" s="1"/>
  <c r="E1754" i="1"/>
  <c r="Z1754" i="1" s="1"/>
  <c r="E1752" i="1"/>
  <c r="X1752" i="1" s="1"/>
  <c r="E1744" i="1"/>
  <c r="S1744" i="1" s="1"/>
  <c r="E1759" i="1"/>
  <c r="AE1759" i="1" s="1"/>
  <c r="E1740" i="1"/>
  <c r="Q1740" i="1" s="1"/>
  <c r="E1739" i="1"/>
  <c r="AB1739" i="1" s="1"/>
  <c r="E1749" i="1"/>
  <c r="Q1749" i="1" s="1"/>
  <c r="E1756" i="1"/>
  <c r="AB1756" i="1" s="1"/>
  <c r="E1757" i="1"/>
  <c r="Y1757" i="1" s="1"/>
  <c r="E1755" i="1"/>
  <c r="W1755" i="1" s="1"/>
  <c r="E1748" i="1"/>
  <c r="X1748" i="1" s="1"/>
  <c r="E1758" i="1"/>
  <c r="R1758" i="1" s="1"/>
  <c r="E1753" i="1"/>
  <c r="U1753" i="1" s="1"/>
  <c r="E1751" i="1"/>
  <c r="W1751" i="1" s="1"/>
  <c r="E1750" i="1"/>
  <c r="AD1750" i="1" s="1"/>
  <c r="E1745" i="1"/>
  <c r="P1745" i="1" s="1"/>
  <c r="E1743" i="1"/>
  <c r="R1743" i="1" s="1"/>
  <c r="E1747" i="1"/>
  <c r="AA1747" i="1" s="1"/>
  <c r="E1746" i="1"/>
  <c r="AC1746" i="1" s="1"/>
  <c r="AC1742" i="1"/>
  <c r="T1752" i="1"/>
  <c r="AC1752" i="1"/>
  <c r="AA1752" i="1"/>
  <c r="J1752" i="1"/>
  <c r="AE1738" i="1"/>
  <c r="O1738" i="1"/>
  <c r="AD1738" i="1"/>
  <c r="V1738" i="1"/>
  <c r="X1738" i="1"/>
  <c r="Y1738" i="1"/>
  <c r="Q1738" i="1"/>
  <c r="T1738" i="1"/>
  <c r="L1738" i="1"/>
  <c r="W1747" i="1"/>
  <c r="V1747" i="1"/>
  <c r="N1747" i="1"/>
  <c r="Q1747" i="1"/>
  <c r="I1747" i="1"/>
  <c r="Y1747" i="1"/>
  <c r="X1747" i="1"/>
  <c r="P1747" i="1"/>
  <c r="K1747" i="1"/>
  <c r="AA1746" i="1"/>
  <c r="AD1737" i="1"/>
  <c r="Z1737" i="1"/>
  <c r="V1737" i="1"/>
  <c r="R1737" i="1"/>
  <c r="N1737" i="1"/>
  <c r="J1737" i="1"/>
  <c r="AC1737" i="1"/>
  <c r="Y1737" i="1"/>
  <c r="U1737" i="1"/>
  <c r="Q1737" i="1"/>
  <c r="M1737" i="1"/>
  <c r="I1737" i="1"/>
  <c r="AB1737" i="1"/>
  <c r="X1737" i="1"/>
  <c r="T1737" i="1"/>
  <c r="P1737" i="1"/>
  <c r="L1737" i="1"/>
  <c r="AA1737" i="1"/>
  <c r="K1737" i="1"/>
  <c r="O1737" i="1"/>
  <c r="W1737" i="1"/>
  <c r="S1737" i="1"/>
  <c r="AE1737" i="1"/>
  <c r="G677" i="1"/>
  <c r="G1806" i="1" s="1"/>
  <c r="J582" i="1"/>
  <c r="J586" i="1" s="1"/>
  <c r="G139" i="1"/>
  <c r="G686" i="1"/>
  <c r="R949" i="53"/>
  <c r="R951" i="53" s="1"/>
  <c r="G678" i="1"/>
  <c r="G1807" i="1" s="1"/>
  <c r="G673" i="1"/>
  <c r="G1802" i="1" s="1"/>
  <c r="G675" i="1"/>
  <c r="G1804" i="1" s="1"/>
  <c r="G683" i="1"/>
  <c r="G1812" i="1" s="1"/>
  <c r="G685" i="1"/>
  <c r="G1814" i="1" s="1"/>
  <c r="G672" i="1"/>
  <c r="G1801" i="1" s="1"/>
  <c r="G681" i="1"/>
  <c r="G1810" i="1" s="1"/>
  <c r="G680" i="1"/>
  <c r="G1809" i="1" s="1"/>
  <c r="G696" i="1"/>
  <c r="G1836" i="1" s="1"/>
  <c r="G679" i="1"/>
  <c r="G1808" i="1" s="1"/>
  <c r="G676" i="1"/>
  <c r="G1805" i="1" s="1"/>
  <c r="G789" i="1"/>
  <c r="G795" i="1" s="1"/>
  <c r="G1581" i="1"/>
  <c r="E1666" i="1" s="1"/>
  <c r="G803" i="1"/>
  <c r="J1027" i="1"/>
  <c r="J1178" i="1"/>
  <c r="I235" i="1"/>
  <c r="I919" i="1"/>
  <c r="G191" i="1"/>
  <c r="I230" i="1"/>
  <c r="J1664" i="1"/>
  <c r="L1664" i="1"/>
  <c r="Q1664" i="1"/>
  <c r="U1664" i="1"/>
  <c r="I1664" i="1"/>
  <c r="N1664" i="1"/>
  <c r="R1664" i="1"/>
  <c r="K1664" i="1"/>
  <c r="O1664" i="1"/>
  <c r="S1664" i="1"/>
  <c r="M1664" i="1"/>
  <c r="P1664" i="1"/>
  <c r="W1664" i="1"/>
  <c r="Y1664" i="1"/>
  <c r="X1664" i="1"/>
  <c r="Z1664" i="1"/>
  <c r="AB1664" i="1"/>
  <c r="AE1664" i="1"/>
  <c r="AA1664" i="1"/>
  <c r="AD1664" i="1"/>
  <c r="I804" i="1"/>
  <c r="I582" i="1"/>
  <c r="I586" i="1" s="1"/>
  <c r="I585" i="1"/>
  <c r="T1664" i="1"/>
  <c r="I701" i="1"/>
  <c r="G693" i="1"/>
  <c r="G701" i="1" s="1"/>
  <c r="G1841" i="1" s="1"/>
  <c r="I700" i="1"/>
  <c r="G692" i="1"/>
  <c r="G700" i="1" s="1"/>
  <c r="G1840" i="1" s="1"/>
  <c r="G124" i="1"/>
  <c r="J805" i="1"/>
  <c r="J1873" i="1"/>
  <c r="J1874" i="1" s="1"/>
  <c r="J1886" i="1" s="1"/>
  <c r="J1029" i="1"/>
  <c r="J1016" i="1"/>
  <c r="J1180" i="1" s="1"/>
  <c r="G689" i="1"/>
  <c r="G697" i="1" s="1"/>
  <c r="G1837" i="1" s="1"/>
  <c r="I697" i="1"/>
  <c r="V1664" i="1"/>
  <c r="G1213" i="1"/>
  <c r="D9" i="4"/>
  <c r="D9" i="49" s="1"/>
  <c r="I793" i="1"/>
  <c r="G787" i="1"/>
  <c r="G793" i="1" s="1"/>
  <c r="L1027" i="1"/>
  <c r="L1178" i="1"/>
  <c r="I699" i="1"/>
  <c r="G691" i="1"/>
  <c r="G699" i="1" s="1"/>
  <c r="G1839" i="1" s="1"/>
  <c r="I694" i="1"/>
  <c r="J235" i="1"/>
  <c r="J919" i="1"/>
  <c r="J230" i="1"/>
  <c r="K230" i="1"/>
  <c r="K235" i="1"/>
  <c r="K919" i="1"/>
  <c r="L582" i="1"/>
  <c r="L586" i="1" s="1"/>
  <c r="L585" i="1"/>
  <c r="K1027" i="1"/>
  <c r="K1178" i="1"/>
  <c r="I777" i="1"/>
  <c r="I788" i="1"/>
  <c r="I754" i="1"/>
  <c r="W1545" i="1"/>
  <c r="AD1545" i="1"/>
  <c r="AC1545" i="1"/>
  <c r="K582" i="1"/>
  <c r="K586" i="1" s="1"/>
  <c r="K585" i="1"/>
  <c r="F9" i="4"/>
  <c r="F9" i="49" s="1"/>
  <c r="G9" i="4"/>
  <c r="G9" i="49" s="1"/>
  <c r="AA1545" i="1"/>
  <c r="AE1545" i="1"/>
  <c r="Z1545" i="1"/>
  <c r="X1545" i="1"/>
  <c r="V1545" i="1"/>
  <c r="K946" i="1"/>
  <c r="K949" i="1" s="1"/>
  <c r="J1307" i="1"/>
  <c r="E81" i="4" s="1"/>
  <c r="E81" i="49" s="1"/>
  <c r="E9" i="4"/>
  <c r="E9" i="49" s="1"/>
  <c r="AC1664" i="1"/>
  <c r="G740" i="1"/>
  <c r="K753" i="1"/>
  <c r="K1873" i="1"/>
  <c r="K1874" i="1" s="1"/>
  <c r="K1886" i="1" s="1"/>
  <c r="K1016" i="1"/>
  <c r="K1180" i="1" s="1"/>
  <c r="K1029" i="1"/>
  <c r="K805" i="1"/>
  <c r="I1027" i="1"/>
  <c r="G1014" i="1"/>
  <c r="I1178" i="1"/>
  <c r="L805" i="1"/>
  <c r="L1873" i="1"/>
  <c r="L1874" i="1" s="1"/>
  <c r="L1886" i="1" s="1"/>
  <c r="L1016" i="1"/>
  <c r="L1180" i="1" s="1"/>
  <c r="L1029" i="1"/>
  <c r="L235" i="1"/>
  <c r="L230" i="1"/>
  <c r="L919" i="1"/>
  <c r="G690" i="1"/>
  <c r="G698" i="1" s="1"/>
  <c r="G1838" i="1" s="1"/>
  <c r="I698" i="1"/>
  <c r="G682" i="1"/>
  <c r="G1811" i="1" s="1"/>
  <c r="G684" i="1"/>
  <c r="G1813" i="1" s="1"/>
  <c r="E33" i="46"/>
  <c r="D34" i="46"/>
  <c r="O1746" i="1" l="1"/>
  <c r="R1746" i="1"/>
  <c r="I1744" i="1"/>
  <c r="AB1746" i="1"/>
  <c r="V1751" i="1"/>
  <c r="AA1751" i="1"/>
  <c r="AC1755" i="1"/>
  <c r="AA1750" i="1"/>
  <c r="AD1746" i="1"/>
  <c r="N1755" i="1"/>
  <c r="Q1746" i="1"/>
  <c r="T1744" i="1"/>
  <c r="Z1750" i="1"/>
  <c r="AD1744" i="1"/>
  <c r="AC1750" i="1"/>
  <c r="J1751" i="1"/>
  <c r="AB1752" i="1"/>
  <c r="M1750" i="1"/>
  <c r="W1744" i="1"/>
  <c r="P1755" i="1"/>
  <c r="V1739" i="1"/>
  <c r="I1748" i="1"/>
  <c r="U1750" i="1"/>
  <c r="AD1739" i="1"/>
  <c r="Y1751" i="1"/>
  <c r="U1748" i="1"/>
  <c r="AA1755" i="1"/>
  <c r="AA1739" i="1"/>
  <c r="I1739" i="1"/>
  <c r="P1748" i="1"/>
  <c r="M1748" i="1"/>
  <c r="AA1749" i="1"/>
  <c r="R1751" i="1"/>
  <c r="U1751" i="1"/>
  <c r="Q1755" i="1"/>
  <c r="Y1755" i="1"/>
  <c r="U1752" i="1"/>
  <c r="N1752" i="1"/>
  <c r="U1739" i="1"/>
  <c r="AC1751" i="1"/>
  <c r="S1751" i="1"/>
  <c r="AB1755" i="1"/>
  <c r="S1755" i="1"/>
  <c r="Q1752" i="1"/>
  <c r="Y1752" i="1"/>
  <c r="Y1739" i="1"/>
  <c r="S1739" i="1"/>
  <c r="Z1746" i="1"/>
  <c r="L1746" i="1"/>
  <c r="U1746" i="1"/>
  <c r="O1750" i="1"/>
  <c r="AB1750" i="1"/>
  <c r="M1744" i="1"/>
  <c r="AB1744" i="1"/>
  <c r="AA1744" i="1"/>
  <c r="S1748" i="1"/>
  <c r="T1748" i="1"/>
  <c r="S1746" i="1"/>
  <c r="X1746" i="1"/>
  <c r="Y1750" i="1"/>
  <c r="J1750" i="1"/>
  <c r="U1744" i="1"/>
  <c r="V1744" i="1"/>
  <c r="AA1748" i="1"/>
  <c r="O1748" i="1"/>
  <c r="AC1749" i="1"/>
  <c r="AE1746" i="1"/>
  <c r="W1746" i="1"/>
  <c r="N1746" i="1"/>
  <c r="P1746" i="1"/>
  <c r="I1746" i="1"/>
  <c r="Y1746" i="1"/>
  <c r="X1750" i="1"/>
  <c r="AE1750" i="1"/>
  <c r="L1750" i="1"/>
  <c r="R1750" i="1"/>
  <c r="AC1744" i="1"/>
  <c r="Q1744" i="1"/>
  <c r="N1744" i="1"/>
  <c r="K1744" i="1"/>
  <c r="AE1744" i="1"/>
  <c r="K1748" i="1"/>
  <c r="W1748" i="1"/>
  <c r="Y1748" i="1"/>
  <c r="Z1748" i="1"/>
  <c r="AB1748" i="1"/>
  <c r="O1749" i="1"/>
  <c r="J1746" i="1"/>
  <c r="K1746" i="1"/>
  <c r="V1746" i="1"/>
  <c r="T1746" i="1"/>
  <c r="M1746" i="1"/>
  <c r="AC1747" i="1"/>
  <c r="Z1747" i="1"/>
  <c r="AE1747" i="1"/>
  <c r="I1750" i="1"/>
  <c r="K1750" i="1"/>
  <c r="W1750" i="1"/>
  <c r="V1750" i="1"/>
  <c r="I1738" i="1"/>
  <c r="N1738" i="1"/>
  <c r="W1738" i="1"/>
  <c r="P1744" i="1"/>
  <c r="L1744" i="1"/>
  <c r="R1744" i="1"/>
  <c r="O1744" i="1"/>
  <c r="L1751" i="1"/>
  <c r="N1751" i="1"/>
  <c r="K1751" i="1"/>
  <c r="V1748" i="1"/>
  <c r="AC1748" i="1"/>
  <c r="AD1748" i="1"/>
  <c r="L1748" i="1"/>
  <c r="Z1755" i="1"/>
  <c r="R1755" i="1"/>
  <c r="K1755" i="1"/>
  <c r="Z1752" i="1"/>
  <c r="R1752" i="1"/>
  <c r="L1752" i="1"/>
  <c r="Z1749" i="1"/>
  <c r="N1739" i="1"/>
  <c r="K1739" i="1"/>
  <c r="P1739" i="1"/>
  <c r="X1739" i="1"/>
  <c r="L1747" i="1"/>
  <c r="T1747" i="1"/>
  <c r="M1747" i="1"/>
  <c r="J1747" i="1"/>
  <c r="AB1747" i="1"/>
  <c r="AB1738" i="1"/>
  <c r="U1738" i="1"/>
  <c r="J1738" i="1"/>
  <c r="Z1738" i="1"/>
  <c r="S1738" i="1"/>
  <c r="Q1751" i="1"/>
  <c r="X1751" i="1"/>
  <c r="T1751" i="1"/>
  <c r="P1751" i="1"/>
  <c r="O1751" i="1"/>
  <c r="AE1751" i="1"/>
  <c r="J1755" i="1"/>
  <c r="V1755" i="1"/>
  <c r="X1755" i="1"/>
  <c r="T1755" i="1"/>
  <c r="O1755" i="1"/>
  <c r="AE1755" i="1"/>
  <c r="O1752" i="1"/>
  <c r="V1752" i="1"/>
  <c r="W1752" i="1"/>
  <c r="S1752" i="1"/>
  <c r="P1752" i="1"/>
  <c r="Q1739" i="1"/>
  <c r="R1739" i="1"/>
  <c r="M1739" i="1"/>
  <c r="O1739" i="1"/>
  <c r="AE1739" i="1"/>
  <c r="T1739" i="1"/>
  <c r="S1747" i="1"/>
  <c r="O1747" i="1"/>
  <c r="AD1747" i="1"/>
  <c r="U1747" i="1"/>
  <c r="R1747" i="1"/>
  <c r="P1738" i="1"/>
  <c r="M1738" i="1"/>
  <c r="AC1738" i="1"/>
  <c r="R1738" i="1"/>
  <c r="K1738" i="1"/>
  <c r="AB1751" i="1"/>
  <c r="M1751" i="1"/>
  <c r="I1751" i="1"/>
  <c r="AD1751" i="1"/>
  <c r="Z1751" i="1"/>
  <c r="U1755" i="1"/>
  <c r="L1755" i="1"/>
  <c r="M1755" i="1"/>
  <c r="I1755" i="1"/>
  <c r="AD1755" i="1"/>
  <c r="AE1752" i="1"/>
  <c r="K1752" i="1"/>
  <c r="M1752" i="1"/>
  <c r="I1752" i="1"/>
  <c r="AD1752" i="1"/>
  <c r="J1739" i="1"/>
  <c r="Z1739" i="1"/>
  <c r="AC1739" i="1"/>
  <c r="W1739" i="1"/>
  <c r="L1739" i="1"/>
  <c r="P1749" i="1"/>
  <c r="AA1742" i="1"/>
  <c r="J1749" i="1"/>
  <c r="L1749" i="1"/>
  <c r="AB1749" i="1"/>
  <c r="N1749" i="1"/>
  <c r="S1749" i="1"/>
  <c r="AE1749" i="1"/>
  <c r="K1749" i="1"/>
  <c r="R1749" i="1"/>
  <c r="AD1749" i="1"/>
  <c r="I1749" i="1"/>
  <c r="M1749" i="1"/>
  <c r="U1749" i="1"/>
  <c r="Y1749" i="1"/>
  <c r="V1758" i="1"/>
  <c r="Z1756" i="1"/>
  <c r="U1759" i="1"/>
  <c r="T1756" i="1"/>
  <c r="Z1759" i="1"/>
  <c r="K1745" i="1"/>
  <c r="X1759" i="1"/>
  <c r="AD1759" i="1"/>
  <c r="Y1756" i="1"/>
  <c r="V1756" i="1"/>
  <c r="X1741" i="1"/>
  <c r="I1759" i="1"/>
  <c r="W1759" i="1"/>
  <c r="N1756" i="1"/>
  <c r="R1756" i="1"/>
  <c r="N1741" i="1"/>
  <c r="AB1759" i="1"/>
  <c r="N1759" i="1"/>
  <c r="M1758" i="1"/>
  <c r="U1756" i="1"/>
  <c r="W1756" i="1"/>
  <c r="I1742" i="1"/>
  <c r="Y1742" i="1"/>
  <c r="I1741" i="1"/>
  <c r="L1742" i="1"/>
  <c r="T1741" i="1"/>
  <c r="Z1741" i="1"/>
  <c r="J1742" i="1"/>
  <c r="Y1741" i="1"/>
  <c r="M1742" i="1"/>
  <c r="N1742" i="1"/>
  <c r="X1757" i="1"/>
  <c r="S1740" i="1"/>
  <c r="AE1741" i="1"/>
  <c r="U1741" i="1"/>
  <c r="X1742" i="1"/>
  <c r="AD1742" i="1"/>
  <c r="V1742" i="1"/>
  <c r="L1743" i="1"/>
  <c r="U1740" i="1"/>
  <c r="AC1757" i="1"/>
  <c r="L1753" i="1"/>
  <c r="AD1741" i="1"/>
  <c r="AC1743" i="1"/>
  <c r="Z1745" i="1"/>
  <c r="S1750" i="1"/>
  <c r="T1750" i="1"/>
  <c r="P1750" i="1"/>
  <c r="Q1750" i="1"/>
  <c r="N1750" i="1"/>
  <c r="M1759" i="1"/>
  <c r="J1759" i="1"/>
  <c r="S1759" i="1"/>
  <c r="X1744" i="1"/>
  <c r="Y1744" i="1"/>
  <c r="J1744" i="1"/>
  <c r="Z1744" i="1"/>
  <c r="L1758" i="1"/>
  <c r="Q1748" i="1"/>
  <c r="R1748" i="1"/>
  <c r="N1748" i="1"/>
  <c r="J1748" i="1"/>
  <c r="AE1748" i="1"/>
  <c r="AD1756" i="1"/>
  <c r="Q1756" i="1"/>
  <c r="P1756" i="1"/>
  <c r="T1749" i="1"/>
  <c r="V1749" i="1"/>
  <c r="W1749" i="1"/>
  <c r="X1749" i="1"/>
  <c r="T1754" i="1"/>
  <c r="W1741" i="1"/>
  <c r="AA1741" i="1"/>
  <c r="J1741" i="1"/>
  <c r="P1742" i="1"/>
  <c r="Q1742" i="1"/>
  <c r="AB1742" i="1"/>
  <c r="Z1742" i="1"/>
  <c r="AE1742" i="1"/>
  <c r="U1742" i="1"/>
  <c r="T1742" i="1"/>
  <c r="R1742" i="1"/>
  <c r="K1742" i="1"/>
  <c r="V1743" i="1"/>
  <c r="P1754" i="1"/>
  <c r="K1743" i="1"/>
  <c r="V1745" i="1"/>
  <c r="AA1745" i="1"/>
  <c r="P1740" i="1"/>
  <c r="T1759" i="1"/>
  <c r="AC1759" i="1"/>
  <c r="Q1759" i="1"/>
  <c r="R1759" i="1"/>
  <c r="K1759" i="1"/>
  <c r="AA1759" i="1"/>
  <c r="O1753" i="1"/>
  <c r="Y1753" i="1"/>
  <c r="I1758" i="1"/>
  <c r="P1757" i="1"/>
  <c r="S1756" i="1"/>
  <c r="J1756" i="1"/>
  <c r="AE1756" i="1"/>
  <c r="AA1756" i="1"/>
  <c r="AC1756" i="1"/>
  <c r="X1756" i="1"/>
  <c r="L1754" i="1"/>
  <c r="N1754" i="1"/>
  <c r="L1741" i="1"/>
  <c r="AB1741" i="1"/>
  <c r="M1741" i="1"/>
  <c r="AC1741" i="1"/>
  <c r="R1741" i="1"/>
  <c r="T1743" i="1"/>
  <c r="R1740" i="1"/>
  <c r="AD1753" i="1"/>
  <c r="I1753" i="1"/>
  <c r="T1757" i="1"/>
  <c r="M1743" i="1"/>
  <c r="N1745" i="1"/>
  <c r="T1745" i="1"/>
  <c r="N1740" i="1"/>
  <c r="J1740" i="1"/>
  <c r="L1759" i="1"/>
  <c r="P1759" i="1"/>
  <c r="Y1759" i="1"/>
  <c r="V1759" i="1"/>
  <c r="O1759" i="1"/>
  <c r="K1753" i="1"/>
  <c r="P1758" i="1"/>
  <c r="AC1758" i="1"/>
  <c r="AB1757" i="1"/>
  <c r="M1757" i="1"/>
  <c r="I1756" i="1"/>
  <c r="O1756" i="1"/>
  <c r="K1756" i="1"/>
  <c r="M1756" i="1"/>
  <c r="L1756" i="1"/>
  <c r="X1754" i="1"/>
  <c r="AD1754" i="1"/>
  <c r="K1741" i="1"/>
  <c r="P1741" i="1"/>
  <c r="S1741" i="1"/>
  <c r="Q1741" i="1"/>
  <c r="O1741" i="1"/>
  <c r="O1742" i="1"/>
  <c r="S1742" i="1"/>
  <c r="O1743" i="1"/>
  <c r="P1743" i="1"/>
  <c r="S1743" i="1"/>
  <c r="Q1743" i="1"/>
  <c r="J1743" i="1"/>
  <c r="Z1743" i="1"/>
  <c r="V1740" i="1"/>
  <c r="W1740" i="1"/>
  <c r="Z1740" i="1"/>
  <c r="T1740" i="1"/>
  <c r="I1740" i="1"/>
  <c r="Y1740" i="1"/>
  <c r="N1753" i="1"/>
  <c r="T1753" i="1"/>
  <c r="P1753" i="1"/>
  <c r="R1753" i="1"/>
  <c r="M1753" i="1"/>
  <c r="AC1753" i="1"/>
  <c r="L1757" i="1"/>
  <c r="AD1757" i="1"/>
  <c r="Z1757" i="1"/>
  <c r="V1757" i="1"/>
  <c r="Q1757" i="1"/>
  <c r="Q1754" i="1"/>
  <c r="AC1754" i="1"/>
  <c r="Y1754" i="1"/>
  <c r="U1754" i="1"/>
  <c r="R1754" i="1"/>
  <c r="W1743" i="1"/>
  <c r="X1743" i="1"/>
  <c r="AA1743" i="1"/>
  <c r="U1743" i="1"/>
  <c r="N1743" i="1"/>
  <c r="AD1743" i="1"/>
  <c r="K1740" i="1"/>
  <c r="AA1740" i="1"/>
  <c r="AD1740" i="1"/>
  <c r="X1740" i="1"/>
  <c r="M1740" i="1"/>
  <c r="AC1740" i="1"/>
  <c r="S1753" i="1"/>
  <c r="Z1753" i="1"/>
  <c r="V1753" i="1"/>
  <c r="W1753" i="1"/>
  <c r="Q1753" i="1"/>
  <c r="R1757" i="1"/>
  <c r="N1757" i="1"/>
  <c r="J1757" i="1"/>
  <c r="AE1757" i="1"/>
  <c r="AA1757" i="1"/>
  <c r="U1757" i="1"/>
  <c r="AB1754" i="1"/>
  <c r="M1754" i="1"/>
  <c r="I1754" i="1"/>
  <c r="AE1754" i="1"/>
  <c r="AA1754" i="1"/>
  <c r="V1754" i="1"/>
  <c r="AE1743" i="1"/>
  <c r="AB1743" i="1"/>
  <c r="I1743" i="1"/>
  <c r="Y1743" i="1"/>
  <c r="O1740" i="1"/>
  <c r="AE1740" i="1"/>
  <c r="L1740" i="1"/>
  <c r="AB1740" i="1"/>
  <c r="X1753" i="1"/>
  <c r="J1753" i="1"/>
  <c r="AE1753" i="1"/>
  <c r="AA1753" i="1"/>
  <c r="AB1753" i="1"/>
  <c r="W1757" i="1"/>
  <c r="S1757" i="1"/>
  <c r="O1757" i="1"/>
  <c r="K1757" i="1"/>
  <c r="I1757" i="1"/>
  <c r="W1754" i="1"/>
  <c r="S1754" i="1"/>
  <c r="O1754" i="1"/>
  <c r="K1754" i="1"/>
  <c r="J1754" i="1"/>
  <c r="I1745" i="1"/>
  <c r="AD1745" i="1"/>
  <c r="M1745" i="1"/>
  <c r="O1745" i="1"/>
  <c r="AE1745" i="1"/>
  <c r="X1745" i="1"/>
  <c r="U1758" i="1"/>
  <c r="Q1758" i="1"/>
  <c r="S1758" i="1"/>
  <c r="O1758" i="1"/>
  <c r="J1758" i="1"/>
  <c r="Z1758" i="1"/>
  <c r="Q1745" i="1"/>
  <c r="J1745" i="1"/>
  <c r="U1745" i="1"/>
  <c r="S1745" i="1"/>
  <c r="L1745" i="1"/>
  <c r="AB1745" i="1"/>
  <c r="AA1758" i="1"/>
  <c r="W1758" i="1"/>
  <c r="X1758" i="1"/>
  <c r="T1758" i="1"/>
  <c r="N1758" i="1"/>
  <c r="AD1758" i="1"/>
  <c r="Y1745" i="1"/>
  <c r="R1745" i="1"/>
  <c r="AC1745" i="1"/>
  <c r="W1745" i="1"/>
  <c r="K1758" i="1"/>
  <c r="AB1758" i="1"/>
  <c r="AE1758" i="1"/>
  <c r="Y1758" i="1"/>
  <c r="J583" i="1"/>
  <c r="J587" i="1" s="1"/>
  <c r="R1415" i="53"/>
  <c r="R1229" i="53"/>
  <c r="R1264" i="53"/>
  <c r="R1307" i="53"/>
  <c r="S946" i="53"/>
  <c r="G1178" i="1"/>
  <c r="K583" i="1"/>
  <c r="K587" i="1" s="1"/>
  <c r="G1820" i="1"/>
  <c r="C1820" i="1" s="1"/>
  <c r="B11" i="3" s="1"/>
  <c r="B33" i="3" s="1"/>
  <c r="G1545" i="1"/>
  <c r="E1583" i="1"/>
  <c r="G1823" i="1"/>
  <c r="D14" i="3" s="1"/>
  <c r="D36" i="3" s="1"/>
  <c r="G1829" i="1"/>
  <c r="D20" i="3" s="1"/>
  <c r="D42" i="3" s="1"/>
  <c r="L237" i="1"/>
  <c r="L197" i="1" s="1"/>
  <c r="L199" i="1" s="1"/>
  <c r="L922" i="1" s="1"/>
  <c r="L941" i="1" s="1"/>
  <c r="L943" i="1" s="1"/>
  <c r="M947" i="1" s="1"/>
  <c r="G1815" i="1"/>
  <c r="G1827" i="1"/>
  <c r="D18" i="3" s="1"/>
  <c r="D40" i="3" s="1"/>
  <c r="G1824" i="1"/>
  <c r="C1824" i="1" s="1"/>
  <c r="B15" i="3" s="1"/>
  <c r="B37" i="3" s="1"/>
  <c r="G1664" i="1"/>
  <c r="I237" i="1"/>
  <c r="I197" i="1" s="1"/>
  <c r="I199" i="1" s="1"/>
  <c r="I922" i="1" s="1"/>
  <c r="I941" i="1" s="1"/>
  <c r="I943" i="1" s="1"/>
  <c r="G11" i="4"/>
  <c r="G11" i="49" s="1"/>
  <c r="K1307" i="1"/>
  <c r="F81" i="4" s="1"/>
  <c r="F81" i="49" s="1"/>
  <c r="L946" i="1"/>
  <c r="L949" i="1" s="1"/>
  <c r="K788" i="1"/>
  <c r="K794" i="1" s="1"/>
  <c r="K754" i="1"/>
  <c r="G753" i="1"/>
  <c r="G754" i="1" s="1"/>
  <c r="K777" i="1"/>
  <c r="G777" i="1" s="1"/>
  <c r="J1376" i="1"/>
  <c r="J1399" i="1" s="1"/>
  <c r="E46" i="4"/>
  <c r="E46" i="49" s="1"/>
  <c r="G46" i="4"/>
  <c r="G46" i="49" s="1"/>
  <c r="L1376" i="1"/>
  <c r="L1399" i="1" s="1"/>
  <c r="G1831" i="1"/>
  <c r="G1830" i="1"/>
  <c r="I794" i="1"/>
  <c r="E11" i="4"/>
  <c r="E11" i="49" s="1"/>
  <c r="G1822" i="1"/>
  <c r="G1821" i="1"/>
  <c r="G1818" i="1"/>
  <c r="G1819" i="1"/>
  <c r="L583" i="1"/>
  <c r="L587" i="1" s="1"/>
  <c r="K237" i="1"/>
  <c r="K197" i="1" s="1"/>
  <c r="J237" i="1"/>
  <c r="J197" i="1" s="1"/>
  <c r="J199" i="1" s="1"/>
  <c r="J922" i="1" s="1"/>
  <c r="J941" i="1" s="1"/>
  <c r="J943" i="1" s="1"/>
  <c r="I1376" i="1"/>
  <c r="G1254" i="1"/>
  <c r="D46" i="4"/>
  <c r="D46" i="49" s="1"/>
  <c r="I583" i="1"/>
  <c r="I587" i="1" s="1"/>
  <c r="G1027" i="1"/>
  <c r="F11" i="4"/>
  <c r="F11" i="49" s="1"/>
  <c r="F46" i="4"/>
  <c r="F46" i="49" s="1"/>
  <c r="K1376" i="1"/>
  <c r="K1399" i="1" s="1"/>
  <c r="G1826" i="1"/>
  <c r="G1825" i="1"/>
  <c r="G1828" i="1"/>
  <c r="I702" i="1"/>
  <c r="G694" i="1"/>
  <c r="G702" i="1" s="1"/>
  <c r="I1029" i="1"/>
  <c r="G1029" i="1" s="1"/>
  <c r="I805" i="1"/>
  <c r="G804" i="1"/>
  <c r="G805" i="1" s="1"/>
  <c r="G1842" i="1" s="1"/>
  <c r="I1016" i="1"/>
  <c r="I1873" i="1"/>
  <c r="G1182" i="53"/>
  <c r="G1018" i="53"/>
  <c r="G1031" i="53"/>
  <c r="D35" i="46"/>
  <c r="E34" i="46"/>
  <c r="T1760" i="1" l="1"/>
  <c r="T1729" i="1" s="1"/>
  <c r="R1760" i="1"/>
  <c r="R1729" i="1" s="1"/>
  <c r="U1760" i="1"/>
  <c r="U1729" i="1" s="1"/>
  <c r="O1760" i="1"/>
  <c r="O1729" i="1" s="1"/>
  <c r="L1760" i="1"/>
  <c r="L1729" i="1" s="1"/>
  <c r="I1760" i="1"/>
  <c r="I1729" i="1" s="1"/>
  <c r="V1760" i="1"/>
  <c r="V1729" i="1" s="1"/>
  <c r="X1760" i="1"/>
  <c r="X1729" i="1" s="1"/>
  <c r="AE1760" i="1"/>
  <c r="AE1729" i="1" s="1"/>
  <c r="AC1760" i="1"/>
  <c r="AC1729" i="1" s="1"/>
  <c r="N1760" i="1"/>
  <c r="N1729" i="1" s="1"/>
  <c r="AA1760" i="1"/>
  <c r="AA1729" i="1" s="1"/>
  <c r="M1760" i="1"/>
  <c r="M1729" i="1" s="1"/>
  <c r="P1760" i="1"/>
  <c r="P1729" i="1" s="1"/>
  <c r="AB1760" i="1"/>
  <c r="AB1729" i="1" s="1"/>
  <c r="Y1760" i="1"/>
  <c r="Y1729" i="1" s="1"/>
  <c r="AD1760" i="1"/>
  <c r="AD1729" i="1" s="1"/>
  <c r="W1760" i="1"/>
  <c r="W1729" i="1" s="1"/>
  <c r="J1760" i="1"/>
  <c r="J1729" i="1" s="1"/>
  <c r="L1729" i="53" s="1"/>
  <c r="K1760" i="1"/>
  <c r="K1729" i="1" s="1"/>
  <c r="P1729" i="53" s="1"/>
  <c r="S1760" i="1"/>
  <c r="S1729" i="1" s="1"/>
  <c r="Z1760" i="1"/>
  <c r="Z1729" i="1" s="1"/>
  <c r="Q1760" i="1"/>
  <c r="Q1729" i="1" s="1"/>
  <c r="V1729" i="53"/>
  <c r="C1823" i="1"/>
  <c r="B14" i="3" s="1"/>
  <c r="B36" i="3" s="1"/>
  <c r="S949" i="53"/>
  <c r="S951" i="53" s="1"/>
  <c r="D15" i="3"/>
  <c r="D37" i="3" s="1"/>
  <c r="G788" i="1"/>
  <c r="G794" i="1" s="1"/>
  <c r="C1827" i="1"/>
  <c r="B18" i="3" s="1"/>
  <c r="B40" i="3" s="1"/>
  <c r="C1829" i="1"/>
  <c r="B20" i="3" s="1"/>
  <c r="B42" i="3" s="1"/>
  <c r="D11" i="3"/>
  <c r="D33" i="3" s="1"/>
  <c r="M948" i="1"/>
  <c r="G948" i="1" s="1"/>
  <c r="C1825" i="1"/>
  <c r="B16" i="3" s="1"/>
  <c r="B38" i="3" s="1"/>
  <c r="D16" i="3"/>
  <c r="D38" i="3" s="1"/>
  <c r="F48" i="4"/>
  <c r="F48" i="49" s="1"/>
  <c r="K1378" i="1"/>
  <c r="K1401" i="1" s="1"/>
  <c r="D10" i="3"/>
  <c r="D32" i="3" s="1"/>
  <c r="C1819" i="1"/>
  <c r="B10" i="3" s="1"/>
  <c r="B32" i="3" s="1"/>
  <c r="C1826" i="1"/>
  <c r="B17" i="3" s="1"/>
  <c r="B39" i="3" s="1"/>
  <c r="D17" i="3"/>
  <c r="D39" i="3" s="1"/>
  <c r="K199" i="1"/>
  <c r="G197" i="1"/>
  <c r="C1818" i="1"/>
  <c r="B9" i="3" s="1"/>
  <c r="B31" i="3" s="1"/>
  <c r="G1832" i="1"/>
  <c r="H1819" i="1" s="1"/>
  <c r="D9" i="3"/>
  <c r="D31" i="3" s="1"/>
  <c r="J1378" i="1"/>
  <c r="J1401" i="1" s="1"/>
  <c r="E48" i="4"/>
  <c r="E48" i="49" s="1"/>
  <c r="I1180" i="1"/>
  <c r="G1180" i="1" s="1"/>
  <c r="G1016" i="1"/>
  <c r="L1307" i="1"/>
  <c r="G81" i="4" s="1"/>
  <c r="G81" i="49" s="1"/>
  <c r="M946" i="1"/>
  <c r="G48" i="4"/>
  <c r="G48" i="49" s="1"/>
  <c r="L1378" i="1"/>
  <c r="L1401" i="1" s="1"/>
  <c r="D11" i="4"/>
  <c r="D11" i="49" s="1"/>
  <c r="G1215" i="1"/>
  <c r="D12" i="3"/>
  <c r="D34" i="3" s="1"/>
  <c r="C1821" i="1"/>
  <c r="B12" i="3" s="1"/>
  <c r="B34" i="3" s="1"/>
  <c r="D21" i="3"/>
  <c r="D43" i="3" s="1"/>
  <c r="C1830" i="1"/>
  <c r="B21" i="3" s="1"/>
  <c r="B43" i="3" s="1"/>
  <c r="G947" i="1"/>
  <c r="M1227" i="1"/>
  <c r="M1413" i="1"/>
  <c r="G1413" i="1" s="1"/>
  <c r="G1873" i="1"/>
  <c r="I1874" i="1"/>
  <c r="C1828" i="1"/>
  <c r="B19" i="3" s="1"/>
  <c r="B41" i="3" s="1"/>
  <c r="D19" i="3"/>
  <c r="D41" i="3" s="1"/>
  <c r="I1399" i="1"/>
  <c r="G1399" i="1" s="1"/>
  <c r="G1376" i="1"/>
  <c r="C1822" i="1"/>
  <c r="B13" i="3" s="1"/>
  <c r="B35" i="3" s="1"/>
  <c r="D13" i="3"/>
  <c r="D35" i="3" s="1"/>
  <c r="D22" i="3"/>
  <c r="D44" i="3" s="1"/>
  <c r="C1831" i="1"/>
  <c r="B22" i="3" s="1"/>
  <c r="B44" i="3" s="1"/>
  <c r="E35" i="46"/>
  <c r="D36" i="46"/>
  <c r="U1729" i="53" l="1"/>
  <c r="J1729" i="53"/>
  <c r="I1729" i="53"/>
  <c r="G1729" i="1"/>
  <c r="O1729" i="53"/>
  <c r="K1729" i="53"/>
  <c r="M1729" i="53"/>
  <c r="S1729" i="53"/>
  <c r="T1729" i="53"/>
  <c r="Q1729" i="53"/>
  <c r="R1729" i="53"/>
  <c r="N1729" i="53"/>
  <c r="I1730" i="1"/>
  <c r="J1727" i="1" s="1"/>
  <c r="J1730" i="1" s="1"/>
  <c r="K1727" i="1" s="1"/>
  <c r="K1730" i="1" s="1"/>
  <c r="L1727" i="1" s="1"/>
  <c r="L1730" i="1" s="1"/>
  <c r="M1727" i="1" s="1"/>
  <c r="M1730" i="1" s="1"/>
  <c r="N1727" i="1" s="1"/>
  <c r="N1730" i="1" s="1"/>
  <c r="O1727" i="1" s="1"/>
  <c r="O1730" i="1" s="1"/>
  <c r="P1727" i="1" s="1"/>
  <c r="P1730" i="1" s="1"/>
  <c r="Q1727" i="1" s="1"/>
  <c r="Q1730" i="1" s="1"/>
  <c r="R1727" i="1" s="1"/>
  <c r="R1730" i="1" s="1"/>
  <c r="S1727" i="1" s="1"/>
  <c r="S1730" i="1" s="1"/>
  <c r="T1727" i="1" s="1"/>
  <c r="T1730" i="1" s="1"/>
  <c r="U1727" i="1" s="1"/>
  <c r="U1730" i="1" s="1"/>
  <c r="V1727" i="1" s="1"/>
  <c r="V1730" i="1" s="1"/>
  <c r="W1727" i="1" s="1"/>
  <c r="W1730" i="1" s="1"/>
  <c r="X1727" i="1" s="1"/>
  <c r="X1730" i="1" s="1"/>
  <c r="Y1727" i="1" s="1"/>
  <c r="Y1730" i="1" s="1"/>
  <c r="Z1727" i="1" s="1"/>
  <c r="Z1730" i="1" s="1"/>
  <c r="AA1727" i="1" s="1"/>
  <c r="AA1730" i="1" s="1"/>
  <c r="AB1727" i="1" s="1"/>
  <c r="AB1730" i="1" s="1"/>
  <c r="AC1727" i="1" s="1"/>
  <c r="AC1730" i="1" s="1"/>
  <c r="AD1727" i="1" s="1"/>
  <c r="AD1730" i="1" s="1"/>
  <c r="AE1727" i="1" s="1"/>
  <c r="AE1730" i="1" s="1"/>
  <c r="S1415" i="53"/>
  <c r="S1229" i="53"/>
  <c r="S1264" i="53"/>
  <c r="S1307" i="53"/>
  <c r="T946" i="53"/>
  <c r="M1228" i="1"/>
  <c r="H24" i="4" s="1"/>
  <c r="H24" i="49" s="1"/>
  <c r="H1831" i="1"/>
  <c r="H1822" i="1"/>
  <c r="M1414" i="1"/>
  <c r="G1414" i="1" s="1"/>
  <c r="M949" i="1"/>
  <c r="M951" i="1" s="1"/>
  <c r="M1229" i="1" s="1"/>
  <c r="H25" i="4" s="1"/>
  <c r="H25" i="49" s="1"/>
  <c r="H1830" i="1"/>
  <c r="H1818" i="1"/>
  <c r="H1828" i="1"/>
  <c r="H1821" i="1"/>
  <c r="H23" i="4"/>
  <c r="H23" i="49" s="1"/>
  <c r="G1227" i="1"/>
  <c r="D48" i="4"/>
  <c r="D48" i="49" s="1"/>
  <c r="G1256" i="1"/>
  <c r="I1378" i="1"/>
  <c r="D45" i="3"/>
  <c r="K922" i="1"/>
  <c r="K941" i="1" s="1"/>
  <c r="K943" i="1" s="1"/>
  <c r="G199" i="1"/>
  <c r="H1826" i="1"/>
  <c r="H1829" i="1"/>
  <c r="H1824" i="1"/>
  <c r="H1823" i="1"/>
  <c r="H1820" i="1"/>
  <c r="H1827" i="1"/>
  <c r="H1825" i="1"/>
  <c r="I1886" i="1"/>
  <c r="G1886" i="1" s="1"/>
  <c r="G1874" i="1"/>
  <c r="D37" i="46"/>
  <c r="E36" i="46"/>
  <c r="G1729" i="53" l="1"/>
  <c r="I1730" i="53"/>
  <c r="J1727" i="53" s="1"/>
  <c r="J1730" i="53" s="1"/>
  <c r="K1727" i="53" s="1"/>
  <c r="K1730" i="53" s="1"/>
  <c r="L1727" i="53" s="1"/>
  <c r="L1730" i="53" s="1"/>
  <c r="M1727" i="53" s="1"/>
  <c r="M1730" i="53" s="1"/>
  <c r="N1727" i="53" s="1"/>
  <c r="N1730" i="53" s="1"/>
  <c r="O1727" i="53" s="1"/>
  <c r="O1730" i="53" s="1"/>
  <c r="P1727" i="53" s="1"/>
  <c r="P1730" i="53" s="1"/>
  <c r="Q1727" i="53" s="1"/>
  <c r="Q1730" i="53" s="1"/>
  <c r="R1727" i="53" s="1"/>
  <c r="R1730" i="53" s="1"/>
  <c r="S1727" i="53" s="1"/>
  <c r="S1730" i="53" s="1"/>
  <c r="T1727" i="53" s="1"/>
  <c r="T1730" i="53" s="1"/>
  <c r="U1727" i="53" s="1"/>
  <c r="U1730" i="53" s="1"/>
  <c r="V1727" i="53" s="1"/>
  <c r="V1730" i="53" s="1"/>
  <c r="T949" i="53"/>
  <c r="T951" i="53" s="1"/>
  <c r="K951" i="1" s="1"/>
  <c r="M1018" i="1"/>
  <c r="G1228" i="1"/>
  <c r="M1415" i="1"/>
  <c r="M1264" i="1"/>
  <c r="H56" i="4" s="1"/>
  <c r="H56" i="49" s="1"/>
  <c r="M1182" i="1"/>
  <c r="M1031" i="1"/>
  <c r="N946" i="1"/>
  <c r="N949" i="1" s="1"/>
  <c r="N951" i="1" s="1"/>
  <c r="N1415" i="1" s="1"/>
  <c r="M1307" i="1"/>
  <c r="H81" i="4" s="1"/>
  <c r="H81" i="49" s="1"/>
  <c r="H1832" i="1"/>
  <c r="I1401" i="1"/>
  <c r="G1401" i="1" s="1"/>
  <c r="G1378" i="1"/>
  <c r="E37" i="46"/>
  <c r="D38" i="46"/>
  <c r="K1182" i="1" l="1"/>
  <c r="K1031" i="1"/>
  <c r="K1415" i="1"/>
  <c r="K1018" i="1"/>
  <c r="T1415" i="53"/>
  <c r="T1264" i="53"/>
  <c r="K1264" i="1" s="1"/>
  <c r="F56" i="4" s="1"/>
  <c r="F56" i="49" s="1"/>
  <c r="T1229" i="53"/>
  <c r="K1229" i="1" s="1"/>
  <c r="F25" i="4" s="1"/>
  <c r="F25" i="49" s="1"/>
  <c r="T1307" i="53"/>
  <c r="U946" i="53"/>
  <c r="N1307" i="1"/>
  <c r="I81" i="4" s="1"/>
  <c r="I81" i="49" s="1"/>
  <c r="N1182" i="1"/>
  <c r="N1264" i="1"/>
  <c r="I56" i="4" s="1"/>
  <c r="I56" i="49" s="1"/>
  <c r="N1031" i="1"/>
  <c r="N1229" i="1"/>
  <c r="I25" i="4" s="1"/>
  <c r="I25" i="49" s="1"/>
  <c r="N1018" i="1"/>
  <c r="O946" i="1"/>
  <c r="O949" i="1" s="1"/>
  <c r="O951" i="1" s="1"/>
  <c r="D39" i="46"/>
  <c r="E38" i="46"/>
  <c r="U949" i="53" l="1"/>
  <c r="U951" i="53" s="1"/>
  <c r="O1031" i="1"/>
  <c r="O1182" i="1"/>
  <c r="O1229" i="1"/>
  <c r="J25" i="4" s="1"/>
  <c r="J25" i="49" s="1"/>
  <c r="O1018" i="1"/>
  <c r="O1264" i="1"/>
  <c r="J56" i="4" s="1"/>
  <c r="J56" i="49" s="1"/>
  <c r="O1415" i="1"/>
  <c r="O1307" i="1"/>
  <c r="J81" i="4" s="1"/>
  <c r="J81" i="49" s="1"/>
  <c r="P946" i="1"/>
  <c r="P949" i="1" s="1"/>
  <c r="D40" i="46"/>
  <c r="E39" i="46"/>
  <c r="U1229" i="53" l="1"/>
  <c r="U1415" i="53"/>
  <c r="U1264" i="53"/>
  <c r="V946" i="53"/>
  <c r="U1307" i="53"/>
  <c r="P951" i="1"/>
  <c r="P1307" i="1"/>
  <c r="Q946" i="1"/>
  <c r="Q949" i="1" s="1"/>
  <c r="E40" i="46"/>
  <c r="D41" i="46"/>
  <c r="V949" i="53" l="1"/>
  <c r="V1307" i="53" s="1"/>
  <c r="Q951" i="1"/>
  <c r="Q1307" i="1"/>
  <c r="R946" i="1"/>
  <c r="R949" i="1" s="1"/>
  <c r="P1264" i="1"/>
  <c r="P1018" i="1"/>
  <c r="P1415" i="1"/>
  <c r="P1031" i="1"/>
  <c r="P1182" i="1"/>
  <c r="P1229" i="1"/>
  <c r="E41" i="46"/>
  <c r="D42" i="46"/>
  <c r="V951" i="53" l="1"/>
  <c r="V1229" i="53" s="1"/>
  <c r="R951" i="1"/>
  <c r="R1307" i="1"/>
  <c r="S946" i="1"/>
  <c r="S949" i="1" s="1"/>
  <c r="Q1264" i="1"/>
  <c r="Q1182" i="1"/>
  <c r="Q1415" i="1"/>
  <c r="Q1018" i="1"/>
  <c r="Q1031" i="1"/>
  <c r="Q1229" i="1"/>
  <c r="E42" i="46"/>
  <c r="D43" i="46"/>
  <c r="L951" i="1" l="1"/>
  <c r="L1031" i="1" s="1"/>
  <c r="G951" i="53"/>
  <c r="V1415" i="53"/>
  <c r="G1415" i="53" s="1"/>
  <c r="V1264" i="53"/>
  <c r="L1264" i="1" s="1"/>
  <c r="G56" i="4" s="1"/>
  <c r="G56" i="49" s="1"/>
  <c r="L1229" i="1"/>
  <c r="G25" i="4" s="1"/>
  <c r="G25" i="49" s="1"/>
  <c r="G1229" i="53"/>
  <c r="S951" i="1"/>
  <c r="S1307" i="1"/>
  <c r="T946" i="1"/>
  <c r="T949" i="1" s="1"/>
  <c r="R1264" i="1"/>
  <c r="R1018" i="1"/>
  <c r="R1031" i="1"/>
  <c r="R1182" i="1"/>
  <c r="R1229" i="1"/>
  <c r="R1415" i="1"/>
  <c r="D44" i="46"/>
  <c r="E43" i="46"/>
  <c r="L1018" i="1" l="1"/>
  <c r="L1182" i="1"/>
  <c r="L1415" i="1"/>
  <c r="G1264" i="53"/>
  <c r="S1018" i="1"/>
  <c r="S1031" i="1"/>
  <c r="S1415" i="1"/>
  <c r="S1229" i="1"/>
  <c r="S1264" i="1"/>
  <c r="S1182" i="1"/>
  <c r="T951" i="1"/>
  <c r="U946" i="1"/>
  <c r="T1307" i="1"/>
  <c r="D45" i="46"/>
  <c r="E44" i="46"/>
  <c r="U949" i="1" l="1"/>
  <c r="U951" i="1" s="1"/>
  <c r="T1415" i="1"/>
  <c r="T1229" i="1"/>
  <c r="T1018" i="1"/>
  <c r="T1031" i="1"/>
  <c r="T1182" i="1"/>
  <c r="T1264" i="1"/>
  <c r="D46" i="46"/>
  <c r="E45" i="46"/>
  <c r="U1182" i="1" l="1"/>
  <c r="U1229" i="1"/>
  <c r="U1264" i="1"/>
  <c r="U1031" i="1"/>
  <c r="U1018" i="1"/>
  <c r="U1415" i="1"/>
  <c r="U1307" i="1"/>
  <c r="V946" i="1"/>
  <c r="V949" i="1" s="1"/>
  <c r="D47" i="46"/>
  <c r="E46" i="46"/>
  <c r="V951" i="1" l="1"/>
  <c r="W946" i="1"/>
  <c r="W949" i="1" s="1"/>
  <c r="V1307" i="1"/>
  <c r="D48" i="46"/>
  <c r="E47" i="46"/>
  <c r="V1415" i="1" l="1"/>
  <c r="V1182" i="1"/>
  <c r="V1018" i="1"/>
  <c r="V1031" i="1"/>
  <c r="V1264" i="1"/>
  <c r="V1229" i="1"/>
  <c r="W951" i="1"/>
  <c r="W1307" i="1"/>
  <c r="X946" i="1"/>
  <c r="X949" i="1" s="1"/>
  <c r="D49" i="46"/>
  <c r="E48" i="46"/>
  <c r="W1264" i="1" l="1"/>
  <c r="W1415" i="1"/>
  <c r="W1229" i="1"/>
  <c r="W1018" i="1"/>
  <c r="W1182" i="1"/>
  <c r="W1031" i="1"/>
  <c r="X951" i="1"/>
  <c r="X1307" i="1"/>
  <c r="Y946" i="1"/>
  <c r="Y949" i="1" s="1"/>
  <c r="E49" i="46"/>
  <c r="D50" i="46"/>
  <c r="Y951" i="1" l="1"/>
  <c r="Z946" i="1"/>
  <c r="Z949" i="1" s="1"/>
  <c r="Y1307" i="1"/>
  <c r="X1415" i="1"/>
  <c r="X1264" i="1"/>
  <c r="X1018" i="1"/>
  <c r="X1031" i="1"/>
  <c r="X1182" i="1"/>
  <c r="X1229" i="1"/>
  <c r="E50" i="46"/>
  <c r="D51" i="46"/>
  <c r="Z951" i="1" l="1"/>
  <c r="Z1307" i="1"/>
  <c r="AA946" i="1"/>
  <c r="Y1229" i="1"/>
  <c r="Y1018" i="1"/>
  <c r="Y1264" i="1"/>
  <c r="Y1182" i="1"/>
  <c r="Y1415" i="1"/>
  <c r="Y1031" i="1"/>
  <c r="E51" i="46"/>
  <c r="D52" i="46"/>
  <c r="Z1018" i="1" l="1"/>
  <c r="Z1229" i="1"/>
  <c r="Z1415" i="1"/>
  <c r="Z1031" i="1"/>
  <c r="Z1264" i="1"/>
  <c r="Z1182" i="1"/>
  <c r="AA949" i="1"/>
  <c r="AA951" i="1" s="1"/>
  <c r="E52" i="46"/>
  <c r="D53" i="46"/>
  <c r="AB946" i="1" l="1"/>
  <c r="AB949" i="1" s="1"/>
  <c r="AA1307" i="1"/>
  <c r="AA1018" i="1"/>
  <c r="AA1031" i="1"/>
  <c r="AA1415" i="1"/>
  <c r="AA1229" i="1"/>
  <c r="AA1264" i="1"/>
  <c r="AA1182" i="1"/>
  <c r="E53" i="46"/>
  <c r="D54" i="46"/>
  <c r="AB951" i="1" l="1"/>
  <c r="AB1307" i="1"/>
  <c r="AC946" i="1"/>
  <c r="AC949" i="1" s="1"/>
  <c r="E54" i="46"/>
  <c r="D55" i="46"/>
  <c r="AB1264" i="1" l="1"/>
  <c r="AB1229" i="1"/>
  <c r="AB1018" i="1"/>
  <c r="AB1415" i="1"/>
  <c r="AB1031" i="1"/>
  <c r="AB1182" i="1"/>
  <c r="AC951" i="1"/>
  <c r="AD946" i="1"/>
  <c r="AD949" i="1" s="1"/>
  <c r="AC1307" i="1"/>
  <c r="D56" i="46"/>
  <c r="E55" i="46"/>
  <c r="AD951" i="1" l="1"/>
  <c r="AD1307" i="1"/>
  <c r="AE946" i="1"/>
  <c r="AC1229" i="1"/>
  <c r="AC1018" i="1"/>
  <c r="AC1264" i="1"/>
  <c r="AC1182" i="1"/>
  <c r="AC1415" i="1"/>
  <c r="AC1031" i="1"/>
  <c r="D57" i="46"/>
  <c r="E56" i="46"/>
  <c r="AD1415" i="1" l="1"/>
  <c r="AD1182" i="1"/>
  <c r="AD1229" i="1"/>
  <c r="AD1031" i="1"/>
  <c r="AD1264" i="1"/>
  <c r="AD1018" i="1"/>
  <c r="AE949" i="1"/>
  <c r="AE1307" i="1" s="1"/>
  <c r="E57" i="46"/>
  <c r="D58" i="46"/>
  <c r="AE951" i="1" l="1"/>
  <c r="G951" i="1" s="1"/>
  <c r="E58" i="46"/>
  <c r="D59" i="46"/>
  <c r="AE1229" i="1" l="1"/>
  <c r="G1229" i="1" s="1"/>
  <c r="AE1182" i="1"/>
  <c r="G1182" i="1" s="1"/>
  <c r="AE1018" i="1"/>
  <c r="G1018" i="1" s="1"/>
  <c r="AE1415" i="1"/>
  <c r="G1415" i="1" s="1"/>
  <c r="AE1031" i="1"/>
  <c r="G1031" i="1" s="1"/>
  <c r="AE1264" i="1"/>
  <c r="G1264" i="1" s="1"/>
  <c r="D60" i="46"/>
  <c r="E59" i="46"/>
  <c r="D61" i="46" l="1"/>
  <c r="E60" i="46"/>
  <c r="D62" i="46" l="1"/>
  <c r="E61" i="46"/>
  <c r="D63" i="46" l="1"/>
  <c r="E62" i="46"/>
  <c r="D64" i="46" l="1"/>
  <c r="E63" i="46"/>
  <c r="D65" i="46" l="1"/>
  <c r="E64" i="46"/>
  <c r="D66" i="46" l="1"/>
  <c r="E66" i="46" s="1"/>
  <c r="E65" i="46"/>
  <c r="G1113" i="53" l="1"/>
  <c r="G1082" i="53"/>
  <c r="G1046" i="53"/>
  <c r="G1042" i="53"/>
  <c r="G1117" i="53" l="1"/>
  <c r="G1125" i="53"/>
  <c r="G1093" i="53"/>
  <c r="G1158" i="53"/>
  <c r="G1147" i="53" l="1"/>
  <c r="G1141" i="53" l="1"/>
  <c r="E986" i="53" l="1"/>
  <c r="G1137" i="53"/>
  <c r="I1536" i="53" l="1"/>
  <c r="J1534" i="53" s="1"/>
  <c r="J1536" i="53" l="1"/>
  <c r="K1534" i="53" s="1"/>
  <c r="K1536" i="53" s="1"/>
  <c r="L1534" i="53" s="1"/>
  <c r="I766" i="53" l="1"/>
  <c r="I790" i="53" s="1"/>
  <c r="I796" i="53" s="1"/>
  <c r="I769" i="53"/>
  <c r="I771" i="53" s="1"/>
  <c r="I791" i="53" l="1"/>
  <c r="I1214" i="53" s="1"/>
  <c r="I779" i="53"/>
  <c r="I780" i="53" s="1"/>
  <c r="I781" i="53" s="1"/>
  <c r="I1255" i="53" l="1"/>
  <c r="I1377" i="53" s="1"/>
  <c r="I1390" i="53" s="1"/>
  <c r="I929" i="53"/>
  <c r="I930" i="53" s="1"/>
  <c r="I797" i="53"/>
  <c r="I916" i="53" s="1"/>
  <c r="I917" i="53" s="1"/>
  <c r="I1400" i="53" l="1"/>
  <c r="I1447" i="53" s="1"/>
  <c r="I1257" i="53"/>
  <c r="I1299" i="53"/>
  <c r="I1428" i="53"/>
  <c r="I764" i="1" l="1"/>
  <c r="I769" i="1" s="1"/>
  <c r="I771" i="1" s="1"/>
  <c r="J764" i="1"/>
  <c r="K764" i="1"/>
  <c r="K769" i="1" s="1"/>
  <c r="L764" i="1"/>
  <c r="L769" i="1" s="1"/>
  <c r="L771" i="1" s="1"/>
  <c r="G764" i="53"/>
  <c r="J766" i="53"/>
  <c r="J779" i="53" s="1"/>
  <c r="J780" i="53" s="1"/>
  <c r="J781" i="53" s="1"/>
  <c r="K766" i="53"/>
  <c r="K790" i="53" s="1"/>
  <c r="K796" i="53" s="1"/>
  <c r="L766" i="53"/>
  <c r="L779" i="53" s="1"/>
  <c r="L780" i="53" s="1"/>
  <c r="L781" i="53" s="1"/>
  <c r="M766" i="53"/>
  <c r="M779" i="53" s="1"/>
  <c r="M780" i="53" s="1"/>
  <c r="M781" i="53" s="1"/>
  <c r="N766" i="53"/>
  <c r="N779" i="53" s="1"/>
  <c r="N780" i="53" s="1"/>
  <c r="N781" i="53" s="1"/>
  <c r="O766" i="53"/>
  <c r="O779" i="53" s="1"/>
  <c r="O780" i="53" s="1"/>
  <c r="O781" i="53" s="1"/>
  <c r="P766" i="53"/>
  <c r="P779" i="53" s="1"/>
  <c r="P780" i="53" s="1"/>
  <c r="P781" i="53" s="1"/>
  <c r="Q766" i="53"/>
  <c r="Q779" i="53" s="1"/>
  <c r="Q780" i="53" s="1"/>
  <c r="Q781" i="53" s="1"/>
  <c r="R766" i="53"/>
  <c r="R779" i="53" s="1"/>
  <c r="R780" i="53" s="1"/>
  <c r="R781" i="53" s="1"/>
  <c r="S766" i="53"/>
  <c r="S779" i="53" s="1"/>
  <c r="S780" i="53" s="1"/>
  <c r="S781" i="53" s="1"/>
  <c r="T766" i="53"/>
  <c r="T779" i="53" s="1"/>
  <c r="T780" i="53" s="1"/>
  <c r="T781" i="53" s="1"/>
  <c r="U766" i="53"/>
  <c r="U779" i="53" s="1"/>
  <c r="U780" i="53" s="1"/>
  <c r="U781" i="53" s="1"/>
  <c r="V766" i="53"/>
  <c r="V779" i="53" s="1"/>
  <c r="V780" i="53" s="1"/>
  <c r="V781" i="53" s="1"/>
  <c r="J769" i="53"/>
  <c r="J771" i="53" s="1"/>
  <c r="K769" i="53"/>
  <c r="K771" i="53" s="1"/>
  <c r="L769" i="53"/>
  <c r="L771" i="53" s="1"/>
  <c r="M769" i="53"/>
  <c r="M771" i="53" s="1"/>
  <c r="N769" i="53"/>
  <c r="N771" i="53" s="1"/>
  <c r="O769" i="53"/>
  <c r="O771" i="53" s="1"/>
  <c r="P769" i="53"/>
  <c r="P771" i="53" s="1"/>
  <c r="Q769" i="53"/>
  <c r="Q771" i="53" s="1"/>
  <c r="R769" i="53"/>
  <c r="R771" i="53" s="1"/>
  <c r="S769" i="53"/>
  <c r="S771" i="53" s="1"/>
  <c r="T769" i="53"/>
  <c r="T771" i="53" s="1"/>
  <c r="U769" i="53"/>
  <c r="U771" i="53" s="1"/>
  <c r="V769" i="53"/>
  <c r="V771" i="53" s="1"/>
  <c r="M790" i="53" l="1"/>
  <c r="M796" i="53" s="1"/>
  <c r="Q790" i="53"/>
  <c r="Q791" i="53" s="1"/>
  <c r="Q929" i="53" s="1"/>
  <c r="Q930" i="53" s="1"/>
  <c r="N790" i="53"/>
  <c r="N796" i="53" s="1"/>
  <c r="V790" i="53"/>
  <c r="V791" i="53" s="1"/>
  <c r="V929" i="53" s="1"/>
  <c r="V930" i="53" s="1"/>
  <c r="U790" i="53"/>
  <c r="U791" i="53" s="1"/>
  <c r="U1214" i="53" s="1"/>
  <c r="U1255" i="53" s="1"/>
  <c r="U1257" i="53" s="1"/>
  <c r="L766" i="1"/>
  <c r="L790" i="1" s="1"/>
  <c r="L796" i="1" s="1"/>
  <c r="O790" i="53"/>
  <c r="O791" i="53" s="1"/>
  <c r="O1214" i="53" s="1"/>
  <c r="J790" i="53"/>
  <c r="J791" i="53" s="1"/>
  <c r="J797" i="53" s="1"/>
  <c r="J916" i="53" s="1"/>
  <c r="T790" i="53"/>
  <c r="T791" i="53" s="1"/>
  <c r="T1214" i="53" s="1"/>
  <c r="T1255" i="53" s="1"/>
  <c r="T1377" i="53" s="1"/>
  <c r="R790" i="53"/>
  <c r="R791" i="53" s="1"/>
  <c r="R1214" i="53" s="1"/>
  <c r="R1255" i="53" s="1"/>
  <c r="R1257" i="53" s="1"/>
  <c r="P790" i="53"/>
  <c r="L790" i="53"/>
  <c r="G769" i="1"/>
  <c r="S790" i="53"/>
  <c r="S791" i="53" s="1"/>
  <c r="S1214" i="53" s="1"/>
  <c r="K771" i="1"/>
  <c r="G771" i="1" s="1"/>
  <c r="I766" i="1"/>
  <c r="G771" i="53"/>
  <c r="K791" i="53"/>
  <c r="G769" i="53"/>
  <c r="G766" i="53"/>
  <c r="K779" i="53"/>
  <c r="J769" i="1"/>
  <c r="J771" i="1" s="1"/>
  <c r="J766" i="1"/>
  <c r="G764" i="1"/>
  <c r="K766" i="1"/>
  <c r="L791" i="1" l="1"/>
  <c r="L1015" i="1" s="1"/>
  <c r="L1179" i="1" s="1"/>
  <c r="Q796" i="53"/>
  <c r="Q1214" i="53"/>
  <c r="Q1255" i="53" s="1"/>
  <c r="Q1257" i="53" s="1"/>
  <c r="Q797" i="53"/>
  <c r="Q916" i="53" s="1"/>
  <c r="Q917" i="53" s="1"/>
  <c r="Q1299" i="53" s="1"/>
  <c r="M791" i="53"/>
  <c r="M797" i="53" s="1"/>
  <c r="M916" i="53" s="1"/>
  <c r="M917" i="53" s="1"/>
  <c r="O1255" i="53"/>
  <c r="O1257" i="53" s="1"/>
  <c r="J917" i="53"/>
  <c r="J1299" i="53" s="1"/>
  <c r="V1214" i="53"/>
  <c r="V1255" i="53" s="1"/>
  <c r="V1257" i="53" s="1"/>
  <c r="S1255" i="53"/>
  <c r="N791" i="53"/>
  <c r="N929" i="53" s="1"/>
  <c r="N930" i="53" s="1"/>
  <c r="U797" i="53"/>
  <c r="U916" i="53" s="1"/>
  <c r="U917" i="53" s="1"/>
  <c r="U1299" i="53" s="1"/>
  <c r="U929" i="53"/>
  <c r="U930" i="53" s="1"/>
  <c r="O929" i="53"/>
  <c r="O930" i="53" s="1"/>
  <c r="V797" i="53"/>
  <c r="V916" i="53" s="1"/>
  <c r="U796" i="53"/>
  <c r="O797" i="53"/>
  <c r="O916" i="53" s="1"/>
  <c r="O917" i="53" s="1"/>
  <c r="O1299" i="53" s="1"/>
  <c r="O796" i="53"/>
  <c r="V796" i="53"/>
  <c r="L779" i="1"/>
  <c r="L780" i="1" s="1"/>
  <c r="L781" i="1" s="1"/>
  <c r="T929" i="53"/>
  <c r="T930" i="53" s="1"/>
  <c r="T1257" i="53"/>
  <c r="T796" i="53"/>
  <c r="T797" i="53"/>
  <c r="T916" i="53" s="1"/>
  <c r="T917" i="53" s="1"/>
  <c r="T1299" i="53" s="1"/>
  <c r="J1214" i="53"/>
  <c r="J929" i="53"/>
  <c r="J930" i="53" s="1"/>
  <c r="J796" i="53"/>
  <c r="S797" i="53"/>
  <c r="S916" i="53" s="1"/>
  <c r="S917" i="53" s="1"/>
  <c r="S1299" i="53" s="1"/>
  <c r="S796" i="53"/>
  <c r="R929" i="53"/>
  <c r="R930" i="53" s="1"/>
  <c r="R797" i="53"/>
  <c r="R916" i="53" s="1"/>
  <c r="T1400" i="53"/>
  <c r="T1447" i="53" s="1"/>
  <c r="T1390" i="53"/>
  <c r="T1428" i="53" s="1"/>
  <c r="U1377" i="53"/>
  <c r="U1400" i="53" s="1"/>
  <c r="R796" i="53"/>
  <c r="S929" i="53"/>
  <c r="S930" i="53" s="1"/>
  <c r="L791" i="53"/>
  <c r="L796" i="53"/>
  <c r="P791" i="53"/>
  <c r="P796" i="53"/>
  <c r="J790" i="1"/>
  <c r="J779" i="1"/>
  <c r="J780" i="1" s="1"/>
  <c r="J781" i="1" s="1"/>
  <c r="I779" i="1"/>
  <c r="I780" i="1" s="1"/>
  <c r="I781" i="1" s="1"/>
  <c r="I790" i="1"/>
  <c r="G790" i="53"/>
  <c r="G796" i="53" s="1"/>
  <c r="R1377" i="53"/>
  <c r="R1400" i="53" s="1"/>
  <c r="K790" i="1"/>
  <c r="K796" i="1" s="1"/>
  <c r="G766" i="1"/>
  <c r="K779" i="1"/>
  <c r="K929" i="53"/>
  <c r="K930" i="53" s="1"/>
  <c r="K797" i="53"/>
  <c r="K916" i="53" s="1"/>
  <c r="K917" i="53" s="1"/>
  <c r="K1214" i="53"/>
  <c r="G779" i="53"/>
  <c r="K780" i="53"/>
  <c r="Q1377" i="53" l="1"/>
  <c r="Q1390" i="53" s="1"/>
  <c r="Q1428" i="53" s="1"/>
  <c r="M929" i="53"/>
  <c r="M930" i="53" s="1"/>
  <c r="N797" i="53"/>
  <c r="N916" i="53" s="1"/>
  <c r="N917" i="53" s="1"/>
  <c r="M1214" i="53"/>
  <c r="M1255" i="53" s="1"/>
  <c r="M1377" i="53" s="1"/>
  <c r="L797" i="1"/>
  <c r="L929" i="1"/>
  <c r="U1390" i="53"/>
  <c r="U1428" i="53" s="1"/>
  <c r="N1214" i="53"/>
  <c r="N1255" i="53" s="1"/>
  <c r="N1257" i="53" s="1"/>
  <c r="V1377" i="53"/>
  <c r="J1255" i="53"/>
  <c r="R917" i="53"/>
  <c r="R1299" i="53" s="1"/>
  <c r="K916" i="1"/>
  <c r="S1377" i="53"/>
  <c r="S1400" i="53" s="1"/>
  <c r="S1447" i="53" s="1"/>
  <c r="S1257" i="53"/>
  <c r="V917" i="53"/>
  <c r="O1377" i="53"/>
  <c r="L1028" i="1"/>
  <c r="K930" i="1"/>
  <c r="R1390" i="53"/>
  <c r="R1428" i="53" s="1"/>
  <c r="P1214" i="53"/>
  <c r="P929" i="53"/>
  <c r="P930" i="53" s="1"/>
  <c r="J930" i="1" s="1"/>
  <c r="P797" i="53"/>
  <c r="P916" i="53" s="1"/>
  <c r="P917" i="53" s="1"/>
  <c r="J796" i="1"/>
  <c r="J791" i="1"/>
  <c r="G791" i="53"/>
  <c r="G797" i="53" s="1"/>
  <c r="I796" i="1"/>
  <c r="G790" i="1"/>
  <c r="G796" i="1" s="1"/>
  <c r="I791" i="1"/>
  <c r="L1214" i="53"/>
  <c r="L1255" i="53" s="1"/>
  <c r="L929" i="53"/>
  <c r="L930" i="53" s="1"/>
  <c r="L930" i="1" s="1"/>
  <c r="L797" i="53"/>
  <c r="L916" i="53" s="1"/>
  <c r="M1299" i="53"/>
  <c r="K1255" i="53"/>
  <c r="R1447" i="53"/>
  <c r="G1015" i="53"/>
  <c r="U1447" i="53"/>
  <c r="G780" i="53"/>
  <c r="G781" i="53" s="1"/>
  <c r="K781" i="53"/>
  <c r="G779" i="1"/>
  <c r="K780" i="1"/>
  <c r="K781" i="1" s="1"/>
  <c r="K1299" i="53"/>
  <c r="K791" i="1"/>
  <c r="K797" i="1" s="1"/>
  <c r="I930" i="1" l="1"/>
  <c r="I1214" i="1"/>
  <c r="L917" i="53"/>
  <c r="L1299" i="53" s="1"/>
  <c r="I916" i="1"/>
  <c r="I1255" i="1"/>
  <c r="L1214" i="1"/>
  <c r="G10" i="4" s="1"/>
  <c r="G10" i="49" s="1"/>
  <c r="L916" i="1"/>
  <c r="L917" i="1" s="1"/>
  <c r="L1299" i="1" s="1"/>
  <c r="G73" i="4" s="1"/>
  <c r="G73" i="49" s="1"/>
  <c r="Q1400" i="53"/>
  <c r="Q1447" i="53" s="1"/>
  <c r="J916" i="1"/>
  <c r="M1257" i="53"/>
  <c r="N1377" i="53"/>
  <c r="N1390" i="53" s="1"/>
  <c r="N1428" i="53" s="1"/>
  <c r="J1257" i="53"/>
  <c r="S1390" i="53"/>
  <c r="S1428" i="53" s="1"/>
  <c r="J1377" i="53"/>
  <c r="J1400" i="53" s="1"/>
  <c r="J1447" i="53" s="1"/>
  <c r="V1400" i="53"/>
  <c r="V1447" i="53" s="1"/>
  <c r="V1390" i="53"/>
  <c r="V1428" i="53" s="1"/>
  <c r="N1299" i="53"/>
  <c r="O1400" i="53"/>
  <c r="O1447" i="53" s="1"/>
  <c r="O1390" i="53"/>
  <c r="O1428" i="53" s="1"/>
  <c r="J1214" i="1"/>
  <c r="P1255" i="53"/>
  <c r="J1255" i="1" s="1"/>
  <c r="K1214" i="1"/>
  <c r="V1299" i="53"/>
  <c r="G1214" i="53"/>
  <c r="L1257" i="53"/>
  <c r="L1377" i="53"/>
  <c r="G1179" i="53"/>
  <c r="I797" i="1"/>
  <c r="G791" i="1"/>
  <c r="G797" i="1" s="1"/>
  <c r="I1015" i="1"/>
  <c r="I929" i="1"/>
  <c r="J797" i="1"/>
  <c r="J1015" i="1"/>
  <c r="J929" i="1"/>
  <c r="P1299" i="53"/>
  <c r="M1400" i="53"/>
  <c r="M1447" i="53" s="1"/>
  <c r="M1390" i="53"/>
  <c r="M1428" i="53" s="1"/>
  <c r="K929" i="1"/>
  <c r="K1015" i="1"/>
  <c r="K917" i="1"/>
  <c r="G780" i="1"/>
  <c r="G781" i="1" s="1"/>
  <c r="K1257" i="53"/>
  <c r="K1377" i="53"/>
  <c r="N1400" i="53" l="1"/>
  <c r="N1447" i="53" s="1"/>
  <c r="I917" i="1"/>
  <c r="J917" i="1"/>
  <c r="J1299" i="1" s="1"/>
  <c r="E73" i="4" s="1"/>
  <c r="E73" i="49" s="1"/>
  <c r="K1255" i="1"/>
  <c r="L1255" i="1"/>
  <c r="J1390" i="53"/>
  <c r="J1428" i="53" s="1"/>
  <c r="G1255" i="53"/>
  <c r="P1257" i="53"/>
  <c r="G1257" i="53" s="1"/>
  <c r="P1377" i="53"/>
  <c r="G1377" i="53" s="1"/>
  <c r="G1028" i="53"/>
  <c r="J1179" i="1"/>
  <c r="J1028" i="1"/>
  <c r="D10" i="4"/>
  <c r="D10" i="49" s="1"/>
  <c r="E10" i="4"/>
  <c r="E10" i="49" s="1"/>
  <c r="I1299" i="1"/>
  <c r="D73" i="4" s="1"/>
  <c r="D73" i="49" s="1"/>
  <c r="L1390" i="53"/>
  <c r="L1428" i="53" s="1"/>
  <c r="L1400" i="53"/>
  <c r="L1447" i="53" s="1"/>
  <c r="I1179" i="1"/>
  <c r="I1028" i="1"/>
  <c r="K1028" i="1"/>
  <c r="G1015" i="1"/>
  <c r="K1179" i="1"/>
  <c r="F10" i="4"/>
  <c r="F10" i="49" s="1"/>
  <c r="G1214" i="1"/>
  <c r="K1390" i="53"/>
  <c r="K1400" i="53"/>
  <c r="K1299" i="1"/>
  <c r="F73" i="4" s="1"/>
  <c r="F73" i="49" s="1"/>
  <c r="L1257" i="1" l="1"/>
  <c r="G49" i="4" s="1"/>
  <c r="G49" i="49" s="1"/>
  <c r="G47" i="4"/>
  <c r="G47" i="49" s="1"/>
  <c r="L1377" i="1"/>
  <c r="P1400" i="53"/>
  <c r="P1447" i="53" s="1"/>
  <c r="P1390" i="53"/>
  <c r="P1428" i="53" s="1"/>
  <c r="E47" i="4"/>
  <c r="E47" i="49" s="1"/>
  <c r="J1377" i="1"/>
  <c r="J1257" i="1"/>
  <c r="E49" i="4" s="1"/>
  <c r="E49" i="49" s="1"/>
  <c r="I1377" i="1"/>
  <c r="D47" i="4"/>
  <c r="D47" i="49" s="1"/>
  <c r="I1257" i="1"/>
  <c r="D49" i="4" s="1"/>
  <c r="D49" i="49" s="1"/>
  <c r="K1447" i="53"/>
  <c r="K1428" i="53"/>
  <c r="G1028" i="1"/>
  <c r="G1179" i="1"/>
  <c r="F47" i="4"/>
  <c r="F47" i="49" s="1"/>
  <c r="G1255" i="1"/>
  <c r="K1257" i="1"/>
  <c r="K1377" i="1"/>
  <c r="J1447" i="1" l="1"/>
  <c r="I1447" i="1"/>
  <c r="L1447" i="1"/>
  <c r="L1390" i="1"/>
  <c r="L1428" i="1" s="1"/>
  <c r="L1400" i="1"/>
  <c r="K1447" i="1"/>
  <c r="G1400" i="53"/>
  <c r="I1400" i="1"/>
  <c r="I1390" i="1"/>
  <c r="I1428" i="1" s="1"/>
  <c r="J1400" i="1"/>
  <c r="J1390" i="1"/>
  <c r="J1428" i="1" s="1"/>
  <c r="G1377" i="1"/>
  <c r="K1390" i="1"/>
  <c r="K1400" i="1"/>
  <c r="F49" i="4"/>
  <c r="F49" i="49" s="1"/>
  <c r="G1257" i="1"/>
  <c r="G1400" i="1" l="1"/>
  <c r="K1428" i="1"/>
  <c r="G1181" i="53" l="1"/>
  <c r="G1183" i="53"/>
  <c r="G1184" i="53"/>
  <c r="G1186" i="53"/>
  <c r="G1187" i="53"/>
  <c r="G1188" i="53"/>
  <c r="G1189" i="53"/>
  <c r="G1190" i="53"/>
  <c r="G1192" i="53"/>
  <c r="G1193" i="53"/>
  <c r="G1194" i="53"/>
  <c r="G1196" i="53"/>
  <c r="G1198" i="53"/>
  <c r="G1094" i="53" l="1"/>
  <c r="G1166" i="53"/>
  <c r="G1167" i="53"/>
  <c r="G1168" i="53"/>
  <c r="G1170" i="53"/>
  <c r="G1171" i="53"/>
  <c r="G1172" i="53"/>
  <c r="G1020" i="53" l="1"/>
  <c r="G1159" i="53" l="1"/>
  <c r="E990" i="53" s="1"/>
  <c r="E992" i="53" l="1"/>
  <c r="C1171" i="53" l="1"/>
  <c r="C992" i="53"/>
  <c r="E993" i="53"/>
  <c r="G1142" i="53" l="1"/>
  <c r="G1148" i="53" l="1"/>
  <c r="G1110" i="53"/>
  <c r="G1112" i="53"/>
  <c r="G1118" i="53"/>
  <c r="G1126" i="53"/>
  <c r="G1102" i="53"/>
  <c r="G1103" i="53"/>
  <c r="G1083" i="53"/>
  <c r="G1039" i="53"/>
  <c r="G1041" i="53"/>
  <c r="G1047" i="53"/>
  <c r="G1030" i="53"/>
  <c r="G1032" i="53"/>
  <c r="G1033" i="53"/>
  <c r="G1017" i="53"/>
  <c r="G1019" i="53"/>
  <c r="G1021" i="53"/>
  <c r="M1865" i="1"/>
  <c r="N1865" i="1"/>
  <c r="O1865" i="1"/>
  <c r="P1865" i="1"/>
  <c r="Q1865" i="1"/>
  <c r="R1865" i="1"/>
  <c r="S1865" i="1"/>
  <c r="T1865" i="1"/>
  <c r="U1865" i="1"/>
  <c r="V1865" i="1"/>
  <c r="W1865" i="1"/>
  <c r="X1865" i="1"/>
  <c r="Y1865" i="1"/>
  <c r="Z1865" i="1"/>
  <c r="AA1865" i="1"/>
  <c r="AB1865" i="1"/>
  <c r="AC1865" i="1"/>
  <c r="AD1865" i="1"/>
  <c r="AE1865" i="1"/>
  <c r="M1457" i="1" l="1"/>
  <c r="N1457" i="1"/>
  <c r="O1457" i="1"/>
  <c r="P1457" i="1"/>
  <c r="Q1457" i="1"/>
  <c r="R1457" i="1"/>
  <c r="S1457" i="1"/>
  <c r="T1457" i="1"/>
  <c r="U1457" i="1"/>
  <c r="V1457" i="1"/>
  <c r="W1457" i="1"/>
  <c r="X1457" i="1"/>
  <c r="Y1457" i="1"/>
  <c r="Z1457" i="1"/>
  <c r="AA1457" i="1"/>
  <c r="AB1457" i="1"/>
  <c r="AC1457" i="1"/>
  <c r="AD1457" i="1"/>
  <c r="AE1457" i="1"/>
  <c r="I1536" i="1"/>
  <c r="J1534" i="1" s="1"/>
  <c r="I1578" i="53" l="1"/>
  <c r="J1578" i="53"/>
  <c r="K1578" i="53"/>
  <c r="L1578" i="53"/>
  <c r="J1535" i="1" l="1"/>
  <c r="G1535" i="53"/>
  <c r="L1536" i="53"/>
  <c r="M1534" i="53" s="1"/>
  <c r="M1536" i="53" s="1"/>
  <c r="N1534" i="53" s="1"/>
  <c r="N1536" i="53" s="1"/>
  <c r="O1534" i="53" s="1"/>
  <c r="O1536" i="53" s="1"/>
  <c r="P1534" i="53" s="1"/>
  <c r="P1536" i="53" s="1"/>
  <c r="Q1534" i="53" s="1"/>
  <c r="Q1536" i="53" s="1"/>
  <c r="R1534" i="53" s="1"/>
  <c r="R1536" i="53" s="1"/>
  <c r="S1534" i="53" s="1"/>
  <c r="S1536" i="53" s="1"/>
  <c r="T1534" i="53" s="1"/>
  <c r="T1536" i="53" s="1"/>
  <c r="U1534" i="53" s="1"/>
  <c r="U1536" i="53" s="1"/>
  <c r="V1534" i="53" s="1"/>
  <c r="V1536" i="53" s="1"/>
  <c r="J1536" i="1" l="1"/>
  <c r="K1534" i="1" s="1"/>
  <c r="K1536" i="1" s="1"/>
  <c r="L1534" i="1" s="1"/>
  <c r="L1536" i="1" s="1"/>
  <c r="M1534" i="1" s="1"/>
  <c r="E865" i="53" l="1"/>
  <c r="J865" i="53"/>
  <c r="I865" i="1" s="1"/>
  <c r="K865" i="53"/>
  <c r="L865" i="53"/>
  <c r="M865" i="53"/>
  <c r="N865" i="53"/>
  <c r="O865" i="53"/>
  <c r="P865" i="53"/>
  <c r="Q865" i="53"/>
  <c r="R865" i="53"/>
  <c r="S865" i="53"/>
  <c r="T865" i="53"/>
  <c r="U865" i="53"/>
  <c r="V865" i="53"/>
  <c r="L865" i="1" l="1"/>
  <c r="K865" i="1"/>
  <c r="J865" i="1"/>
  <c r="G865" i="53"/>
  <c r="G865" i="1" l="1"/>
  <c r="I828" i="53"/>
  <c r="I828" i="1"/>
  <c r="J828" i="53"/>
  <c r="J828" i="1"/>
  <c r="K823" i="1"/>
  <c r="K828" i="1" s="1"/>
  <c r="L823" i="1"/>
  <c r="L828" i="1" s="1"/>
  <c r="G823" i="53"/>
  <c r="K828" i="53"/>
  <c r="L828" i="53"/>
  <c r="M828" i="53"/>
  <c r="N828" i="53"/>
  <c r="O828" i="53"/>
  <c r="P828" i="53"/>
  <c r="Q828" i="53"/>
  <c r="R828" i="53"/>
  <c r="S828" i="53"/>
  <c r="T828" i="53"/>
  <c r="U828" i="53"/>
  <c r="V828" i="53"/>
  <c r="G828" i="1" l="1"/>
  <c r="G828" i="53"/>
  <c r="E1768" i="53" s="1"/>
  <c r="I1716" i="53"/>
  <c r="I1718" i="53" s="1"/>
  <c r="G823" i="1"/>
  <c r="J1716" i="53" l="1"/>
  <c r="J1234" i="53" s="1"/>
  <c r="J1405" i="53" s="1"/>
  <c r="J1715" i="53"/>
  <c r="J1717" i="53" s="1"/>
  <c r="I1234" i="53"/>
  <c r="I1405" i="53" s="1"/>
  <c r="E1768" i="1"/>
  <c r="C110" i="3" s="1"/>
  <c r="F110" i="3" s="1"/>
  <c r="I1720" i="53"/>
  <c r="I1309" i="53"/>
  <c r="J1718" i="53" l="1"/>
  <c r="J1235" i="53"/>
  <c r="C74" i="3"/>
  <c r="I1266" i="53"/>
  <c r="I1456" i="53"/>
  <c r="I1236" i="53"/>
  <c r="J1720" i="53"/>
  <c r="J1309" i="53"/>
  <c r="K1716" i="53"/>
  <c r="K1715" i="53"/>
  <c r="K1717" i="53" s="1"/>
  <c r="K1235" i="53" s="1"/>
  <c r="J1406" i="53" l="1"/>
  <c r="I1407" i="53"/>
  <c r="K1234" i="53"/>
  <c r="J1456" i="53"/>
  <c r="J1236" i="53"/>
  <c r="J1407" i="53" s="1"/>
  <c r="J1266" i="53"/>
  <c r="K1718" i="53"/>
  <c r="K1406" i="53" l="1"/>
  <c r="K1405" i="53"/>
  <c r="K1309" i="53"/>
  <c r="K1720" i="53"/>
  <c r="L1716" i="53"/>
  <c r="I1716" i="1" s="1"/>
  <c r="L1715" i="53"/>
  <c r="L1717" i="53" s="1"/>
  <c r="L1235" i="53" l="1"/>
  <c r="I1235" i="1" s="1"/>
  <c r="I1717" i="1"/>
  <c r="I1718" i="1" s="1"/>
  <c r="L1234" i="53"/>
  <c r="I1234" i="1" s="1"/>
  <c r="K1456" i="53"/>
  <c r="K1236" i="53"/>
  <c r="K1266" i="53"/>
  <c r="L1718" i="53"/>
  <c r="I1309" i="1" l="1"/>
  <c r="D83" i="4" s="1"/>
  <c r="D83" i="49" s="1"/>
  <c r="J1715" i="1"/>
  <c r="D31" i="4"/>
  <c r="D31" i="49" s="1"/>
  <c r="I1406" i="1"/>
  <c r="D30" i="4"/>
  <c r="D30" i="49" s="1"/>
  <c r="I1405" i="1"/>
  <c r="L1406" i="53"/>
  <c r="L1309" i="53"/>
  <c r="L1720" i="53"/>
  <c r="I1720" i="1" s="1"/>
  <c r="K1407" i="53"/>
  <c r="L1405" i="53"/>
  <c r="M1715" i="53"/>
  <c r="M1717" i="53" s="1"/>
  <c r="M1235" i="53" s="1"/>
  <c r="M1716" i="53"/>
  <c r="M1234" i="53" l="1"/>
  <c r="L1266" i="53"/>
  <c r="I1266" i="1" s="1"/>
  <c r="D58" i="4" s="1"/>
  <c r="D58" i="49" s="1"/>
  <c r="L1456" i="53"/>
  <c r="I1456" i="1" s="1"/>
  <c r="L1236" i="53"/>
  <c r="I1236" i="1" s="1"/>
  <c r="M1718" i="53"/>
  <c r="D32" i="4" l="1"/>
  <c r="D32" i="49" s="1"/>
  <c r="I1407" i="1"/>
  <c r="M1406" i="53"/>
  <c r="L1407" i="53"/>
  <c r="M1720" i="53"/>
  <c r="M1309" i="53"/>
  <c r="M1405" i="53"/>
  <c r="N1716" i="53"/>
  <c r="N1715" i="53"/>
  <c r="N1717" i="53" s="1"/>
  <c r="N1235" i="53" s="1"/>
  <c r="N1234" i="53" l="1"/>
  <c r="M1266" i="53"/>
  <c r="M1236" i="53"/>
  <c r="M1456" i="53"/>
  <c r="N1718" i="53"/>
  <c r="N1406" i="53" l="1"/>
  <c r="N1309" i="53"/>
  <c r="N1720" i="53"/>
  <c r="M1407" i="53"/>
  <c r="N1405" i="53"/>
  <c r="O1715" i="53"/>
  <c r="O1717" i="53" s="1"/>
  <c r="O1716" i="53"/>
  <c r="O1235" i="53" l="1"/>
  <c r="N1456" i="53"/>
  <c r="N1236" i="53"/>
  <c r="N1266" i="53"/>
  <c r="O1234" i="53"/>
  <c r="O1718" i="53"/>
  <c r="O1406" i="53" l="1"/>
  <c r="N1407" i="53"/>
  <c r="O1309" i="53"/>
  <c r="O1720" i="53"/>
  <c r="O1405" i="53"/>
  <c r="P1716" i="53"/>
  <c r="J1716" i="1" s="1"/>
  <c r="P1715" i="53"/>
  <c r="P1717" i="53" s="1"/>
  <c r="P1235" i="53" l="1"/>
  <c r="J1235" i="1" s="1"/>
  <c r="J1717" i="1"/>
  <c r="J1718" i="1" s="1"/>
  <c r="O1456" i="53"/>
  <c r="O1236" i="53"/>
  <c r="O1266" i="53"/>
  <c r="P1234" i="53"/>
  <c r="J1234" i="1" s="1"/>
  <c r="P1718" i="53"/>
  <c r="K1715" i="1" l="1"/>
  <c r="J1309" i="1"/>
  <c r="E83" i="4" s="1"/>
  <c r="E83" i="49" s="1"/>
  <c r="J1405" i="1"/>
  <c r="E30" i="4"/>
  <c r="E30" i="49" s="1"/>
  <c r="E31" i="4"/>
  <c r="E31" i="49" s="1"/>
  <c r="J1406" i="1"/>
  <c r="P1406" i="53"/>
  <c r="P1309" i="53"/>
  <c r="P1720" i="53"/>
  <c r="J1720" i="1" s="1"/>
  <c r="P1405" i="53"/>
  <c r="O1407" i="53"/>
  <c r="Q1716" i="53"/>
  <c r="Q1715" i="53"/>
  <c r="Q1717" i="53" s="1"/>
  <c r="Q1235" i="53" s="1"/>
  <c r="P1456" i="53" l="1"/>
  <c r="P1266" i="53"/>
  <c r="J1266" i="1" s="1"/>
  <c r="E58" i="4" s="1"/>
  <c r="E58" i="49" s="1"/>
  <c r="P1236" i="53"/>
  <c r="J1236" i="1" s="1"/>
  <c r="Q1234" i="53"/>
  <c r="Q1718" i="53"/>
  <c r="E32" i="4" l="1"/>
  <c r="E32" i="49" s="1"/>
  <c r="J1407" i="1"/>
  <c r="Q1406" i="53"/>
  <c r="Q1720" i="53"/>
  <c r="Q1309" i="53"/>
  <c r="P1407" i="53"/>
  <c r="Q1405" i="53"/>
  <c r="R1716" i="53"/>
  <c r="R1715" i="53"/>
  <c r="R1717" i="53" s="1"/>
  <c r="R1235" i="53" s="1"/>
  <c r="R1234" i="53" l="1"/>
  <c r="Q1266" i="53"/>
  <c r="Q1456" i="53"/>
  <c r="Q1236" i="53"/>
  <c r="R1718" i="53"/>
  <c r="R1406" i="53" l="1"/>
  <c r="R1720" i="53"/>
  <c r="R1309" i="53"/>
  <c r="Q1407" i="53"/>
  <c r="R1405" i="53"/>
  <c r="S1716" i="53"/>
  <c r="S1715" i="53"/>
  <c r="S1717" i="53" s="1"/>
  <c r="S1235" i="53" l="1"/>
  <c r="S1234" i="53"/>
  <c r="R1456" i="53"/>
  <c r="R1236" i="53"/>
  <c r="R1266" i="53"/>
  <c r="S1718" i="53"/>
  <c r="S1406" i="53" l="1"/>
  <c r="R1407" i="53"/>
  <c r="S1309" i="53"/>
  <c r="S1720" i="53"/>
  <c r="S1405" i="53"/>
  <c r="T1716" i="53"/>
  <c r="K1716" i="1" s="1"/>
  <c r="T1715" i="53"/>
  <c r="T1717" i="53" s="1"/>
  <c r="T1235" i="53" l="1"/>
  <c r="K1235" i="1" s="1"/>
  <c r="K1717" i="1"/>
  <c r="K1718" i="1" s="1"/>
  <c r="S1236" i="53"/>
  <c r="S1266" i="53"/>
  <c r="S1456" i="53"/>
  <c r="T1234" i="53"/>
  <c r="K1234" i="1" s="1"/>
  <c r="T1718" i="53"/>
  <c r="F30" i="4" l="1"/>
  <c r="F30" i="49" s="1"/>
  <c r="K1405" i="1"/>
  <c r="K1406" i="1"/>
  <c r="F31" i="4"/>
  <c r="F31" i="49" s="1"/>
  <c r="K1309" i="1"/>
  <c r="F83" i="4" s="1"/>
  <c r="F83" i="49" s="1"/>
  <c r="L1715" i="1"/>
  <c r="T1406" i="53"/>
  <c r="T1309" i="53"/>
  <c r="T1720" i="53"/>
  <c r="K1720" i="1" s="1"/>
  <c r="T1405" i="53"/>
  <c r="S1407" i="53"/>
  <c r="U1715" i="53"/>
  <c r="U1717" i="53" s="1"/>
  <c r="U1235" i="53" s="1"/>
  <c r="U1716" i="53"/>
  <c r="T1266" i="53" l="1"/>
  <c r="T1456" i="53"/>
  <c r="T1236" i="53"/>
  <c r="K1236" i="1" s="1"/>
  <c r="U1234" i="53"/>
  <c r="U1718" i="53"/>
  <c r="K1407" i="1" l="1"/>
  <c r="F32" i="4"/>
  <c r="F32" i="49" s="1"/>
  <c r="U1406" i="53"/>
  <c r="U1720" i="53"/>
  <c r="U1309" i="53"/>
  <c r="T1407" i="53"/>
  <c r="U1405" i="53"/>
  <c r="V1716" i="53"/>
  <c r="V1715" i="53"/>
  <c r="V1717" i="53" s="1"/>
  <c r="V1235" i="53" s="1"/>
  <c r="L1717" i="1" l="1"/>
  <c r="V1234" i="53"/>
  <c r="L1716" i="1"/>
  <c r="U1266" i="53"/>
  <c r="U1456" i="53"/>
  <c r="U1236" i="53"/>
  <c r="V1718" i="53"/>
  <c r="L1718" i="1" l="1"/>
  <c r="M1716" i="1" s="1"/>
  <c r="M1234" i="1" s="1"/>
  <c r="V1406" i="53"/>
  <c r="G1406" i="53" s="1"/>
  <c r="G1235" i="53"/>
  <c r="L1235" i="1"/>
  <c r="V1720" i="53"/>
  <c r="V1309" i="53"/>
  <c r="U1407" i="53"/>
  <c r="V1405" i="53"/>
  <c r="G1405" i="53" s="1"/>
  <c r="G1234" i="53"/>
  <c r="L1234" i="1"/>
  <c r="L1309" i="1" l="1"/>
  <c r="G83" i="4" s="1"/>
  <c r="G83" i="49" s="1"/>
  <c r="M1715" i="1"/>
  <c r="M1720" i="1" s="1"/>
  <c r="G31" i="4"/>
  <c r="G31" i="49" s="1"/>
  <c r="L1406" i="1"/>
  <c r="G30" i="4"/>
  <c r="G30" i="49" s="1"/>
  <c r="L1405" i="1"/>
  <c r="V1456" i="53"/>
  <c r="V1236" i="53"/>
  <c r="V1266" i="53"/>
  <c r="L1720" i="1"/>
  <c r="M1405" i="1"/>
  <c r="H30" i="4"/>
  <c r="H30" i="49" s="1"/>
  <c r="M1717" i="1" l="1"/>
  <c r="M1235" i="1" s="1"/>
  <c r="M1266" i="1"/>
  <c r="H58" i="4" s="1"/>
  <c r="H58" i="49" s="1"/>
  <c r="M1236" i="1"/>
  <c r="J1456" i="1"/>
  <c r="K1456" i="1"/>
  <c r="L1456" i="1"/>
  <c r="M1718" i="1"/>
  <c r="G1266" i="53"/>
  <c r="K1266" i="1"/>
  <c r="F58" i="4" s="1"/>
  <c r="F58" i="49" s="1"/>
  <c r="L1266" i="1"/>
  <c r="G58" i="4" s="1"/>
  <c r="G58" i="49" s="1"/>
  <c r="M1406" i="1"/>
  <c r="H31" i="4"/>
  <c r="H31" i="49" s="1"/>
  <c r="V1407" i="53"/>
  <c r="G1407" i="53" s="1"/>
  <c r="G1236" i="53"/>
  <c r="L1236" i="1"/>
  <c r="G32" i="4" l="1"/>
  <c r="G32" i="49" s="1"/>
  <c r="L1407" i="1"/>
  <c r="N1715" i="1"/>
  <c r="M1309" i="1"/>
  <c r="H83" i="4" s="1"/>
  <c r="H83" i="49" s="1"/>
  <c r="N1716" i="1"/>
  <c r="N1234" i="1" s="1"/>
  <c r="M1407" i="1"/>
  <c r="H32" i="4"/>
  <c r="H32" i="49" s="1"/>
  <c r="N1720" i="1" l="1"/>
  <c r="N1717" i="1"/>
  <c r="N1235" i="1" s="1"/>
  <c r="N1405" i="1"/>
  <c r="I30" i="4"/>
  <c r="I30" i="49" s="1"/>
  <c r="N1718" i="1" l="1"/>
  <c r="N1406" i="1"/>
  <c r="I31" i="4"/>
  <c r="I31" i="49" s="1"/>
  <c r="N1236" i="1"/>
  <c r="N1266" i="1"/>
  <c r="I58" i="4" s="1"/>
  <c r="I58" i="49" s="1"/>
  <c r="N1407" i="1" l="1"/>
  <c r="I32" i="4"/>
  <c r="I32" i="49" s="1"/>
  <c r="O1715" i="1"/>
  <c r="O1716" i="1"/>
  <c r="O1234" i="1" s="1"/>
  <c r="N1309" i="1"/>
  <c r="I83" i="4" s="1"/>
  <c r="I83" i="49" s="1"/>
  <c r="O1717" i="1" l="1"/>
  <c r="O1235" i="1" s="1"/>
  <c r="O1720" i="1"/>
  <c r="O1405" i="1"/>
  <c r="J30" i="4"/>
  <c r="J30" i="49" s="1"/>
  <c r="O1718" i="1" l="1"/>
  <c r="O1309" i="1" s="1"/>
  <c r="J83" i="4" s="1"/>
  <c r="J83" i="49" s="1"/>
  <c r="O1236" i="1"/>
  <c r="O1266" i="1"/>
  <c r="J58" i="4" s="1"/>
  <c r="J58" i="49" s="1"/>
  <c r="O1406" i="1"/>
  <c r="J31" i="4"/>
  <c r="J31" i="49" s="1"/>
  <c r="P1715" i="1" l="1"/>
  <c r="P1716" i="1"/>
  <c r="P1234" i="1" s="1"/>
  <c r="P1405" i="1" s="1"/>
  <c r="O1407" i="1"/>
  <c r="J32" i="4"/>
  <c r="J32" i="49" s="1"/>
  <c r="P1717" i="1"/>
  <c r="P1235" i="1" s="1"/>
  <c r="P1720" i="1"/>
  <c r="P1236" i="1" l="1"/>
  <c r="P1407" i="1" s="1"/>
  <c r="P1266" i="1"/>
  <c r="P1406" i="1"/>
  <c r="P1718" i="1"/>
  <c r="Q1716" i="1" l="1"/>
  <c r="Q1234" i="1" s="1"/>
  <c r="Q1405" i="1" s="1"/>
  <c r="P1309" i="1"/>
  <c r="Q1715" i="1"/>
  <c r="Q1720" i="1" l="1"/>
  <c r="Q1717" i="1"/>
  <c r="Q1235" i="1" s="1"/>
  <c r="Q1718" i="1" l="1"/>
  <c r="Q1309" i="1" s="1"/>
  <c r="Q1406" i="1"/>
  <c r="Q1266" i="1"/>
  <c r="Q1236" i="1"/>
  <c r="Q1407" i="1" s="1"/>
  <c r="R1715" i="1" l="1"/>
  <c r="R1717" i="1" s="1"/>
  <c r="R1235" i="1" s="1"/>
  <c r="R1406" i="1" s="1"/>
  <c r="R1716" i="1"/>
  <c r="R1234" i="1" s="1"/>
  <c r="R1405" i="1" s="1"/>
  <c r="R1720" i="1" l="1"/>
  <c r="R1236" i="1" s="1"/>
  <c r="R1407" i="1" s="1"/>
  <c r="R1718" i="1"/>
  <c r="R1266" i="1" l="1"/>
  <c r="S1715" i="1"/>
  <c r="S1716" i="1"/>
  <c r="S1234" i="1" s="1"/>
  <c r="S1405" i="1" s="1"/>
  <c r="R1309" i="1"/>
  <c r="S1720" i="1" l="1"/>
  <c r="S1717" i="1"/>
  <c r="S1235" i="1" s="1"/>
  <c r="S1406" i="1" s="1"/>
  <c r="S1718" i="1" l="1"/>
  <c r="T1716" i="1" s="1"/>
  <c r="T1234" i="1" s="1"/>
  <c r="T1405" i="1" s="1"/>
  <c r="S1266" i="1"/>
  <c r="S1236" i="1"/>
  <c r="S1407" i="1" s="1"/>
  <c r="S1309" i="1" l="1"/>
  <c r="T1715" i="1"/>
  <c r="T1720" i="1" s="1"/>
  <c r="T1717" i="1" l="1"/>
  <c r="T1235" i="1" s="1"/>
  <c r="T1406" i="1" s="1"/>
  <c r="T1236" i="1"/>
  <c r="T1407" i="1" s="1"/>
  <c r="T1266" i="1"/>
  <c r="T1718" i="1" l="1"/>
  <c r="U1715" i="1" s="1"/>
  <c r="T1309" i="1" l="1"/>
  <c r="U1716" i="1"/>
  <c r="U1234" i="1" s="1"/>
  <c r="U1405" i="1" s="1"/>
  <c r="U1720" i="1"/>
  <c r="U1717" i="1"/>
  <c r="U1235" i="1" s="1"/>
  <c r="U1406" i="1" s="1"/>
  <c r="U1718" i="1" l="1"/>
  <c r="U1309" i="1" s="1"/>
  <c r="U1266" i="1"/>
  <c r="U1236" i="1"/>
  <c r="U1407" i="1" s="1"/>
  <c r="V1715" i="1" l="1"/>
  <c r="V1717" i="1" s="1"/>
  <c r="V1235" i="1" s="1"/>
  <c r="V1406" i="1" s="1"/>
  <c r="V1716" i="1"/>
  <c r="V1234" i="1" s="1"/>
  <c r="V1405" i="1" s="1"/>
  <c r="V1720" i="1" l="1"/>
  <c r="V1236" i="1" s="1"/>
  <c r="V1407" i="1" s="1"/>
  <c r="V1718" i="1"/>
  <c r="V1309" i="1" s="1"/>
  <c r="V1266" i="1" l="1"/>
  <c r="W1715" i="1"/>
  <c r="W1717" i="1" s="1"/>
  <c r="W1235" i="1" s="1"/>
  <c r="W1406" i="1" s="1"/>
  <c r="W1716" i="1"/>
  <c r="W1234" i="1" s="1"/>
  <c r="W1405" i="1" s="1"/>
  <c r="W1720" i="1" l="1"/>
  <c r="W1266" i="1" s="1"/>
  <c r="W1718" i="1"/>
  <c r="X1715" i="1" s="1"/>
  <c r="W1236" i="1" l="1"/>
  <c r="W1407" i="1" s="1"/>
  <c r="W1309" i="1"/>
  <c r="X1716" i="1"/>
  <c r="X1234" i="1" s="1"/>
  <c r="X1405" i="1" s="1"/>
  <c r="X1720" i="1"/>
  <c r="X1717" i="1"/>
  <c r="X1235" i="1" s="1"/>
  <c r="X1406" i="1" s="1"/>
  <c r="X1718" i="1" l="1"/>
  <c r="X1266" i="1"/>
  <c r="X1236" i="1"/>
  <c r="X1407" i="1" s="1"/>
  <c r="Y1716" i="1" l="1"/>
  <c r="Y1234" i="1" s="1"/>
  <c r="Y1405" i="1" s="1"/>
  <c r="X1309" i="1"/>
  <c r="Y1715" i="1"/>
  <c r="Y1720" i="1" l="1"/>
  <c r="Y1717" i="1"/>
  <c r="Y1235" i="1" s="1"/>
  <c r="Y1406" i="1" s="1"/>
  <c r="Y1718" i="1" l="1"/>
  <c r="Y1266" i="1"/>
  <c r="Y1236" i="1"/>
  <c r="Y1407" i="1" s="1"/>
  <c r="Y1309" i="1" l="1"/>
  <c r="Z1716" i="1"/>
  <c r="Z1234" i="1" s="1"/>
  <c r="Z1405" i="1" s="1"/>
  <c r="Z1715" i="1"/>
  <c r="Z1720" i="1" l="1"/>
  <c r="Z1717" i="1"/>
  <c r="Z1235" i="1" s="1"/>
  <c r="Z1406" i="1" s="1"/>
  <c r="Z1718" i="1" l="1"/>
  <c r="Z1236" i="1"/>
  <c r="Z1407" i="1" s="1"/>
  <c r="Z1266" i="1"/>
  <c r="AA1715" i="1" l="1"/>
  <c r="Z1309" i="1"/>
  <c r="AA1716" i="1"/>
  <c r="AA1234" i="1" s="1"/>
  <c r="AA1405" i="1" s="1"/>
  <c r="AA1717" i="1" l="1"/>
  <c r="AA1235" i="1" s="1"/>
  <c r="AA1406" i="1" s="1"/>
  <c r="AA1720" i="1"/>
  <c r="AA1718" i="1" l="1"/>
  <c r="AA1309" i="1" s="1"/>
  <c r="AA1236" i="1"/>
  <c r="AA1407" i="1" s="1"/>
  <c r="AA1266" i="1"/>
  <c r="AB1716" i="1" l="1"/>
  <c r="AB1234" i="1" s="1"/>
  <c r="AB1405" i="1" s="1"/>
  <c r="AB1715" i="1"/>
  <c r="AB1720" i="1" s="1"/>
  <c r="AB1717" i="1" l="1"/>
  <c r="AB1235" i="1" s="1"/>
  <c r="AB1406" i="1" s="1"/>
  <c r="AB1266" i="1"/>
  <c r="AB1236" i="1"/>
  <c r="AB1407" i="1" s="1"/>
  <c r="AB1718" i="1" l="1"/>
  <c r="AC1716" i="1" s="1"/>
  <c r="AC1234" i="1" s="1"/>
  <c r="AC1405" i="1" s="1"/>
  <c r="AC1715" i="1" l="1"/>
  <c r="AB1309" i="1"/>
  <c r="AC1720" i="1" l="1"/>
  <c r="AC1717" i="1"/>
  <c r="AC1235" i="1" l="1"/>
  <c r="AC1406" i="1" s="1"/>
  <c r="AC1718" i="1"/>
  <c r="AC1236" i="1"/>
  <c r="AC1407" i="1" s="1"/>
  <c r="AC1266" i="1"/>
  <c r="AD1715" i="1" l="1"/>
  <c r="AC1309" i="1"/>
  <c r="AD1716" i="1"/>
  <c r="AD1234" i="1" s="1"/>
  <c r="AD1405" i="1" s="1"/>
  <c r="AD1720" i="1" l="1"/>
  <c r="AD1717" i="1"/>
  <c r="AD1235" i="1" l="1"/>
  <c r="AD1406" i="1" s="1"/>
  <c r="AD1718" i="1"/>
  <c r="AD1236" i="1"/>
  <c r="AD1407" i="1" s="1"/>
  <c r="AD1266" i="1"/>
  <c r="AD1309" i="1" l="1"/>
  <c r="AE1715" i="1"/>
  <c r="AE1716" i="1"/>
  <c r="AE1234" i="1" s="1"/>
  <c r="AE1720" i="1" l="1"/>
  <c r="AE1717" i="1"/>
  <c r="AE1405" i="1"/>
  <c r="G1405" i="1" s="1"/>
  <c r="G1234" i="1"/>
  <c r="AE1235" i="1" l="1"/>
  <c r="AE1718" i="1"/>
  <c r="AE1309" i="1" s="1"/>
  <c r="AE1236" i="1"/>
  <c r="AE1266" i="1"/>
  <c r="G1266" i="1" s="1"/>
  <c r="AE1407" i="1" l="1"/>
  <c r="G1407" i="1" s="1"/>
  <c r="G1236" i="1"/>
  <c r="G1235" i="1"/>
  <c r="AE1406" i="1"/>
  <c r="G1406" i="1" s="1"/>
  <c r="G193" i="3" l="1"/>
  <c r="R193" i="3" s="1"/>
  <c r="G226" i="3" l="1"/>
  <c r="G260" i="3" s="1"/>
  <c r="R260" i="3" s="1"/>
  <c r="M1616" i="1" l="1"/>
  <c r="M1618" i="1" s="1"/>
  <c r="N1616" i="1"/>
  <c r="N1618" i="1" s="1"/>
  <c r="O1616" i="1"/>
  <c r="O1618" i="1" s="1"/>
  <c r="P1616" i="1"/>
  <c r="P1618" i="1" s="1"/>
  <c r="Q1616" i="1"/>
  <c r="Q1618" i="1" s="1"/>
  <c r="R1616" i="1"/>
  <c r="R1618" i="1" s="1"/>
  <c r="S1616" i="1"/>
  <c r="S1618" i="1" s="1"/>
  <c r="T1616" i="1"/>
  <c r="T1618" i="1" s="1"/>
  <c r="U1616" i="1"/>
  <c r="U1618" i="1" s="1"/>
  <c r="V1616" i="1"/>
  <c r="V1618" i="1" s="1"/>
  <c r="W1616" i="1"/>
  <c r="W1618" i="1" s="1"/>
  <c r="X1616" i="1"/>
  <c r="X1618" i="1" s="1"/>
  <c r="Y1616" i="1"/>
  <c r="Y1618" i="1" s="1"/>
  <c r="Z1616" i="1"/>
  <c r="Z1618" i="1" s="1"/>
  <c r="AA1616" i="1"/>
  <c r="AA1618" i="1" s="1"/>
  <c r="AB1616" i="1"/>
  <c r="AB1618" i="1" s="1"/>
  <c r="AC1616" i="1"/>
  <c r="AC1618" i="1" s="1"/>
  <c r="AD1616" i="1"/>
  <c r="AD1618" i="1" s="1"/>
  <c r="AE1616" i="1"/>
  <c r="AE1618" i="1" s="1"/>
  <c r="G196" i="3" l="1"/>
  <c r="R196" i="3" s="1"/>
  <c r="G194" i="3"/>
  <c r="R194" i="3" s="1"/>
  <c r="G192" i="3"/>
  <c r="R192" i="3" s="1"/>
  <c r="G227" i="3" l="1"/>
  <c r="G261" i="3" s="1"/>
  <c r="R261" i="3" s="1"/>
  <c r="G229" i="3"/>
  <c r="G263" i="3" s="1"/>
  <c r="R263" i="3" s="1"/>
  <c r="G225" i="3"/>
  <c r="G259" i="3" s="1"/>
  <c r="R259" i="3" s="1"/>
  <c r="L933" i="1" l="1"/>
  <c r="L935" i="1" s="1"/>
  <c r="M1459" i="1"/>
  <c r="N1459" i="1"/>
  <c r="O1459" i="1"/>
  <c r="L1305" i="1" l="1"/>
  <c r="G79" i="4" s="1"/>
  <c r="G79" i="49" s="1"/>
  <c r="I867" i="53"/>
  <c r="I873" i="53" s="1"/>
  <c r="I1616" i="53" s="1"/>
  <c r="I1450" i="53" s="1"/>
  <c r="J867" i="53"/>
  <c r="K867" i="53"/>
  <c r="K873" i="53" s="1"/>
  <c r="L867" i="53"/>
  <c r="M867" i="53"/>
  <c r="M873" i="53" s="1"/>
  <c r="N867" i="53"/>
  <c r="N873" i="53" s="1"/>
  <c r="N1616" i="53" s="1"/>
  <c r="N1450" i="53" s="1"/>
  <c r="O867" i="53"/>
  <c r="O873" i="53" s="1"/>
  <c r="P867" i="53"/>
  <c r="P873" i="53" s="1"/>
  <c r="P1617" i="53" s="1"/>
  <c r="Q867" i="53"/>
  <c r="Q873" i="53" s="1"/>
  <c r="R867" i="53"/>
  <c r="R873" i="53" s="1"/>
  <c r="R1617" i="53" s="1"/>
  <c r="S867" i="53"/>
  <c r="S873" i="53" s="1"/>
  <c r="T867" i="53"/>
  <c r="T873" i="53" s="1"/>
  <c r="T1616" i="53" s="1"/>
  <c r="U867" i="53"/>
  <c r="U873" i="53" s="1"/>
  <c r="V867" i="53"/>
  <c r="V873" i="53" s="1"/>
  <c r="V1616" i="53" s="1"/>
  <c r="V1450" i="53" s="1"/>
  <c r="L873" i="53"/>
  <c r="L1616" i="53" s="1"/>
  <c r="I1453" i="53"/>
  <c r="J1453" i="53"/>
  <c r="K1453" i="53"/>
  <c r="L1453" i="53"/>
  <c r="M1453" i="53"/>
  <c r="N1453" i="53"/>
  <c r="O1453" i="53"/>
  <c r="P1453" i="53"/>
  <c r="Q1453" i="53"/>
  <c r="R1453" i="53"/>
  <c r="S1453" i="53"/>
  <c r="T1453" i="53"/>
  <c r="U1453" i="53"/>
  <c r="V1453" i="53"/>
  <c r="I1454" i="53"/>
  <c r="J1454" i="53"/>
  <c r="K1454" i="53"/>
  <c r="L1454" i="53"/>
  <c r="M1454" i="53"/>
  <c r="N1454" i="53"/>
  <c r="O1454" i="53"/>
  <c r="P1454" i="53"/>
  <c r="Q1454" i="53"/>
  <c r="R1454" i="53"/>
  <c r="S1454" i="53"/>
  <c r="T1454" i="53"/>
  <c r="U1454" i="53"/>
  <c r="V1454" i="53"/>
  <c r="I1457" i="53"/>
  <c r="J1457" i="53"/>
  <c r="K1457" i="53"/>
  <c r="L1457" i="53"/>
  <c r="M1457" i="53"/>
  <c r="N1457" i="53"/>
  <c r="O1457" i="53"/>
  <c r="P1457" i="53"/>
  <c r="Q1457" i="53"/>
  <c r="R1457" i="53"/>
  <c r="S1457" i="53"/>
  <c r="T1457" i="53"/>
  <c r="U1457" i="53"/>
  <c r="V1457" i="53"/>
  <c r="I1560" i="53"/>
  <c r="I1263" i="53" s="1"/>
  <c r="J1560" i="53"/>
  <c r="J1226" i="53" s="1"/>
  <c r="K1560" i="53"/>
  <c r="K1411" i="53" s="1"/>
  <c r="L1560" i="53"/>
  <c r="L1561" i="53" s="1"/>
  <c r="M1560" i="53"/>
  <c r="M1263" i="53" s="1"/>
  <c r="N1560" i="53"/>
  <c r="N1226" i="53" s="1"/>
  <c r="O1560" i="53"/>
  <c r="P1560" i="53"/>
  <c r="Q1560" i="53"/>
  <c r="Q1263" i="53" s="1"/>
  <c r="R1560" i="53"/>
  <c r="R1226" i="53" s="1"/>
  <c r="S1560" i="53"/>
  <c r="S1263" i="53" s="1"/>
  <c r="T1560" i="53"/>
  <c r="T1561" i="53" s="1"/>
  <c r="U1560" i="53"/>
  <c r="V1560" i="53"/>
  <c r="V1226" i="53" s="1"/>
  <c r="E1773" i="53"/>
  <c r="E1773" i="1" s="1"/>
  <c r="E1774" i="53"/>
  <c r="E1774" i="1" s="1"/>
  <c r="R1616" i="53" l="1"/>
  <c r="R1450" i="53" s="1"/>
  <c r="L1617" i="53"/>
  <c r="P1616" i="53"/>
  <c r="P1450" i="53" s="1"/>
  <c r="P1459" i="53" s="1"/>
  <c r="V1561" i="53"/>
  <c r="Q1561" i="53"/>
  <c r="I1561" i="53"/>
  <c r="N1617" i="53"/>
  <c r="N1618" i="53" s="1"/>
  <c r="N1451" i="53" s="1"/>
  <c r="J1453" i="1"/>
  <c r="K1453" i="1"/>
  <c r="L1453" i="1"/>
  <c r="M1561" i="53"/>
  <c r="R1618" i="53"/>
  <c r="R1451" i="53" s="1"/>
  <c r="V1617" i="53"/>
  <c r="V1618" i="53" s="1"/>
  <c r="V1451" i="53" s="1"/>
  <c r="N1561" i="53"/>
  <c r="L1560" i="1"/>
  <c r="L1017" i="1" s="1"/>
  <c r="I1617" i="53"/>
  <c r="I1618" i="53" s="1"/>
  <c r="R1561" i="53"/>
  <c r="J1561" i="53"/>
  <c r="Q1226" i="53"/>
  <c r="I1453" i="1"/>
  <c r="V1411" i="53"/>
  <c r="Q1616" i="53"/>
  <c r="Q1450" i="53" s="1"/>
  <c r="Q1865" i="53" s="1"/>
  <c r="Q1617" i="53"/>
  <c r="U1617" i="53"/>
  <c r="U1616" i="53"/>
  <c r="U1450" i="53" s="1"/>
  <c r="U1865" i="53" s="1"/>
  <c r="R1411" i="53"/>
  <c r="K1263" i="53"/>
  <c r="I1226" i="53"/>
  <c r="N1411" i="53"/>
  <c r="U1226" i="53"/>
  <c r="L1226" i="1" s="1"/>
  <c r="G22" i="4" s="1"/>
  <c r="G22" i="49" s="1"/>
  <c r="T1617" i="53"/>
  <c r="T1618" i="53" s="1"/>
  <c r="U1561" i="53"/>
  <c r="S1411" i="53"/>
  <c r="J1411" i="53"/>
  <c r="M1226" i="53"/>
  <c r="S1617" i="53"/>
  <c r="S1616" i="53"/>
  <c r="S1450" i="53" s="1"/>
  <c r="I1459" i="53"/>
  <c r="P1263" i="53"/>
  <c r="P1411" i="53"/>
  <c r="P1226" i="53"/>
  <c r="G1560" i="53"/>
  <c r="U1511" i="53"/>
  <c r="O1617" i="53"/>
  <c r="O1616" i="53"/>
  <c r="O1450" i="53" s="1"/>
  <c r="I1865" i="53"/>
  <c r="T1450" i="53"/>
  <c r="O1226" i="53"/>
  <c r="O1561" i="53"/>
  <c r="R1865" i="53"/>
  <c r="R1459" i="53"/>
  <c r="J873" i="1"/>
  <c r="M1616" i="53"/>
  <c r="M1450" i="53" s="1"/>
  <c r="N1865" i="53"/>
  <c r="N1459" i="53"/>
  <c r="O1411" i="53"/>
  <c r="T1263" i="53"/>
  <c r="T1411" i="53"/>
  <c r="T1226" i="53"/>
  <c r="L1263" i="53"/>
  <c r="L1411" i="53"/>
  <c r="L1226" i="53"/>
  <c r="V1865" i="53"/>
  <c r="V1459" i="53"/>
  <c r="K1617" i="53"/>
  <c r="K1616" i="53"/>
  <c r="K1450" i="53" s="1"/>
  <c r="S1226" i="53"/>
  <c r="S1561" i="53"/>
  <c r="K1561" i="1" s="1"/>
  <c r="K1226" i="53"/>
  <c r="K1561" i="53"/>
  <c r="C153" i="3"/>
  <c r="C79" i="3"/>
  <c r="M1617" i="53"/>
  <c r="L1618" i="53"/>
  <c r="L1450" i="53"/>
  <c r="P1561" i="53"/>
  <c r="O1263" i="53"/>
  <c r="L1454" i="1"/>
  <c r="K1454" i="1"/>
  <c r="J1454" i="1"/>
  <c r="I1454" i="1"/>
  <c r="V1263" i="53"/>
  <c r="R1263" i="53"/>
  <c r="N1263" i="53"/>
  <c r="J1263" i="53"/>
  <c r="K873" i="1"/>
  <c r="G867" i="53"/>
  <c r="J873" i="53"/>
  <c r="I873" i="1" s="1"/>
  <c r="C80" i="3"/>
  <c r="C154" i="3"/>
  <c r="U1411" i="53"/>
  <c r="Q1411" i="53"/>
  <c r="M1411" i="53"/>
  <c r="I1411" i="53"/>
  <c r="U1263" i="53"/>
  <c r="L873" i="1"/>
  <c r="K1560" i="1"/>
  <c r="J1560" i="1"/>
  <c r="I1560" i="1"/>
  <c r="E867" i="53"/>
  <c r="L867" i="1"/>
  <c r="K867" i="1"/>
  <c r="J867" i="1"/>
  <c r="I867" i="1"/>
  <c r="P1618" i="53" l="1"/>
  <c r="P1451" i="53" s="1"/>
  <c r="P1865" i="53"/>
  <c r="L1561" i="1"/>
  <c r="K1263" i="1"/>
  <c r="F55" i="4" s="1"/>
  <c r="F55" i="49" s="1"/>
  <c r="Q1459" i="53"/>
  <c r="I1263" i="1"/>
  <c r="Q1618" i="53"/>
  <c r="Q1451" i="53" s="1"/>
  <c r="L1411" i="1"/>
  <c r="K1226" i="1"/>
  <c r="F22" i="4" s="1"/>
  <c r="F22" i="49" s="1"/>
  <c r="K1450" i="1"/>
  <c r="K1865" i="1" s="1"/>
  <c r="U1459" i="53"/>
  <c r="L1450" i="1"/>
  <c r="L1865" i="1" s="1"/>
  <c r="U1618" i="53"/>
  <c r="I1226" i="1"/>
  <c r="D22" i="4" s="1"/>
  <c r="D22" i="49" s="1"/>
  <c r="J1226" i="1"/>
  <c r="E22" i="4" s="1"/>
  <c r="E22" i="49" s="1"/>
  <c r="G867" i="1"/>
  <c r="L1263" i="1"/>
  <c r="G55" i="4" s="1"/>
  <c r="G55" i="49" s="1"/>
  <c r="M1618" i="53"/>
  <c r="M1451" i="53" s="1"/>
  <c r="L1459" i="1"/>
  <c r="G1561" i="53"/>
  <c r="K1618" i="53"/>
  <c r="K1451" i="53" s="1"/>
  <c r="J1561" i="1"/>
  <c r="I1561" i="1"/>
  <c r="J1263" i="1"/>
  <c r="E55" i="4" s="1"/>
  <c r="E55" i="49" s="1"/>
  <c r="S1618" i="53"/>
  <c r="S1451" i="53" s="1"/>
  <c r="D55" i="4"/>
  <c r="D55" i="49" s="1"/>
  <c r="G1263" i="53"/>
  <c r="G1844" i="53" s="1"/>
  <c r="I1451" i="53"/>
  <c r="G873" i="1"/>
  <c r="I1616" i="1"/>
  <c r="I1617" i="1"/>
  <c r="G1411" i="53"/>
  <c r="J1616" i="53"/>
  <c r="J1617" i="53"/>
  <c r="G873" i="53"/>
  <c r="L1459" i="53"/>
  <c r="L1865" i="53"/>
  <c r="G1226" i="53"/>
  <c r="O1459" i="53"/>
  <c r="O1865" i="53"/>
  <c r="I1017" i="1"/>
  <c r="I1411" i="1"/>
  <c r="L1451" i="53"/>
  <c r="U1451" i="53"/>
  <c r="L1451" i="1" s="1"/>
  <c r="J1616" i="1"/>
  <c r="J1617" i="1"/>
  <c r="T1451" i="53"/>
  <c r="O1618" i="53"/>
  <c r="K1017" i="1"/>
  <c r="K1411" i="1"/>
  <c r="C116" i="3"/>
  <c r="T1459" i="53"/>
  <c r="T1865" i="53"/>
  <c r="L1030" i="1"/>
  <c r="L1181" i="1"/>
  <c r="J1017" i="1"/>
  <c r="J1411" i="1"/>
  <c r="L1617" i="1"/>
  <c r="L1616" i="1"/>
  <c r="K1616" i="1"/>
  <c r="K1617" i="1"/>
  <c r="C115" i="3"/>
  <c r="K1459" i="53"/>
  <c r="K1865" i="53"/>
  <c r="J1450" i="1"/>
  <c r="J1865" i="1" s="1"/>
  <c r="M1459" i="53"/>
  <c r="M1865" i="53"/>
  <c r="S1459" i="53"/>
  <c r="K1459" i="1" s="1"/>
  <c r="S1865" i="53"/>
  <c r="J1459" i="1" l="1"/>
  <c r="K1618" i="1"/>
  <c r="K1451" i="1"/>
  <c r="F116" i="3"/>
  <c r="O1451" i="53"/>
  <c r="J1451" i="1" s="1"/>
  <c r="J1450" i="53"/>
  <c r="G1616" i="53"/>
  <c r="L1618" i="1"/>
  <c r="K893" i="53"/>
  <c r="K897" i="53" s="1"/>
  <c r="O893" i="53"/>
  <c r="O897" i="53" s="1"/>
  <c r="S893" i="53"/>
  <c r="S897" i="53" s="1"/>
  <c r="J893" i="53"/>
  <c r="J897" i="53" s="1"/>
  <c r="P893" i="53"/>
  <c r="P897" i="53" s="1"/>
  <c r="U893" i="53"/>
  <c r="L893" i="53"/>
  <c r="L897" i="53" s="1"/>
  <c r="Q893" i="53"/>
  <c r="V893" i="53"/>
  <c r="V897" i="53" s="1"/>
  <c r="M893" i="53"/>
  <c r="R893" i="53"/>
  <c r="R897" i="53" s="1"/>
  <c r="N893" i="53"/>
  <c r="N897" i="53" s="1"/>
  <c r="T893" i="53"/>
  <c r="T897" i="53" s="1"/>
  <c r="I893" i="53"/>
  <c r="G1617" i="1"/>
  <c r="I1618" i="1"/>
  <c r="P893" i="1"/>
  <c r="P897" i="1" s="1"/>
  <c r="T893" i="1"/>
  <c r="T897" i="1" s="1"/>
  <c r="X893" i="1"/>
  <c r="X897" i="1" s="1"/>
  <c r="AB893" i="1"/>
  <c r="AB897" i="1" s="1"/>
  <c r="M893" i="1"/>
  <c r="M897" i="1" s="1"/>
  <c r="Q893" i="1"/>
  <c r="Q897" i="1" s="1"/>
  <c r="U893" i="1"/>
  <c r="U897" i="1" s="1"/>
  <c r="Y893" i="1"/>
  <c r="Y897" i="1" s="1"/>
  <c r="AC893" i="1"/>
  <c r="AC897" i="1" s="1"/>
  <c r="S893" i="1"/>
  <c r="S897" i="1" s="1"/>
  <c r="AA893" i="1"/>
  <c r="AA897" i="1" s="1"/>
  <c r="N893" i="1"/>
  <c r="N897" i="1" s="1"/>
  <c r="V893" i="1"/>
  <c r="V897" i="1" s="1"/>
  <c r="AD893" i="1"/>
  <c r="AD897" i="1" s="1"/>
  <c r="O893" i="1"/>
  <c r="O897" i="1" s="1"/>
  <c r="W893" i="1"/>
  <c r="W897" i="1" s="1"/>
  <c r="AE893" i="1"/>
  <c r="AE897" i="1" s="1"/>
  <c r="R893" i="1"/>
  <c r="R897" i="1" s="1"/>
  <c r="Z893" i="1"/>
  <c r="Z897" i="1" s="1"/>
  <c r="F115" i="3"/>
  <c r="D120" i="3"/>
  <c r="J1030" i="1"/>
  <c r="J1181" i="1"/>
  <c r="K1030" i="1"/>
  <c r="K1181" i="1"/>
  <c r="J1618" i="1"/>
  <c r="I1030" i="1"/>
  <c r="I1181" i="1"/>
  <c r="J1618" i="53"/>
  <c r="G1617" i="53"/>
  <c r="G1616" i="1"/>
  <c r="E1623" i="1" s="1"/>
  <c r="G1618" i="1" l="1"/>
  <c r="AD932" i="1"/>
  <c r="AD933" i="1" s="1"/>
  <c r="AD1008" i="1"/>
  <c r="AD1220" i="1"/>
  <c r="V932" i="53"/>
  <c r="V933" i="53" s="1"/>
  <c r="V1008" i="53"/>
  <c r="V1220" i="53"/>
  <c r="K1008" i="53"/>
  <c r="K932" i="53"/>
  <c r="K933" i="53" s="1"/>
  <c r="K1220" i="53"/>
  <c r="V932" i="1"/>
  <c r="V933" i="1" s="1"/>
  <c r="V1008" i="1"/>
  <c r="V1220" i="1"/>
  <c r="M932" i="1"/>
  <c r="M933" i="1" s="1"/>
  <c r="M1008" i="1"/>
  <c r="M1220" i="1"/>
  <c r="P932" i="1"/>
  <c r="P933" i="1" s="1"/>
  <c r="P1008" i="1"/>
  <c r="P1220" i="1"/>
  <c r="N932" i="53"/>
  <c r="N933" i="53" s="1"/>
  <c r="N1220" i="53"/>
  <c r="N1008" i="53"/>
  <c r="K893" i="1"/>
  <c r="Q897" i="53"/>
  <c r="W932" i="1"/>
  <c r="W933" i="1" s="1"/>
  <c r="W1008" i="1"/>
  <c r="W1220" i="1"/>
  <c r="N932" i="1"/>
  <c r="N933" i="1" s="1"/>
  <c r="N1008" i="1"/>
  <c r="N1220" i="1"/>
  <c r="Y932" i="1"/>
  <c r="Y933" i="1" s="1"/>
  <c r="Y1008" i="1"/>
  <c r="Y1220" i="1"/>
  <c r="AB932" i="1"/>
  <c r="AB933" i="1" s="1"/>
  <c r="AB1008" i="1"/>
  <c r="AB1220" i="1"/>
  <c r="R932" i="53"/>
  <c r="R933" i="53" s="1"/>
  <c r="R1220" i="53"/>
  <c r="R1008" i="53"/>
  <c r="L1008" i="53"/>
  <c r="L932" i="53"/>
  <c r="L933" i="53" s="1"/>
  <c r="L1220" i="53"/>
  <c r="S932" i="53"/>
  <c r="S933" i="53" s="1"/>
  <c r="S1220" i="53"/>
  <c r="S1008" i="53"/>
  <c r="R932" i="1"/>
  <c r="R933" i="1" s="1"/>
  <c r="R1008" i="1"/>
  <c r="R1220" i="1"/>
  <c r="S932" i="1"/>
  <c r="S933" i="1" s="1"/>
  <c r="S1008" i="1"/>
  <c r="S1220" i="1"/>
  <c r="Q932" i="1"/>
  <c r="Q933" i="1" s="1"/>
  <c r="Q1008" i="1"/>
  <c r="Q1220" i="1"/>
  <c r="T932" i="1"/>
  <c r="T933" i="1" s="1"/>
  <c r="T1008" i="1"/>
  <c r="T1220" i="1"/>
  <c r="T1008" i="53"/>
  <c r="T932" i="53"/>
  <c r="T933" i="53" s="1"/>
  <c r="T1220" i="53"/>
  <c r="P1008" i="53"/>
  <c r="P932" i="53"/>
  <c r="P933" i="53" s="1"/>
  <c r="P1220" i="53"/>
  <c r="J1865" i="53"/>
  <c r="J1459" i="53"/>
  <c r="G1450" i="53" s="1"/>
  <c r="G1450" i="1" s="1"/>
  <c r="I1450" i="1"/>
  <c r="I1865" i="1" s="1"/>
  <c r="J1451" i="53"/>
  <c r="G1618" i="53"/>
  <c r="AE932" i="1"/>
  <c r="AE933" i="1" s="1"/>
  <c r="AE1008" i="1"/>
  <c r="AE1220" i="1"/>
  <c r="AC932" i="1"/>
  <c r="AC933" i="1" s="1"/>
  <c r="AC1008" i="1"/>
  <c r="AC1220" i="1"/>
  <c r="J932" i="53"/>
  <c r="J933" i="53" s="1"/>
  <c r="J1008" i="53"/>
  <c r="J1220" i="53"/>
  <c r="I1649" i="1"/>
  <c r="Z932" i="1"/>
  <c r="Z933" i="1" s="1"/>
  <c r="Z1008" i="1"/>
  <c r="Z1220" i="1"/>
  <c r="O932" i="1"/>
  <c r="O933" i="1" s="1"/>
  <c r="O1008" i="1"/>
  <c r="O1220" i="1"/>
  <c r="AA932" i="1"/>
  <c r="AA933" i="1" s="1"/>
  <c r="AA1008" i="1"/>
  <c r="AA1220" i="1"/>
  <c r="U932" i="1"/>
  <c r="U933" i="1" s="1"/>
  <c r="U1008" i="1"/>
  <c r="U1220" i="1"/>
  <c r="X932" i="1"/>
  <c r="X933" i="1" s="1"/>
  <c r="X1008" i="1"/>
  <c r="X1220" i="1"/>
  <c r="I893" i="1"/>
  <c r="G893" i="53"/>
  <c r="I897" i="53"/>
  <c r="J893" i="1"/>
  <c r="M897" i="53"/>
  <c r="L893" i="1"/>
  <c r="U897" i="53"/>
  <c r="O1008" i="53"/>
  <c r="O932" i="53"/>
  <c r="O933" i="53" s="1"/>
  <c r="O1220" i="53"/>
  <c r="E1771" i="53"/>
  <c r="E1623" i="53"/>
  <c r="O1322" i="53" l="1"/>
  <c r="O1380" i="53"/>
  <c r="AA1380" i="1"/>
  <c r="AA1322" i="1"/>
  <c r="Z935" i="1"/>
  <c r="Z1305" i="1"/>
  <c r="AE1380" i="1"/>
  <c r="AE1322" i="1"/>
  <c r="G1451" i="53"/>
  <c r="G1451" i="1" s="1"/>
  <c r="I1451" i="1"/>
  <c r="T1322" i="1"/>
  <c r="T1380" i="1"/>
  <c r="S935" i="1"/>
  <c r="S1305" i="1"/>
  <c r="L1322" i="53"/>
  <c r="L1380" i="53"/>
  <c r="AB935" i="1"/>
  <c r="AB1305" i="1"/>
  <c r="I16" i="4"/>
  <c r="I16" i="49" s="1"/>
  <c r="N1380" i="1"/>
  <c r="N1322" i="1"/>
  <c r="W1046" i="1"/>
  <c r="W1042" i="1"/>
  <c r="W1093" i="1" s="1"/>
  <c r="W1082" i="1"/>
  <c r="W1113" i="1"/>
  <c r="P1042" i="1"/>
  <c r="P1093" i="1" s="1"/>
  <c r="P1082" i="1"/>
  <c r="P1046" i="1"/>
  <c r="P1113" i="1"/>
  <c r="M935" i="1"/>
  <c r="M937" i="1" s="1"/>
  <c r="M1216" i="1" s="1"/>
  <c r="M1305" i="1"/>
  <c r="K1322" i="53"/>
  <c r="K1380" i="53"/>
  <c r="AD935" i="1"/>
  <c r="AD1305" i="1"/>
  <c r="O935" i="53"/>
  <c r="O1305" i="53"/>
  <c r="J897" i="1"/>
  <c r="M1008" i="53"/>
  <c r="M932" i="53"/>
  <c r="M933" i="53" s="1"/>
  <c r="M1220" i="53"/>
  <c r="AA1046" i="1"/>
  <c r="AA1042" i="1"/>
  <c r="AA1093" i="1" s="1"/>
  <c r="AA1113" i="1"/>
  <c r="AA1082" i="1"/>
  <c r="AC1322" i="1"/>
  <c r="AC1380" i="1"/>
  <c r="AE1046" i="1"/>
  <c r="AE1042" i="1"/>
  <c r="AE1093" i="1" s="1"/>
  <c r="AE1113" i="1"/>
  <c r="AE1082" i="1"/>
  <c r="G1865" i="53"/>
  <c r="T1322" i="53"/>
  <c r="T1380" i="53"/>
  <c r="T1082" i="1"/>
  <c r="T1046" i="1"/>
  <c r="T1042" i="1"/>
  <c r="T1093" i="1" s="1"/>
  <c r="T1113" i="1"/>
  <c r="R1380" i="1"/>
  <c r="R1322" i="1"/>
  <c r="R935" i="53"/>
  <c r="R1305" i="53"/>
  <c r="Y1322" i="1"/>
  <c r="Y1380" i="1"/>
  <c r="N1046" i="1"/>
  <c r="N1042" i="1"/>
  <c r="N1093" i="1" s="1"/>
  <c r="N1082" i="1"/>
  <c r="N1113" i="1"/>
  <c r="W935" i="1"/>
  <c r="W1305" i="1"/>
  <c r="P935" i="1"/>
  <c r="P1305" i="1"/>
  <c r="V1380" i="1"/>
  <c r="V1322" i="1"/>
  <c r="K1305" i="53"/>
  <c r="K935" i="53"/>
  <c r="V935" i="53"/>
  <c r="V1305" i="53"/>
  <c r="I1649" i="53"/>
  <c r="X1322" i="1"/>
  <c r="X1380" i="1"/>
  <c r="U1042" i="1"/>
  <c r="U1093" i="1" s="1"/>
  <c r="U1082" i="1"/>
  <c r="U1113" i="1"/>
  <c r="U1046" i="1"/>
  <c r="AA935" i="1"/>
  <c r="AA937" i="1" s="1"/>
  <c r="AA1216" i="1" s="1"/>
  <c r="AA1305" i="1"/>
  <c r="Z1380" i="1"/>
  <c r="Z1322" i="1"/>
  <c r="J935" i="53"/>
  <c r="J1305" i="53"/>
  <c r="AC1042" i="1"/>
  <c r="AC1093" i="1" s="1"/>
  <c r="AC1046" i="1"/>
  <c r="AC1082" i="1"/>
  <c r="AC1113" i="1"/>
  <c r="AE935" i="1"/>
  <c r="AE1305" i="1"/>
  <c r="P1322" i="53"/>
  <c r="P1380" i="53"/>
  <c r="K933" i="1"/>
  <c r="T1305" i="53"/>
  <c r="T935" i="53"/>
  <c r="T935" i="1"/>
  <c r="T937" i="1" s="1"/>
  <c r="T1216" i="1" s="1"/>
  <c r="T1305" i="1"/>
  <c r="S1380" i="1"/>
  <c r="S1322" i="1"/>
  <c r="R1046" i="1"/>
  <c r="R1042" i="1"/>
  <c r="R1093" i="1" s="1"/>
  <c r="R1082" i="1"/>
  <c r="R1113" i="1"/>
  <c r="S1322" i="53"/>
  <c r="S1380" i="53"/>
  <c r="AB1322" i="1"/>
  <c r="AB1380" i="1"/>
  <c r="Y1042" i="1"/>
  <c r="Y1093" i="1" s="1"/>
  <c r="Y1046" i="1"/>
  <c r="Y1082" i="1"/>
  <c r="Y1113" i="1"/>
  <c r="N935" i="1"/>
  <c r="N1305" i="1"/>
  <c r="K897" i="1"/>
  <c r="Q1008" i="53"/>
  <c r="Q1220" i="53"/>
  <c r="Q932" i="53"/>
  <c r="Q933" i="53" s="1"/>
  <c r="N935" i="53"/>
  <c r="N1305" i="53"/>
  <c r="H16" i="4"/>
  <c r="H16" i="49" s="1"/>
  <c r="M1322" i="1"/>
  <c r="M1380" i="1"/>
  <c r="V1042" i="1"/>
  <c r="V1093" i="1" s="1"/>
  <c r="V1082" i="1"/>
  <c r="V1113" i="1"/>
  <c r="V1046" i="1"/>
  <c r="AD1380" i="1"/>
  <c r="AD1322" i="1"/>
  <c r="X935" i="1"/>
  <c r="X937" i="1" s="1"/>
  <c r="X1216" i="1" s="1"/>
  <c r="X1305" i="1"/>
  <c r="O1046" i="1"/>
  <c r="O1042" i="1"/>
  <c r="O1093" i="1" s="1"/>
  <c r="O1113" i="1"/>
  <c r="O1082" i="1"/>
  <c r="J1380" i="53"/>
  <c r="J1322" i="53"/>
  <c r="G1454" i="53"/>
  <c r="G1454" i="1" s="1"/>
  <c r="I1459" i="1"/>
  <c r="G1456" i="53"/>
  <c r="G1446" i="53"/>
  <c r="G1446" i="1" s="1"/>
  <c r="G1455" i="53"/>
  <c r="G1448" i="53"/>
  <c r="G1448" i="1" s="1"/>
  <c r="G1447" i="53"/>
  <c r="G1447" i="1" s="1"/>
  <c r="G1453" i="53"/>
  <c r="G1453" i="1" s="1"/>
  <c r="G1457" i="53"/>
  <c r="G1457" i="1" s="1"/>
  <c r="E1783" i="53"/>
  <c r="Q1042" i="1"/>
  <c r="Q1093" i="1" s="1"/>
  <c r="Q1082" i="1"/>
  <c r="Q1113" i="1"/>
  <c r="Q1046" i="1"/>
  <c r="R1380" i="53"/>
  <c r="R1322" i="53"/>
  <c r="G893" i="1"/>
  <c r="U1322" i="1"/>
  <c r="U1380" i="1"/>
  <c r="O935" i="1"/>
  <c r="O937" i="1" s="1"/>
  <c r="O1216" i="1" s="1"/>
  <c r="O1305" i="1"/>
  <c r="Q935" i="1"/>
  <c r="Q1305" i="1"/>
  <c r="I933" i="1"/>
  <c r="L935" i="53"/>
  <c r="L937" i="53" s="1"/>
  <c r="L1216" i="53" s="1"/>
  <c r="L1305" i="53"/>
  <c r="N1380" i="53"/>
  <c r="N1322" i="53"/>
  <c r="E1771" i="1"/>
  <c r="L897" i="1"/>
  <c r="U1008" i="53"/>
  <c r="U1220" i="53"/>
  <c r="U932" i="53"/>
  <c r="U933" i="53" s="1"/>
  <c r="I897" i="1"/>
  <c r="G897" i="53"/>
  <c r="I1008" i="53"/>
  <c r="I1220" i="53"/>
  <c r="I932" i="53"/>
  <c r="I933" i="53" s="1"/>
  <c r="X1046" i="1"/>
  <c r="X1082" i="1"/>
  <c r="X1042" i="1"/>
  <c r="X1093" i="1" s="1"/>
  <c r="X1113" i="1"/>
  <c r="U935" i="1"/>
  <c r="U1305" i="1"/>
  <c r="J16" i="4"/>
  <c r="J16" i="49" s="1"/>
  <c r="O1380" i="1"/>
  <c r="O1322" i="1"/>
  <c r="Z1046" i="1"/>
  <c r="Z1082" i="1"/>
  <c r="Z1042" i="1"/>
  <c r="Z1093" i="1" s="1"/>
  <c r="Z1113" i="1"/>
  <c r="AC935" i="1"/>
  <c r="AC937" i="1" s="1"/>
  <c r="AC1216" i="1" s="1"/>
  <c r="AC1305" i="1"/>
  <c r="E1787" i="53"/>
  <c r="E1787" i="1" s="1"/>
  <c r="G1865" i="1"/>
  <c r="J933" i="1"/>
  <c r="P1305" i="53"/>
  <c r="P935" i="53"/>
  <c r="Q1322" i="1"/>
  <c r="Q1380" i="1"/>
  <c r="S1046" i="1"/>
  <c r="S1042" i="1"/>
  <c r="S1093" i="1" s="1"/>
  <c r="S1082" i="1"/>
  <c r="S1113" i="1"/>
  <c r="R935" i="1"/>
  <c r="R1305" i="1"/>
  <c r="S935" i="53"/>
  <c r="S937" i="53" s="1"/>
  <c r="S1216" i="53" s="1"/>
  <c r="S1305" i="53"/>
  <c r="AB1082" i="1"/>
  <c r="AB1042" i="1"/>
  <c r="AB1093" i="1" s="1"/>
  <c r="AB1046" i="1"/>
  <c r="AB1113" i="1"/>
  <c r="Y935" i="1"/>
  <c r="Y937" i="1" s="1"/>
  <c r="Y1216" i="1" s="1"/>
  <c r="Y1305" i="1"/>
  <c r="W1380" i="1"/>
  <c r="W1322" i="1"/>
  <c r="P1322" i="1"/>
  <c r="P1380" i="1"/>
  <c r="M1042" i="1"/>
  <c r="M1093" i="1" s="1"/>
  <c r="M1046" i="1"/>
  <c r="M1082" i="1"/>
  <c r="M1113" i="1"/>
  <c r="V935" i="1"/>
  <c r="V1305" i="1"/>
  <c r="V1380" i="53"/>
  <c r="V1322" i="53"/>
  <c r="AD1046" i="1"/>
  <c r="AD1042" i="1"/>
  <c r="AD1093" i="1" s="1"/>
  <c r="AD1082" i="1"/>
  <c r="AD1113" i="1"/>
  <c r="AE937" i="1" l="1"/>
  <c r="AE1216" i="1" s="1"/>
  <c r="N937" i="1"/>
  <c r="N1216" i="1" s="1"/>
  <c r="U937" i="1"/>
  <c r="U1216" i="1" s="1"/>
  <c r="U1381" i="1" s="1"/>
  <c r="U1404" i="1" s="1"/>
  <c r="Q937" i="1"/>
  <c r="Q1216" i="1" s="1"/>
  <c r="Q1381" i="1" s="1"/>
  <c r="Q1404" i="1" s="1"/>
  <c r="P937" i="53"/>
  <c r="P1216" i="53" s="1"/>
  <c r="O937" i="53"/>
  <c r="O1216" i="53" s="1"/>
  <c r="O1381" i="53" s="1"/>
  <c r="P937" i="1"/>
  <c r="P1216" i="1" s="1"/>
  <c r="P1381" i="1" s="1"/>
  <c r="P1404" i="1" s="1"/>
  <c r="T937" i="53"/>
  <c r="T1216" i="53" s="1"/>
  <c r="T1381" i="53" s="1"/>
  <c r="Y1125" i="1"/>
  <c r="Y1117" i="1"/>
  <c r="Y1158" i="1"/>
  <c r="AB1403" i="1"/>
  <c r="AB1866" i="1"/>
  <c r="AB1867" i="1" s="1"/>
  <c r="AB1885" i="1" s="1"/>
  <c r="R1117" i="1"/>
  <c r="R1158" i="1"/>
  <c r="R1125" i="1"/>
  <c r="M935" i="53"/>
  <c r="M937" i="53" s="1"/>
  <c r="M1216" i="53" s="1"/>
  <c r="M1305" i="53"/>
  <c r="N1403" i="1"/>
  <c r="N1866" i="1"/>
  <c r="N1867" i="1" s="1"/>
  <c r="N1885" i="1" s="1"/>
  <c r="L1403" i="53"/>
  <c r="L1866" i="53"/>
  <c r="L1867" i="53" s="1"/>
  <c r="L1885" i="53" s="1"/>
  <c r="T1403" i="1"/>
  <c r="T1866" i="1"/>
  <c r="T1867" i="1" s="1"/>
  <c r="T1885" i="1" s="1"/>
  <c r="V1403" i="53"/>
  <c r="V1866" i="53"/>
  <c r="V1867" i="53" s="1"/>
  <c r="V1885" i="53" s="1"/>
  <c r="AC1381" i="1"/>
  <c r="AC1404" i="1" s="1"/>
  <c r="Q1125" i="1"/>
  <c r="Q1158" i="1"/>
  <c r="Q1117" i="1"/>
  <c r="G1455" i="1"/>
  <c r="E1769" i="53"/>
  <c r="K932" i="1"/>
  <c r="K1008" i="1"/>
  <c r="AC1403" i="1"/>
  <c r="AC1866" i="1"/>
  <c r="AC1867" i="1" s="1"/>
  <c r="AC1885" i="1" s="1"/>
  <c r="AE1403" i="1"/>
  <c r="AE1866" i="1"/>
  <c r="AE1867" i="1" s="1"/>
  <c r="AE1885" i="1" s="1"/>
  <c r="J935" i="1"/>
  <c r="J1305" i="1"/>
  <c r="Z1125" i="1"/>
  <c r="Z1158" i="1"/>
  <c r="Z1117" i="1"/>
  <c r="X1381" i="1"/>
  <c r="X1404" i="1" s="1"/>
  <c r="V1158" i="1"/>
  <c r="V1125" i="1"/>
  <c r="V1117" i="1"/>
  <c r="I79" i="4"/>
  <c r="I79" i="49" s="1"/>
  <c r="S1866" i="53"/>
  <c r="S1867" i="53" s="1"/>
  <c r="S1885" i="53" s="1"/>
  <c r="S1403" i="53"/>
  <c r="K935" i="1"/>
  <c r="K1305" i="1"/>
  <c r="AE1381" i="1"/>
  <c r="AE1404" i="1" s="1"/>
  <c r="Z1403" i="1"/>
  <c r="Z1866" i="1"/>
  <c r="Z1867" i="1" s="1"/>
  <c r="Z1885" i="1" s="1"/>
  <c r="U1125" i="1"/>
  <c r="U1117" i="1"/>
  <c r="U1158" i="1"/>
  <c r="V1403" i="1"/>
  <c r="V1866" i="1"/>
  <c r="V1867" i="1" s="1"/>
  <c r="V1885" i="1" s="1"/>
  <c r="W937" i="1"/>
  <c r="W1216" i="1" s="1"/>
  <c r="AE1117" i="1"/>
  <c r="AE1125" i="1"/>
  <c r="AE1158" i="1"/>
  <c r="J932" i="1"/>
  <c r="J1008" i="1"/>
  <c r="AD937" i="1"/>
  <c r="AD1216" i="1" s="1"/>
  <c r="H12" i="4"/>
  <c r="H12" i="49" s="1"/>
  <c r="M1381" i="1"/>
  <c r="M1404" i="1" s="1"/>
  <c r="O1866" i="53"/>
  <c r="O1867" i="53" s="1"/>
  <c r="O1885" i="53" s="1"/>
  <c r="O1403" i="53"/>
  <c r="AD1125" i="1"/>
  <c r="AD1117" i="1"/>
  <c r="AD1158" i="1"/>
  <c r="M1117" i="1"/>
  <c r="M1125" i="1"/>
  <c r="M1158" i="1"/>
  <c r="P1403" i="1"/>
  <c r="P1866" i="1"/>
  <c r="P1867" i="1" s="1"/>
  <c r="P1885" i="1" s="1"/>
  <c r="P1381" i="53"/>
  <c r="I1220" i="1"/>
  <c r="I1322" i="53"/>
  <c r="G1220" i="53"/>
  <c r="I1380" i="53"/>
  <c r="U1305" i="53"/>
  <c r="U935" i="53"/>
  <c r="U937" i="53" s="1"/>
  <c r="U1216" i="53" s="1"/>
  <c r="E1783" i="1"/>
  <c r="E1792" i="53"/>
  <c r="AD1403" i="1"/>
  <c r="AD1866" i="1"/>
  <c r="AD1867" i="1" s="1"/>
  <c r="AD1885" i="1" s="1"/>
  <c r="AA1381" i="1"/>
  <c r="AA1404" i="1" s="1"/>
  <c r="R1403" i="1"/>
  <c r="R1866" i="1"/>
  <c r="R1867" i="1" s="1"/>
  <c r="R1885" i="1" s="1"/>
  <c r="AA1117" i="1"/>
  <c r="AA1125" i="1"/>
  <c r="AA1158" i="1"/>
  <c r="Y1381" i="1"/>
  <c r="Y1404" i="1" s="1"/>
  <c r="R937" i="1"/>
  <c r="R1216" i="1" s="1"/>
  <c r="G1008" i="53"/>
  <c r="L1220" i="1"/>
  <c r="U1322" i="53"/>
  <c r="U1380" i="53"/>
  <c r="C113" i="3"/>
  <c r="C151" i="3"/>
  <c r="C77" i="3"/>
  <c r="G195" i="3"/>
  <c r="L1381" i="53"/>
  <c r="J79" i="4"/>
  <c r="J79" i="49" s="1"/>
  <c r="M1403" i="1"/>
  <c r="M1866" i="1"/>
  <c r="M1867" i="1" s="1"/>
  <c r="M1885" i="1" s="1"/>
  <c r="S1403" i="1"/>
  <c r="S1866" i="1"/>
  <c r="S1867" i="1" s="1"/>
  <c r="S1885" i="1" s="1"/>
  <c r="X1403" i="1"/>
  <c r="X1866" i="1"/>
  <c r="X1867" i="1" s="1"/>
  <c r="X1885" i="1" s="1"/>
  <c r="T1125" i="1"/>
  <c r="T1117" i="1"/>
  <c r="T1158" i="1"/>
  <c r="T1403" i="53"/>
  <c r="T1866" i="53"/>
  <c r="T1867" i="53" s="1"/>
  <c r="T1885" i="53" s="1"/>
  <c r="H79" i="4"/>
  <c r="H79" i="49" s="1"/>
  <c r="AA1403" i="1"/>
  <c r="AA1866" i="1"/>
  <c r="AA1867" i="1" s="1"/>
  <c r="AA1885" i="1" s="1"/>
  <c r="AB1125" i="1"/>
  <c r="AB1117" i="1"/>
  <c r="AB1158" i="1"/>
  <c r="S1117" i="1"/>
  <c r="S1125" i="1"/>
  <c r="S1158" i="1"/>
  <c r="Q1403" i="1"/>
  <c r="Q1866" i="1"/>
  <c r="Q1867" i="1" s="1"/>
  <c r="Q1885" i="1" s="1"/>
  <c r="I935" i="1"/>
  <c r="I937" i="1" s="1"/>
  <c r="I1305" i="1"/>
  <c r="J12" i="4"/>
  <c r="J12" i="49" s="1"/>
  <c r="O1381" i="1"/>
  <c r="O1404" i="1" s="1"/>
  <c r="O1117" i="1"/>
  <c r="O1125" i="1"/>
  <c r="O1158" i="1"/>
  <c r="Q935" i="53"/>
  <c r="Q937" i="53" s="1"/>
  <c r="Q1216" i="53" s="1"/>
  <c r="Q1305" i="53"/>
  <c r="V937" i="1"/>
  <c r="V1216" i="1" s="1"/>
  <c r="W1403" i="1"/>
  <c r="W1866" i="1"/>
  <c r="W1867" i="1" s="1"/>
  <c r="W1885" i="1" s="1"/>
  <c r="S1381" i="53"/>
  <c r="O1403" i="1"/>
  <c r="O1866" i="1"/>
  <c r="O1867" i="1" s="1"/>
  <c r="O1885" i="1" s="1"/>
  <c r="X1117" i="1"/>
  <c r="X1158" i="1"/>
  <c r="X1125" i="1"/>
  <c r="I1305" i="53"/>
  <c r="I935" i="53"/>
  <c r="I937" i="53" s="1"/>
  <c r="I1216" i="53" s="1"/>
  <c r="G897" i="1"/>
  <c r="I932" i="1"/>
  <c r="I1008" i="1"/>
  <c r="L932" i="1"/>
  <c r="L1008" i="1"/>
  <c r="N1403" i="53"/>
  <c r="N1866" i="53"/>
  <c r="N1867" i="53" s="1"/>
  <c r="N1885" i="53" s="1"/>
  <c r="U1403" i="1"/>
  <c r="U1866" i="1"/>
  <c r="U1867" i="1" s="1"/>
  <c r="U1885" i="1" s="1"/>
  <c r="R1403" i="53"/>
  <c r="R1866" i="53"/>
  <c r="R1867" i="53" s="1"/>
  <c r="R1885" i="53" s="1"/>
  <c r="G1456" i="1"/>
  <c r="E1770" i="53"/>
  <c r="J1403" i="53"/>
  <c r="J1866" i="53"/>
  <c r="J1867" i="53" s="1"/>
  <c r="J1885" i="53" s="1"/>
  <c r="K1220" i="1"/>
  <c r="Q1322" i="53"/>
  <c r="Q1380" i="53"/>
  <c r="I12" i="4"/>
  <c r="I12" i="49" s="1"/>
  <c r="N1381" i="1"/>
  <c r="N1404" i="1" s="1"/>
  <c r="T1381" i="1"/>
  <c r="T1404" i="1" s="1"/>
  <c r="P1403" i="53"/>
  <c r="P1866" i="53"/>
  <c r="P1867" i="53" s="1"/>
  <c r="P1885" i="53" s="1"/>
  <c r="AC1117" i="1"/>
  <c r="AC1125" i="1"/>
  <c r="AC1158" i="1"/>
  <c r="K937" i="53"/>
  <c r="K1216" i="53" s="1"/>
  <c r="N1125" i="1"/>
  <c r="N1117" i="1"/>
  <c r="N1158" i="1"/>
  <c r="Y1403" i="1"/>
  <c r="Y1866" i="1"/>
  <c r="Y1867" i="1" s="1"/>
  <c r="Y1885" i="1" s="1"/>
  <c r="J1220" i="1"/>
  <c r="M1322" i="53"/>
  <c r="M1380" i="53"/>
  <c r="K1866" i="53"/>
  <c r="K1867" i="53" s="1"/>
  <c r="K1885" i="53" s="1"/>
  <c r="K1403" i="53"/>
  <c r="P1125" i="1"/>
  <c r="P1117" i="1"/>
  <c r="P1158" i="1"/>
  <c r="W1117" i="1"/>
  <c r="W1125" i="1"/>
  <c r="W1158" i="1"/>
  <c r="AB937" i="1"/>
  <c r="AB1216" i="1" s="1"/>
  <c r="S937" i="1"/>
  <c r="S1216" i="1" s="1"/>
  <c r="Z937" i="1"/>
  <c r="Z1216" i="1" s="1"/>
  <c r="N937" i="53" l="1"/>
  <c r="N1216" i="53" s="1"/>
  <c r="J1216" i="1" s="1"/>
  <c r="J937" i="1"/>
  <c r="S1381" i="1"/>
  <c r="S1404" i="1" s="1"/>
  <c r="G16" i="4"/>
  <c r="G16" i="49" s="1"/>
  <c r="L1322" i="1"/>
  <c r="L1380" i="1"/>
  <c r="U1381" i="53"/>
  <c r="G1322" i="53"/>
  <c r="F79" i="4"/>
  <c r="F79" i="49" s="1"/>
  <c r="E79" i="4"/>
  <c r="E79" i="49" s="1"/>
  <c r="M1381" i="53"/>
  <c r="K1381" i="53"/>
  <c r="Q1403" i="53"/>
  <c r="Q1866" i="53"/>
  <c r="Q1867" i="53" s="1"/>
  <c r="Q1885" i="53" s="1"/>
  <c r="D79" i="4"/>
  <c r="D79" i="49" s="1"/>
  <c r="F113" i="3"/>
  <c r="R1381" i="1"/>
  <c r="R1404" i="1" s="1"/>
  <c r="E1792" i="1"/>
  <c r="D16" i="4"/>
  <c r="D16" i="49" s="1"/>
  <c r="G1220" i="1"/>
  <c r="I1322" i="1"/>
  <c r="I1380" i="1"/>
  <c r="K937" i="1"/>
  <c r="L937" i="1"/>
  <c r="E1769" i="1"/>
  <c r="L1082" i="1"/>
  <c r="L1042" i="1"/>
  <c r="L1093" i="1" s="1"/>
  <c r="L1046" i="1"/>
  <c r="L1113" i="1"/>
  <c r="S1404" i="53"/>
  <c r="S1452" i="53"/>
  <c r="V1381" i="1"/>
  <c r="V1404" i="1" s="1"/>
  <c r="R195" i="3"/>
  <c r="G228" i="3"/>
  <c r="G262" i="3" s="1"/>
  <c r="R262" i="3" s="1"/>
  <c r="U1403" i="53"/>
  <c r="U1866" i="53"/>
  <c r="U1867" i="53" s="1"/>
  <c r="U1885" i="53" s="1"/>
  <c r="T1452" i="53"/>
  <c r="T1404" i="53"/>
  <c r="C161" i="3"/>
  <c r="C88" i="3"/>
  <c r="I1403" i="53"/>
  <c r="G1380" i="53"/>
  <c r="I1866" i="53"/>
  <c r="AD1381" i="1"/>
  <c r="AD1404" i="1" s="1"/>
  <c r="R937" i="53"/>
  <c r="R1216" i="53" s="1"/>
  <c r="K1216" i="1" s="1"/>
  <c r="V937" i="53"/>
  <c r="V1216" i="53" s="1"/>
  <c r="J937" i="53"/>
  <c r="J1216" i="53" s="1"/>
  <c r="I1216" i="1" s="1"/>
  <c r="E1770" i="1"/>
  <c r="I1042" i="1"/>
  <c r="E1053" i="1" a="1"/>
  <c r="I1046" i="1"/>
  <c r="I1082" i="1"/>
  <c r="I1113" i="1"/>
  <c r="G1008" i="1"/>
  <c r="E1329" i="1" a="1"/>
  <c r="Q1381" i="53"/>
  <c r="N1381" i="53"/>
  <c r="AB1381" i="1"/>
  <c r="AB1404" i="1" s="1"/>
  <c r="M1403" i="53"/>
  <c r="M1866" i="53"/>
  <c r="M1867" i="53" s="1"/>
  <c r="M1885" i="53" s="1"/>
  <c r="Z1381" i="1"/>
  <c r="Z1404" i="1" s="1"/>
  <c r="E16" i="4"/>
  <c r="E16" i="49" s="1"/>
  <c r="J1380" i="1"/>
  <c r="J1322" i="1"/>
  <c r="F16" i="4"/>
  <c r="F16" i="49" s="1"/>
  <c r="K1380" i="1"/>
  <c r="K1322" i="1"/>
  <c r="I1381" i="53"/>
  <c r="L1452" i="53"/>
  <c r="L1404" i="53"/>
  <c r="O1404" i="53"/>
  <c r="O1452" i="53"/>
  <c r="P1404" i="53"/>
  <c r="P1452" i="53"/>
  <c r="J1046" i="1"/>
  <c r="J1082" i="1"/>
  <c r="J1042" i="1"/>
  <c r="J1093" i="1" s="1"/>
  <c r="J1113" i="1"/>
  <c r="W1381" i="1"/>
  <c r="W1404" i="1" s="1"/>
  <c r="K1046" i="1"/>
  <c r="K1042" i="1"/>
  <c r="K1093" i="1" s="1"/>
  <c r="K1113" i="1"/>
  <c r="K1082" i="1"/>
  <c r="J1403" i="1" l="1"/>
  <c r="J1866" i="1"/>
  <c r="J1867" i="1" s="1"/>
  <c r="J1885" i="1" s="1"/>
  <c r="G1866" i="53"/>
  <c r="I1867" i="53"/>
  <c r="L1125" i="1"/>
  <c r="L1117" i="1"/>
  <c r="L1158" i="1"/>
  <c r="M1404" i="53"/>
  <c r="M1452" i="53"/>
  <c r="I1404" i="53"/>
  <c r="I1452" i="53"/>
  <c r="I1125" i="1"/>
  <c r="I1117" i="1"/>
  <c r="G1113" i="1"/>
  <c r="I1137" i="1"/>
  <c r="I1158" i="1"/>
  <c r="I1093" i="1"/>
  <c r="G1042" i="1"/>
  <c r="V1381" i="53"/>
  <c r="C75" i="3"/>
  <c r="C111" i="3"/>
  <c r="C98" i="3"/>
  <c r="C171" i="3"/>
  <c r="K1404" i="53"/>
  <c r="K1452" i="53"/>
  <c r="U1404" i="53"/>
  <c r="U1452" i="53"/>
  <c r="L1403" i="1"/>
  <c r="L1866" i="1"/>
  <c r="L1867" i="1" s="1"/>
  <c r="L1885" i="1" s="1"/>
  <c r="D12" i="4"/>
  <c r="D12" i="49" s="1"/>
  <c r="I1381" i="1"/>
  <c r="Q1404" i="53"/>
  <c r="Q1452" i="53"/>
  <c r="J1381" i="53"/>
  <c r="N1404" i="53"/>
  <c r="N1452" i="53"/>
  <c r="F12" i="4"/>
  <c r="F12" i="49" s="1"/>
  <c r="K1381" i="1"/>
  <c r="K1404" i="1" s="1"/>
  <c r="G1082" i="1"/>
  <c r="I1086" i="1"/>
  <c r="R1381" i="53"/>
  <c r="G1403" i="53"/>
  <c r="E12" i="4"/>
  <c r="E12" i="49" s="1"/>
  <c r="J1381" i="1"/>
  <c r="J1404" i="1" s="1"/>
  <c r="J1125" i="1"/>
  <c r="J1158" i="1"/>
  <c r="J1117" i="1"/>
  <c r="E1056" i="1"/>
  <c r="E1057" i="1"/>
  <c r="E1064" i="1"/>
  <c r="E1065" i="1"/>
  <c r="E1072" i="1"/>
  <c r="E1073" i="1"/>
  <c r="E1058" i="1"/>
  <c r="E1059" i="1"/>
  <c r="E1066" i="1"/>
  <c r="E1067" i="1"/>
  <c r="E1074" i="1"/>
  <c r="E1075" i="1"/>
  <c r="AE1075" i="1" s="1"/>
  <c r="G1075" i="1" s="1"/>
  <c r="E1053" i="1"/>
  <c r="E1060" i="1"/>
  <c r="E1061" i="1"/>
  <c r="E1068" i="1"/>
  <c r="E1069" i="1"/>
  <c r="E1055" i="1"/>
  <c r="E1062" i="1"/>
  <c r="E1063" i="1"/>
  <c r="E1070" i="1"/>
  <c r="E1071" i="1"/>
  <c r="E1054" i="1"/>
  <c r="K1117" i="1"/>
  <c r="K1125" i="1"/>
  <c r="K1158" i="1"/>
  <c r="G1216" i="53"/>
  <c r="K1403" i="1"/>
  <c r="K1866" i="1"/>
  <c r="K1867" i="1" s="1"/>
  <c r="K1885" i="1" s="1"/>
  <c r="E1332" i="1"/>
  <c r="E1339" i="1"/>
  <c r="E1340" i="1"/>
  <c r="E1347" i="1"/>
  <c r="E1348" i="1"/>
  <c r="E1331" i="1"/>
  <c r="E1334" i="1"/>
  <c r="E1337" i="1"/>
  <c r="E1342" i="1"/>
  <c r="E1345" i="1"/>
  <c r="E1350" i="1"/>
  <c r="E1330" i="1"/>
  <c r="E1335" i="1"/>
  <c r="E1336" i="1"/>
  <c r="E1343" i="1"/>
  <c r="E1344" i="1"/>
  <c r="E1351" i="1"/>
  <c r="E1329" i="1"/>
  <c r="E1338" i="1"/>
  <c r="E1341" i="1"/>
  <c r="E1333" i="1"/>
  <c r="E1346" i="1"/>
  <c r="E1349" i="1"/>
  <c r="G1046" i="1"/>
  <c r="C76" i="3"/>
  <c r="C112" i="3"/>
  <c r="I1403" i="1"/>
  <c r="G1380" i="1"/>
  <c r="I1866" i="1"/>
  <c r="L1216" i="1"/>
  <c r="G1381" i="53" l="1"/>
  <c r="F112" i="3"/>
  <c r="L1054" i="1"/>
  <c r="J1054" i="1"/>
  <c r="K1054" i="1"/>
  <c r="G1093" i="1"/>
  <c r="G1403" i="1"/>
  <c r="AA1071" i="1"/>
  <c r="AB1071" i="1"/>
  <c r="AC1071" i="1"/>
  <c r="K1055" i="1"/>
  <c r="L1055" i="1"/>
  <c r="M1055" i="1"/>
  <c r="R1060" i="1"/>
  <c r="P1060" i="1"/>
  <c r="Q1060" i="1"/>
  <c r="W1067" i="1"/>
  <c r="X1067" i="1"/>
  <c r="Y1067" i="1"/>
  <c r="AC1073" i="1"/>
  <c r="AE1073" i="1"/>
  <c r="AD1073" i="1"/>
  <c r="M1057" i="1"/>
  <c r="O1057" i="1"/>
  <c r="N1057" i="1"/>
  <c r="J1404" i="53"/>
  <c r="J1452" i="53"/>
  <c r="I1404" i="1"/>
  <c r="F111" i="3"/>
  <c r="V1404" i="53"/>
  <c r="V1452" i="53"/>
  <c r="G1158" i="1"/>
  <c r="I1129" i="1"/>
  <c r="G1125" i="1"/>
  <c r="I1452" i="1"/>
  <c r="J1452" i="1"/>
  <c r="T1062" i="1"/>
  <c r="R1062" i="1"/>
  <c r="S1062" i="1"/>
  <c r="AE1074" i="1"/>
  <c r="AD1074" i="1"/>
  <c r="V1064" i="1"/>
  <c r="T1064" i="1"/>
  <c r="U1064" i="1"/>
  <c r="G1867" i="53"/>
  <c r="I1885" i="53"/>
  <c r="F1329" i="1"/>
  <c r="F1333" i="1"/>
  <c r="F1338" i="1"/>
  <c r="F1341" i="1"/>
  <c r="F1346" i="1"/>
  <c r="F1349" i="1"/>
  <c r="F1332" i="1"/>
  <c r="F1339" i="1"/>
  <c r="F1340" i="1"/>
  <c r="F1347" i="1"/>
  <c r="F1348" i="1"/>
  <c r="F1331" i="1"/>
  <c r="F1334" i="1"/>
  <c r="F1337" i="1"/>
  <c r="F1342" i="1"/>
  <c r="F1345" i="1"/>
  <c r="F1350" i="1"/>
  <c r="E1352" i="1"/>
  <c r="F1351" i="1"/>
  <c r="AE1351" i="1" s="1"/>
  <c r="G1351" i="1" s="1"/>
  <c r="F1330" i="1"/>
  <c r="F1335" i="1"/>
  <c r="F1344" i="1"/>
  <c r="F1336" i="1"/>
  <c r="F1343" i="1"/>
  <c r="AB1070" i="1"/>
  <c r="Z1070" i="1"/>
  <c r="AA1070" i="1"/>
  <c r="Y1069" i="1"/>
  <c r="Z1069" i="1"/>
  <c r="AA1069" i="1"/>
  <c r="I1053" i="1"/>
  <c r="F1054" i="1"/>
  <c r="F1056" i="1"/>
  <c r="F1058" i="1"/>
  <c r="F1060" i="1"/>
  <c r="F1062" i="1"/>
  <c r="F1064" i="1"/>
  <c r="F1066" i="1"/>
  <c r="F1068" i="1"/>
  <c r="F1070" i="1"/>
  <c r="F1072" i="1"/>
  <c r="F1074" i="1"/>
  <c r="F1055" i="1"/>
  <c r="F1063" i="1"/>
  <c r="F1071" i="1"/>
  <c r="J1053" i="1"/>
  <c r="F1057" i="1"/>
  <c r="F1065" i="1"/>
  <c r="F1073" i="1"/>
  <c r="E1076" i="1"/>
  <c r="K1053" i="1"/>
  <c r="F1059" i="1"/>
  <c r="F1067" i="1"/>
  <c r="F1075" i="1"/>
  <c r="F1069" i="1"/>
  <c r="F1053" i="1"/>
  <c r="F1061" i="1"/>
  <c r="X1066" i="1"/>
  <c r="W1066" i="1"/>
  <c r="V1066" i="1"/>
  <c r="AD1072" i="1"/>
  <c r="AB1072" i="1"/>
  <c r="AC1072" i="1"/>
  <c r="N1056" i="1"/>
  <c r="L1056" i="1"/>
  <c r="M1056" i="1"/>
  <c r="C126" i="3"/>
  <c r="I1138" i="1"/>
  <c r="J1136" i="1" s="1"/>
  <c r="I1141" i="1"/>
  <c r="I1147" i="1"/>
  <c r="Q1061" i="1"/>
  <c r="R1061" i="1"/>
  <c r="S1061" i="1"/>
  <c r="P1058" i="1"/>
  <c r="O1058" i="1"/>
  <c r="N1058" i="1"/>
  <c r="I1121" i="1"/>
  <c r="G1117" i="1"/>
  <c r="G12" i="4"/>
  <c r="G12" i="49" s="1"/>
  <c r="L1381" i="1"/>
  <c r="L1404" i="1" s="1"/>
  <c r="G1866" i="1"/>
  <c r="I1867" i="1"/>
  <c r="S1063" i="1"/>
  <c r="T1063" i="1"/>
  <c r="U1063" i="1"/>
  <c r="Z1068" i="1"/>
  <c r="X1068" i="1"/>
  <c r="Y1068" i="1"/>
  <c r="O1059" i="1"/>
  <c r="P1059" i="1"/>
  <c r="Q1059" i="1"/>
  <c r="U1065" i="1"/>
  <c r="W1065" i="1"/>
  <c r="V1065" i="1"/>
  <c r="R1404" i="53"/>
  <c r="R1452" i="53"/>
  <c r="G1216" i="1"/>
  <c r="L1452" i="1"/>
  <c r="G1452" i="53" l="1"/>
  <c r="E1772" i="53" s="1"/>
  <c r="K1076" i="1"/>
  <c r="Q1076" i="1"/>
  <c r="K1452" i="1"/>
  <c r="AD1076" i="1"/>
  <c r="G1404" i="53"/>
  <c r="G1064" i="1"/>
  <c r="G1067" i="1"/>
  <c r="G1074" i="1"/>
  <c r="AE1076" i="1"/>
  <c r="M1076" i="1"/>
  <c r="Z1076" i="1"/>
  <c r="G1404" i="1"/>
  <c r="G1054" i="1"/>
  <c r="G1065" i="1"/>
  <c r="G1058" i="1"/>
  <c r="G1053" i="1"/>
  <c r="I1076" i="1"/>
  <c r="M1330" i="1"/>
  <c r="Q1330" i="1"/>
  <c r="U1330" i="1"/>
  <c r="Y1330" i="1"/>
  <c r="AC1330" i="1"/>
  <c r="J1330" i="1"/>
  <c r="N1330" i="1"/>
  <c r="R1330" i="1"/>
  <c r="V1330" i="1"/>
  <c r="Z1330" i="1"/>
  <c r="K1330" i="1"/>
  <c r="O1330" i="1"/>
  <c r="S1330" i="1"/>
  <c r="W1330" i="1"/>
  <c r="AA1330" i="1"/>
  <c r="P1330" i="1"/>
  <c r="X1330" i="1"/>
  <c r="L1330" i="1"/>
  <c r="AB1330" i="1"/>
  <c r="T1330" i="1"/>
  <c r="K1331" i="1"/>
  <c r="O1331" i="1"/>
  <c r="S1331" i="1"/>
  <c r="W1331" i="1"/>
  <c r="AA1331" i="1"/>
  <c r="L1331" i="1"/>
  <c r="P1331" i="1"/>
  <c r="T1331" i="1"/>
  <c r="X1331" i="1"/>
  <c r="AB1331" i="1"/>
  <c r="M1331" i="1"/>
  <c r="Q1331" i="1"/>
  <c r="U1331" i="1"/>
  <c r="Y1331" i="1"/>
  <c r="AC1331" i="1"/>
  <c r="Z1331" i="1"/>
  <c r="R1331" i="1"/>
  <c r="V1331" i="1"/>
  <c r="AD1331" i="1"/>
  <c r="N1331" i="1"/>
  <c r="W1341" i="1"/>
  <c r="AA1341" i="1"/>
  <c r="AE1341" i="1"/>
  <c r="X1341" i="1"/>
  <c r="AB1341" i="1"/>
  <c r="U1341" i="1"/>
  <c r="Y1341" i="1"/>
  <c r="AC1341" i="1"/>
  <c r="Z1341" i="1"/>
  <c r="AD1341" i="1"/>
  <c r="V1341" i="1"/>
  <c r="G1061" i="1"/>
  <c r="G1072" i="1"/>
  <c r="X1076" i="1"/>
  <c r="J1076" i="1"/>
  <c r="AA1076" i="1"/>
  <c r="G1070" i="1"/>
  <c r="S1336" i="1"/>
  <c r="W1336" i="1"/>
  <c r="AA1336" i="1"/>
  <c r="AE1336" i="1"/>
  <c r="P1336" i="1"/>
  <c r="T1336" i="1"/>
  <c r="X1336" i="1"/>
  <c r="AB1336" i="1"/>
  <c r="Q1336" i="1"/>
  <c r="U1336" i="1"/>
  <c r="Y1336" i="1"/>
  <c r="AC1336" i="1"/>
  <c r="R1336" i="1"/>
  <c r="Z1336" i="1"/>
  <c r="AD1336" i="1"/>
  <c r="V1336" i="1"/>
  <c r="V1342" i="1"/>
  <c r="Z1342" i="1"/>
  <c r="AD1342" i="1"/>
  <c r="W1342" i="1"/>
  <c r="AA1342" i="1"/>
  <c r="AE1342" i="1"/>
  <c r="X1342" i="1"/>
  <c r="AB1342" i="1"/>
  <c r="AC1342" i="1"/>
  <c r="Y1342" i="1"/>
  <c r="AC1348" i="1"/>
  <c r="AD1348" i="1"/>
  <c r="AE1348" i="1"/>
  <c r="AB1348" i="1"/>
  <c r="M1332" i="1"/>
  <c r="Q1332" i="1"/>
  <c r="U1332" i="1"/>
  <c r="Y1332" i="1"/>
  <c r="AC1332" i="1"/>
  <c r="N1332" i="1"/>
  <c r="R1332" i="1"/>
  <c r="V1332" i="1"/>
  <c r="Z1332" i="1"/>
  <c r="AD1332" i="1"/>
  <c r="O1332" i="1"/>
  <c r="S1332" i="1"/>
  <c r="W1332" i="1"/>
  <c r="AA1332" i="1"/>
  <c r="AE1332" i="1"/>
  <c r="T1332" i="1"/>
  <c r="L1332" i="1"/>
  <c r="AB1332" i="1"/>
  <c r="P1332" i="1"/>
  <c r="X1332" i="1"/>
  <c r="T1338" i="1"/>
  <c r="X1338" i="1"/>
  <c r="AB1338" i="1"/>
  <c r="U1338" i="1"/>
  <c r="Y1338" i="1"/>
  <c r="AC1338" i="1"/>
  <c r="R1338" i="1"/>
  <c r="V1338" i="1"/>
  <c r="Z1338" i="1"/>
  <c r="AD1338" i="1"/>
  <c r="AE1338" i="1"/>
  <c r="W1338" i="1"/>
  <c r="AA1338" i="1"/>
  <c r="S1338" i="1"/>
  <c r="G1885" i="53"/>
  <c r="V1076" i="1"/>
  <c r="G1062" i="1"/>
  <c r="G1381" i="1"/>
  <c r="O1076" i="1"/>
  <c r="G1073" i="1"/>
  <c r="G1071" i="1"/>
  <c r="L1076" i="1"/>
  <c r="I1885" i="1"/>
  <c r="G1867" i="1"/>
  <c r="J1137" i="1"/>
  <c r="J1138" i="1" s="1"/>
  <c r="K1136" i="1" s="1"/>
  <c r="Z1343" i="1"/>
  <c r="AD1343" i="1"/>
  <c r="W1343" i="1"/>
  <c r="AA1343" i="1"/>
  <c r="AE1343" i="1"/>
  <c r="X1343" i="1"/>
  <c r="AB1343" i="1"/>
  <c r="Y1343" i="1"/>
  <c r="AC1343" i="1"/>
  <c r="Y1345" i="1"/>
  <c r="AC1345" i="1"/>
  <c r="Z1345" i="1"/>
  <c r="AD1345" i="1"/>
  <c r="AA1345" i="1"/>
  <c r="AE1345" i="1"/>
  <c r="AB1345" i="1"/>
  <c r="T1339" i="1"/>
  <c r="X1339" i="1"/>
  <c r="AB1339" i="1"/>
  <c r="U1339" i="1"/>
  <c r="Y1339" i="1"/>
  <c r="AC1339" i="1"/>
  <c r="V1339" i="1"/>
  <c r="Z1339" i="1"/>
  <c r="AD1339" i="1"/>
  <c r="AE1339" i="1"/>
  <c r="W1339" i="1"/>
  <c r="AA1339" i="1"/>
  <c r="S1339" i="1"/>
  <c r="G1068" i="1"/>
  <c r="G1063" i="1"/>
  <c r="AB1076" i="1"/>
  <c r="AB1347" i="1"/>
  <c r="AC1347" i="1"/>
  <c r="AD1347" i="1"/>
  <c r="AA1347" i="1"/>
  <c r="AE1347" i="1"/>
  <c r="O1333" i="1"/>
  <c r="S1333" i="1"/>
  <c r="W1333" i="1"/>
  <c r="AA1333" i="1"/>
  <c r="AE1333" i="1"/>
  <c r="P1333" i="1"/>
  <c r="T1333" i="1"/>
  <c r="X1333" i="1"/>
  <c r="AB1333" i="1"/>
  <c r="M1333" i="1"/>
  <c r="Q1333" i="1"/>
  <c r="U1333" i="1"/>
  <c r="Y1333" i="1"/>
  <c r="AC1333" i="1"/>
  <c r="N1333" i="1"/>
  <c r="AD1333" i="1"/>
  <c r="V1333" i="1"/>
  <c r="Z1333" i="1"/>
  <c r="R1333" i="1"/>
  <c r="T1076" i="1"/>
  <c r="G1057" i="1"/>
  <c r="Y1076" i="1"/>
  <c r="G1060" i="1"/>
  <c r="G1055" i="1"/>
  <c r="P1076" i="1"/>
  <c r="G1056" i="1"/>
  <c r="AA1344" i="1"/>
  <c r="AE1344" i="1"/>
  <c r="X1344" i="1"/>
  <c r="AB1344" i="1"/>
  <c r="Y1344" i="1"/>
  <c r="AC1344" i="1"/>
  <c r="AD1344" i="1"/>
  <c r="Z1344" i="1"/>
  <c r="Q1337" i="1"/>
  <c r="U1337" i="1"/>
  <c r="Y1337" i="1"/>
  <c r="AC1337" i="1"/>
  <c r="R1337" i="1"/>
  <c r="V1337" i="1"/>
  <c r="Z1337" i="1"/>
  <c r="AD1337" i="1"/>
  <c r="S1337" i="1"/>
  <c r="W1337" i="1"/>
  <c r="AA1337" i="1"/>
  <c r="AE1337" i="1"/>
  <c r="X1337" i="1"/>
  <c r="AB1337" i="1"/>
  <c r="T1337" i="1"/>
  <c r="AE1349" i="1"/>
  <c r="AC1349" i="1"/>
  <c r="AD1349" i="1"/>
  <c r="W1076" i="1"/>
  <c r="G1059" i="1"/>
  <c r="U1076" i="1"/>
  <c r="S1076" i="1"/>
  <c r="F126" i="3"/>
  <c r="N1076" i="1"/>
  <c r="G1066" i="1"/>
  <c r="F1076" i="1"/>
  <c r="G1069" i="1"/>
  <c r="R1335" i="1"/>
  <c r="V1335" i="1"/>
  <c r="Z1335" i="1"/>
  <c r="AD1335" i="1"/>
  <c r="O1335" i="1"/>
  <c r="S1335" i="1"/>
  <c r="W1335" i="1"/>
  <c r="AA1335" i="1"/>
  <c r="AE1335" i="1"/>
  <c r="P1335" i="1"/>
  <c r="T1335" i="1"/>
  <c r="X1335" i="1"/>
  <c r="AB1335" i="1"/>
  <c r="U1335" i="1"/>
  <c r="AC1335" i="1"/>
  <c r="Q1335" i="1"/>
  <c r="Y1335" i="1"/>
  <c r="AD1350" i="1"/>
  <c r="AE1350" i="1"/>
  <c r="N1334" i="1"/>
  <c r="R1334" i="1"/>
  <c r="V1334" i="1"/>
  <c r="Z1334" i="1"/>
  <c r="AD1334" i="1"/>
  <c r="O1334" i="1"/>
  <c r="S1334" i="1"/>
  <c r="W1334" i="1"/>
  <c r="AA1334" i="1"/>
  <c r="AE1334" i="1"/>
  <c r="P1334" i="1"/>
  <c r="T1334" i="1"/>
  <c r="X1334" i="1"/>
  <c r="AB1334" i="1"/>
  <c r="Y1334" i="1"/>
  <c r="Q1334" i="1"/>
  <c r="U1334" i="1"/>
  <c r="AC1334" i="1"/>
  <c r="U1340" i="1"/>
  <c r="Y1340" i="1"/>
  <c r="AC1340" i="1"/>
  <c r="V1340" i="1"/>
  <c r="Z1340" i="1"/>
  <c r="AD1340" i="1"/>
  <c r="W1340" i="1"/>
  <c r="AA1340" i="1"/>
  <c r="AE1340" i="1"/>
  <c r="X1340" i="1"/>
  <c r="AB1340" i="1"/>
  <c r="T1340" i="1"/>
  <c r="AB1346" i="1"/>
  <c r="AC1346" i="1"/>
  <c r="Z1346" i="1"/>
  <c r="AD1346" i="1"/>
  <c r="AA1346" i="1"/>
  <c r="AE1346" i="1"/>
  <c r="K1329" i="1"/>
  <c r="O1329" i="1"/>
  <c r="S1329" i="1"/>
  <c r="W1329" i="1"/>
  <c r="AA1329" i="1"/>
  <c r="L1329" i="1"/>
  <c r="P1329" i="1"/>
  <c r="T1329" i="1"/>
  <c r="X1329" i="1"/>
  <c r="AB1329" i="1"/>
  <c r="I1329" i="1"/>
  <c r="M1329" i="1"/>
  <c r="Q1329" i="1"/>
  <c r="U1329" i="1"/>
  <c r="Y1329" i="1"/>
  <c r="V1329" i="1"/>
  <c r="N1329" i="1"/>
  <c r="R1329" i="1"/>
  <c r="J1329" i="1"/>
  <c r="Z1329" i="1"/>
  <c r="F1352" i="1"/>
  <c r="R1076" i="1"/>
  <c r="AC1076" i="1"/>
  <c r="G1452" i="1" l="1"/>
  <c r="K1352" i="1"/>
  <c r="K1323" i="1" s="1"/>
  <c r="R1323" i="53" s="1"/>
  <c r="R1259" i="53" s="1"/>
  <c r="J1352" i="1"/>
  <c r="J1323" i="1" s="1"/>
  <c r="M1323" i="53" s="1"/>
  <c r="M1259" i="53" s="1"/>
  <c r="G1332" i="1"/>
  <c r="X1352" i="1"/>
  <c r="X1323" i="1" s="1"/>
  <c r="X1259" i="1" s="1"/>
  <c r="N1352" i="1"/>
  <c r="N1323" i="1" s="1"/>
  <c r="N1259" i="1" s="1"/>
  <c r="Q1352" i="1"/>
  <c r="Q1323" i="1" s="1"/>
  <c r="Q1259" i="1" s="1"/>
  <c r="AA1352" i="1"/>
  <c r="AA1323" i="1" s="1"/>
  <c r="AA1259" i="1" s="1"/>
  <c r="G1346" i="1"/>
  <c r="V1352" i="1"/>
  <c r="V1323" i="1" s="1"/>
  <c r="V1259" i="1" s="1"/>
  <c r="G1339" i="1"/>
  <c r="K1137" i="1"/>
  <c r="K1138" i="1" s="1"/>
  <c r="L1136" i="1" s="1"/>
  <c r="J1078" i="1"/>
  <c r="N1078" i="1"/>
  <c r="R1078" i="1"/>
  <c r="V1078" i="1"/>
  <c r="Z1078" i="1"/>
  <c r="AD1078" i="1"/>
  <c r="K1078" i="1"/>
  <c r="O1078" i="1"/>
  <c r="S1078" i="1"/>
  <c r="W1078" i="1"/>
  <c r="AA1078" i="1"/>
  <c r="AE1078" i="1"/>
  <c r="L1078" i="1"/>
  <c r="P1078" i="1"/>
  <c r="T1078" i="1"/>
  <c r="X1078" i="1"/>
  <c r="AB1078" i="1"/>
  <c r="Q1078" i="1"/>
  <c r="U1078" i="1"/>
  <c r="I1078" i="1"/>
  <c r="Y1078" i="1"/>
  <c r="AC1078" i="1"/>
  <c r="M1078" i="1"/>
  <c r="M1352" i="1"/>
  <c r="M1323" i="1" s="1"/>
  <c r="M1259" i="1" s="1"/>
  <c r="G1344" i="1"/>
  <c r="G1347" i="1"/>
  <c r="G1348" i="1"/>
  <c r="AD1352" i="1"/>
  <c r="AD1323" i="1" s="1"/>
  <c r="AD1259" i="1" s="1"/>
  <c r="G1076" i="1"/>
  <c r="I51" i="4"/>
  <c r="I51" i="49" s="1"/>
  <c r="G1334" i="1"/>
  <c r="G1885" i="1"/>
  <c r="W1352" i="1"/>
  <c r="W1323" i="1" s="1"/>
  <c r="W1259" i="1" s="1"/>
  <c r="S1352" i="1"/>
  <c r="S1323" i="1" s="1"/>
  <c r="S1259" i="1" s="1"/>
  <c r="G1333" i="1"/>
  <c r="G1343" i="1"/>
  <c r="J1141" i="1"/>
  <c r="J1147" i="1"/>
  <c r="G1338" i="1"/>
  <c r="AE1352" i="1"/>
  <c r="AE1323" i="1" s="1"/>
  <c r="AE1259" i="1" s="1"/>
  <c r="G1342" i="1"/>
  <c r="G1336" i="1"/>
  <c r="G1341" i="1"/>
  <c r="G1330" i="1"/>
  <c r="E1772" i="1"/>
  <c r="E1775" i="53"/>
  <c r="T1323" i="53"/>
  <c r="T1259" i="53" s="1"/>
  <c r="Q1323" i="53"/>
  <c r="Q1259" i="53" s="1"/>
  <c r="S1323" i="53"/>
  <c r="S1259" i="53" s="1"/>
  <c r="Z1352" i="1"/>
  <c r="Z1323" i="1" s="1"/>
  <c r="Z1259" i="1" s="1"/>
  <c r="T1352" i="1"/>
  <c r="T1323" i="1" s="1"/>
  <c r="T1259" i="1" s="1"/>
  <c r="P1323" i="53"/>
  <c r="P1259" i="53" s="1"/>
  <c r="Y1352" i="1"/>
  <c r="Y1323" i="1" s="1"/>
  <c r="Y1259" i="1" s="1"/>
  <c r="G1329" i="1"/>
  <c r="I1352" i="1"/>
  <c r="P1352" i="1"/>
  <c r="P1323" i="1" s="1"/>
  <c r="P1259" i="1" s="1"/>
  <c r="G1350" i="1"/>
  <c r="R1352" i="1"/>
  <c r="R1323" i="1" s="1"/>
  <c r="R1259" i="1" s="1"/>
  <c r="U1352" i="1"/>
  <c r="U1323" i="1" s="1"/>
  <c r="U1259" i="1" s="1"/>
  <c r="AB1352" i="1"/>
  <c r="AB1323" i="1" s="1"/>
  <c r="AB1259" i="1" s="1"/>
  <c r="L1352" i="1"/>
  <c r="L1323" i="1" s="1"/>
  <c r="O1352" i="1"/>
  <c r="O1323" i="1" s="1"/>
  <c r="O1259" i="1" s="1"/>
  <c r="G1340" i="1"/>
  <c r="G1335" i="1"/>
  <c r="G1349" i="1"/>
  <c r="G1337" i="1"/>
  <c r="G1345" i="1"/>
  <c r="G1331" i="1"/>
  <c r="AC1352" i="1"/>
  <c r="AC1323" i="1" s="1"/>
  <c r="AC1259" i="1" s="1"/>
  <c r="N1323" i="53" l="1"/>
  <c r="N1259" i="53" s="1"/>
  <c r="O1323" i="53"/>
  <c r="O1259" i="53" s="1"/>
  <c r="J51" i="4"/>
  <c r="J51" i="49" s="1"/>
  <c r="E1784" i="53"/>
  <c r="H51" i="4"/>
  <c r="H51" i="49" s="1"/>
  <c r="K1259" i="1"/>
  <c r="L1137" i="1"/>
  <c r="L1138" i="1" s="1"/>
  <c r="M1136" i="1" s="1"/>
  <c r="U1323" i="53"/>
  <c r="U1259" i="53" s="1"/>
  <c r="V1323" i="53"/>
  <c r="V1259" i="53" s="1"/>
  <c r="I1323" i="1"/>
  <c r="G1352" i="1"/>
  <c r="C78" i="3"/>
  <c r="C152" i="3"/>
  <c r="E1775" i="1"/>
  <c r="K1141" i="1"/>
  <c r="K1147" i="1"/>
  <c r="J1259" i="1" l="1"/>
  <c r="E51" i="4" s="1"/>
  <c r="E51" i="49" s="1"/>
  <c r="C114" i="3"/>
  <c r="C81" i="3"/>
  <c r="L1323" i="53"/>
  <c r="L1259" i="53" s="1"/>
  <c r="I1323" i="53"/>
  <c r="J1323" i="53"/>
  <c r="J1259" i="53" s="1"/>
  <c r="K1323" i="53"/>
  <c r="K1259" i="53" s="1"/>
  <c r="I1324" i="1"/>
  <c r="L1141" i="1"/>
  <c r="L1147" i="1"/>
  <c r="E1784" i="1"/>
  <c r="E1785" i="53"/>
  <c r="M1137" i="1"/>
  <c r="M1138" i="1" s="1"/>
  <c r="N1136" i="1" s="1"/>
  <c r="F51" i="4"/>
  <c r="F51" i="49" s="1"/>
  <c r="C155" i="3"/>
  <c r="L1259" i="1"/>
  <c r="C89" i="3" l="1"/>
  <c r="C162" i="3"/>
  <c r="I1513" i="1"/>
  <c r="I1508" i="1"/>
  <c r="E1785" i="1"/>
  <c r="G1781" i="53"/>
  <c r="G1782" i="53"/>
  <c r="G1783" i="53"/>
  <c r="N1137" i="1"/>
  <c r="I1259" i="53"/>
  <c r="G1323" i="53"/>
  <c r="I1324" i="53"/>
  <c r="F114" i="3"/>
  <c r="F117" i="3" s="1"/>
  <c r="C117" i="3"/>
  <c r="G51" i="4"/>
  <c r="G51" i="49" s="1"/>
  <c r="M1141" i="1"/>
  <c r="M1147" i="1"/>
  <c r="G1784" i="53"/>
  <c r="I1298" i="1"/>
  <c r="D72" i="4" s="1"/>
  <c r="D72" i="49" s="1"/>
  <c r="J1321" i="1"/>
  <c r="J1324" i="1" s="1"/>
  <c r="D122" i="3" l="1"/>
  <c r="D110" i="3"/>
  <c r="D123" i="3"/>
  <c r="D124" i="3"/>
  <c r="D128" i="3"/>
  <c r="D115" i="3"/>
  <c r="D116" i="3"/>
  <c r="D113" i="3"/>
  <c r="D112" i="3"/>
  <c r="D111" i="3"/>
  <c r="D126" i="3"/>
  <c r="G1785" i="53"/>
  <c r="E1630" i="53"/>
  <c r="G1781" i="1"/>
  <c r="G1782" i="1"/>
  <c r="E1630" i="1" s="1"/>
  <c r="G1783" i="1"/>
  <c r="C163" i="3"/>
  <c r="I1259" i="1"/>
  <c r="G1259" i="53"/>
  <c r="J1321" i="53"/>
  <c r="J1324" i="53" s="1"/>
  <c r="I1298" i="53"/>
  <c r="N1141" i="1"/>
  <c r="N1147" i="1"/>
  <c r="G1784" i="1"/>
  <c r="D86" i="3"/>
  <c r="C90" i="3"/>
  <c r="D89" i="3" s="1"/>
  <c r="J1298" i="1"/>
  <c r="E72" i="4" s="1"/>
  <c r="E72" i="49" s="1"/>
  <c r="K1321" i="1"/>
  <c r="K1324" i="1" s="1"/>
  <c r="D114" i="3"/>
  <c r="N1138" i="1"/>
  <c r="O1136" i="1" s="1"/>
  <c r="O1137" i="1" l="1"/>
  <c r="O1138" i="1" s="1"/>
  <c r="P1136" i="1" s="1"/>
  <c r="K1298" i="1"/>
  <c r="F72" i="4" s="1"/>
  <c r="F72" i="49" s="1"/>
  <c r="L1321" i="1"/>
  <c r="L1324" i="1" s="1"/>
  <c r="N1640" i="1"/>
  <c r="R1640" i="1"/>
  <c r="V1640" i="1"/>
  <c r="Z1640" i="1"/>
  <c r="AD1640" i="1"/>
  <c r="O1640" i="1"/>
  <c r="S1640" i="1"/>
  <c r="W1640" i="1"/>
  <c r="AA1640" i="1"/>
  <c r="AE1640" i="1"/>
  <c r="P1640" i="1"/>
  <c r="T1640" i="1"/>
  <c r="X1640" i="1"/>
  <c r="AB1640" i="1"/>
  <c r="M1640" i="1"/>
  <c r="Q1640" i="1"/>
  <c r="U1640" i="1"/>
  <c r="Y1640" i="1"/>
  <c r="AC1640" i="1"/>
  <c r="E1631" i="1"/>
  <c r="E1632" i="1" s="1"/>
  <c r="E1626" i="1" s="1"/>
  <c r="K1321" i="53"/>
  <c r="K1324" i="53" s="1"/>
  <c r="J1298" i="53"/>
  <c r="D160" i="3"/>
  <c r="D161" i="3"/>
  <c r="G1785" i="1"/>
  <c r="D117" i="3"/>
  <c r="D51" i="4"/>
  <c r="D51" i="49" s="1"/>
  <c r="G1259" i="1"/>
  <c r="D87" i="3"/>
  <c r="D88" i="3"/>
  <c r="D162" i="3"/>
  <c r="K1640" i="53"/>
  <c r="O1640" i="53"/>
  <c r="S1640" i="53"/>
  <c r="L1640" i="53"/>
  <c r="P1640" i="53"/>
  <c r="T1640" i="53"/>
  <c r="J1640" i="53"/>
  <c r="R1640" i="53"/>
  <c r="E1788" i="53"/>
  <c r="G1788" i="53" s="1"/>
  <c r="G1787" i="53" s="1"/>
  <c r="Q1640" i="53"/>
  <c r="M1640" i="53"/>
  <c r="U1640" i="53"/>
  <c r="N1640" i="53"/>
  <c r="V1640" i="53"/>
  <c r="I1640" i="53"/>
  <c r="E1631" i="53"/>
  <c r="D125" i="3"/>
  <c r="D90" i="3" l="1"/>
  <c r="D163" i="3"/>
  <c r="E1788" i="1"/>
  <c r="G1788" i="1" s="1"/>
  <c r="G1787" i="1" s="1"/>
  <c r="E1791" i="53"/>
  <c r="Y1231" i="1"/>
  <c r="Y1417" i="1"/>
  <c r="T1231" i="1"/>
  <c r="T1417" i="1"/>
  <c r="W1417" i="1"/>
  <c r="W1231" i="1"/>
  <c r="Z1231" i="1"/>
  <c r="Z1417" i="1"/>
  <c r="L1298" i="1"/>
  <c r="G72" i="4" s="1"/>
  <c r="G72" i="49" s="1"/>
  <c r="M1321" i="1"/>
  <c r="M1324" i="1" s="1"/>
  <c r="N1231" i="53"/>
  <c r="N1417" i="53"/>
  <c r="K1417" i="53"/>
  <c r="K1231" i="53"/>
  <c r="L1231" i="53"/>
  <c r="L1417" i="53"/>
  <c r="U1231" i="1"/>
  <c r="U1417" i="1"/>
  <c r="P1231" i="1"/>
  <c r="P1417" i="1"/>
  <c r="S1417" i="1"/>
  <c r="S1231" i="1"/>
  <c r="V1231" i="1"/>
  <c r="V1417" i="1"/>
  <c r="P1231" i="53"/>
  <c r="P1417" i="53"/>
  <c r="E1789" i="53"/>
  <c r="I1696" i="53"/>
  <c r="R1231" i="53"/>
  <c r="R1417" i="53"/>
  <c r="J1231" i="53"/>
  <c r="J1417" i="53"/>
  <c r="L1321" i="53"/>
  <c r="L1324" i="53" s="1"/>
  <c r="K1298" i="53"/>
  <c r="E1627" i="1"/>
  <c r="I1696" i="1"/>
  <c r="Q1231" i="1"/>
  <c r="Q1417" i="1"/>
  <c r="AB1231" i="1"/>
  <c r="AB1417" i="1"/>
  <c r="AE1231" i="1"/>
  <c r="AE1417" i="1"/>
  <c r="O1231" i="1"/>
  <c r="J27" i="4" s="1"/>
  <c r="J27" i="49" s="1"/>
  <c r="O1417" i="1"/>
  <c r="R1231" i="1"/>
  <c r="R1417" i="1"/>
  <c r="P1137" i="1"/>
  <c r="L1640" i="1"/>
  <c r="L1417" i="1" s="1"/>
  <c r="U1231" i="53"/>
  <c r="U1417" i="53"/>
  <c r="E1632" i="53"/>
  <c r="I1640" i="1"/>
  <c r="I1231" i="53"/>
  <c r="G1640" i="53"/>
  <c r="I1417" i="53"/>
  <c r="J1640" i="1"/>
  <c r="J1417" i="1" s="1"/>
  <c r="M1231" i="53"/>
  <c r="M1417" i="53"/>
  <c r="S1417" i="53"/>
  <c r="S1231" i="53"/>
  <c r="V1231" i="53"/>
  <c r="V1417" i="53"/>
  <c r="K1640" i="1"/>
  <c r="K1417" i="1" s="1"/>
  <c r="Q1231" i="53"/>
  <c r="Q1417" i="53"/>
  <c r="T1231" i="53"/>
  <c r="T1417" i="53"/>
  <c r="O1417" i="53"/>
  <c r="O1231" i="53"/>
  <c r="AC1231" i="1"/>
  <c r="AC1417" i="1"/>
  <c r="M1231" i="1"/>
  <c r="H27" i="4" s="1"/>
  <c r="H27" i="49" s="1"/>
  <c r="M1417" i="1"/>
  <c r="X1231" i="1"/>
  <c r="X1417" i="1"/>
  <c r="AA1231" i="1"/>
  <c r="AA1417" i="1"/>
  <c r="AD1231" i="1"/>
  <c r="AD1417" i="1"/>
  <c r="N1231" i="1"/>
  <c r="I27" i="4" s="1"/>
  <c r="I27" i="49" s="1"/>
  <c r="N1417" i="1"/>
  <c r="O1141" i="1"/>
  <c r="O1147" i="1"/>
  <c r="J1231" i="1" l="1"/>
  <c r="E27" i="4" s="1"/>
  <c r="E27" i="49" s="1"/>
  <c r="K1231" i="1"/>
  <c r="F27" i="4" s="1"/>
  <c r="F27" i="49" s="1"/>
  <c r="L1298" i="53"/>
  <c r="M1321" i="53"/>
  <c r="M1324" i="53" s="1"/>
  <c r="M1298" i="1"/>
  <c r="H72" i="4" s="1"/>
  <c r="H72" i="49" s="1"/>
  <c r="N1321" i="1"/>
  <c r="N1324" i="1" s="1"/>
  <c r="C93" i="3"/>
  <c r="C166" i="3"/>
  <c r="G1417" i="53"/>
  <c r="E1776" i="53"/>
  <c r="E1626" i="53"/>
  <c r="P1141" i="1"/>
  <c r="P1147" i="1"/>
  <c r="I1417" i="1"/>
  <c r="G1417" i="1" s="1"/>
  <c r="G1640" i="1"/>
  <c r="P1138" i="1"/>
  <c r="Q1136" i="1" s="1"/>
  <c r="E1789" i="1"/>
  <c r="G1789" i="1" s="1"/>
  <c r="G1789" i="53"/>
  <c r="E1793" i="53"/>
  <c r="E1794" i="53" s="1"/>
  <c r="E1791" i="1"/>
  <c r="I1231" i="1"/>
  <c r="G1231" i="53"/>
  <c r="L1231" i="1"/>
  <c r="G27" i="4" s="1"/>
  <c r="G27" i="49" s="1"/>
  <c r="E1627" i="53"/>
  <c r="G1792" i="53" l="1"/>
  <c r="G1791" i="53"/>
  <c r="O1321" i="1"/>
  <c r="O1324" i="1" s="1"/>
  <c r="N1298" i="1"/>
  <c r="I72" i="4" s="1"/>
  <c r="I72" i="49" s="1"/>
  <c r="C167" i="3"/>
  <c r="C168" i="3" s="1"/>
  <c r="D166" i="3" s="1"/>
  <c r="D168" i="3" s="1"/>
  <c r="C94" i="3"/>
  <c r="C170" i="3"/>
  <c r="C97" i="3"/>
  <c r="Q1137" i="1"/>
  <c r="Q1138" i="1" s="1"/>
  <c r="R1136" i="1" s="1"/>
  <c r="I1639" i="53"/>
  <c r="N1321" i="53"/>
  <c r="N1324" i="53" s="1"/>
  <c r="M1298" i="53"/>
  <c r="D27" i="4"/>
  <c r="D27" i="49" s="1"/>
  <c r="G1231" i="1"/>
  <c r="E1793" i="1"/>
  <c r="I1508" i="53"/>
  <c r="I1513" i="53"/>
  <c r="G1793" i="53"/>
  <c r="E1776" i="1"/>
  <c r="E1777" i="53"/>
  <c r="G1776" i="53" s="1"/>
  <c r="G1794" i="53" l="1"/>
  <c r="R1137" i="1"/>
  <c r="R1138" i="1" s="1"/>
  <c r="S1136" i="1" s="1"/>
  <c r="I1514" i="53"/>
  <c r="Q1141" i="1"/>
  <c r="Q1147" i="1"/>
  <c r="D167" i="3"/>
  <c r="C82" i="3"/>
  <c r="C156" i="3"/>
  <c r="E1777" i="1"/>
  <c r="G1776" i="1" s="1"/>
  <c r="G1777" i="53"/>
  <c r="G1768" i="53"/>
  <c r="G1774" i="53"/>
  <c r="G1773" i="53"/>
  <c r="G1771" i="53"/>
  <c r="G1769" i="53"/>
  <c r="G1770" i="53"/>
  <c r="G1772" i="53"/>
  <c r="G1775" i="53"/>
  <c r="I1641" i="53"/>
  <c r="I1650" i="53"/>
  <c r="I1651" i="53" s="1"/>
  <c r="I1652" i="53" s="1"/>
  <c r="I1230" i="53"/>
  <c r="I1697" i="53"/>
  <c r="I1416" i="53"/>
  <c r="I1509" i="53"/>
  <c r="I1510" i="53" s="1"/>
  <c r="J1508" i="53" s="1"/>
  <c r="C172" i="3"/>
  <c r="C99" i="3"/>
  <c r="C100" i="3" s="1"/>
  <c r="C95" i="3"/>
  <c r="D93" i="3" s="1"/>
  <c r="D95" i="3" s="1"/>
  <c r="O1321" i="53"/>
  <c r="O1324" i="53" s="1"/>
  <c r="N1298" i="53"/>
  <c r="E1794" i="1"/>
  <c r="G1793" i="1" s="1"/>
  <c r="O1298" i="1"/>
  <c r="J72" i="4" s="1"/>
  <c r="J72" i="49" s="1"/>
  <c r="P1321" i="1"/>
  <c r="P1324" i="1" s="1"/>
  <c r="D98" i="3" l="1"/>
  <c r="D97" i="3"/>
  <c r="I1308" i="53"/>
  <c r="J1638" i="53"/>
  <c r="I1643" i="53"/>
  <c r="C173" i="3"/>
  <c r="P1298" i="1"/>
  <c r="Q1321" i="1"/>
  <c r="Q1324" i="1" s="1"/>
  <c r="I1698" i="53"/>
  <c r="J1696" i="53" s="1"/>
  <c r="C157" i="3"/>
  <c r="D156" i="3" s="1"/>
  <c r="I1540" i="53"/>
  <c r="C83" i="3"/>
  <c r="I1515" i="53"/>
  <c r="J1513" i="53" s="1"/>
  <c r="S1137" i="1"/>
  <c r="P1321" i="53"/>
  <c r="P1324" i="53" s="1"/>
  <c r="O1298" i="53"/>
  <c r="G1792" i="1"/>
  <c r="G1791" i="1"/>
  <c r="C129" i="3"/>
  <c r="D99" i="3"/>
  <c r="G1768" i="1"/>
  <c r="G1777" i="1"/>
  <c r="G1773" i="1"/>
  <c r="G1774" i="1"/>
  <c r="G1771" i="1"/>
  <c r="G1769" i="1"/>
  <c r="G1770" i="1"/>
  <c r="G1772" i="1"/>
  <c r="G1775" i="1"/>
  <c r="D94" i="3"/>
  <c r="R1141" i="1"/>
  <c r="R1147" i="1"/>
  <c r="S1141" i="1" l="1"/>
  <c r="S1147" i="1"/>
  <c r="I1556" i="53"/>
  <c r="I1541" i="53"/>
  <c r="J1539" i="53" s="1"/>
  <c r="D171" i="3"/>
  <c r="D170" i="3"/>
  <c r="D172" i="3"/>
  <c r="G1794" i="1"/>
  <c r="J1514" i="53"/>
  <c r="I1232" i="53"/>
  <c r="I1265" i="53"/>
  <c r="I1418" i="53"/>
  <c r="I1644" i="53"/>
  <c r="P1298" i="53"/>
  <c r="Q1321" i="53"/>
  <c r="Q1324" i="53" s="1"/>
  <c r="D74" i="3"/>
  <c r="D83" i="3"/>
  <c r="D79" i="3"/>
  <c r="D80" i="3"/>
  <c r="D77" i="3"/>
  <c r="D75" i="3"/>
  <c r="D76" i="3"/>
  <c r="D78" i="3"/>
  <c r="D81" i="3"/>
  <c r="Q1298" i="1"/>
  <c r="R1321" i="1"/>
  <c r="R1324" i="1" s="1"/>
  <c r="J1649" i="53"/>
  <c r="J1639" i="53"/>
  <c r="J1641" i="53" s="1"/>
  <c r="D100" i="3"/>
  <c r="D129" i="3"/>
  <c r="D130" i="3" s="1"/>
  <c r="D131" i="3" s="1"/>
  <c r="F129" i="3"/>
  <c r="C130" i="3"/>
  <c r="S1138" i="1"/>
  <c r="T1136" i="1" s="1"/>
  <c r="D82" i="3"/>
  <c r="D153" i="3"/>
  <c r="D154" i="3"/>
  <c r="D151" i="3"/>
  <c r="D152" i="3"/>
  <c r="D155" i="3"/>
  <c r="D157" i="3" s="1"/>
  <c r="J1308" i="53" l="1"/>
  <c r="K1638" i="53"/>
  <c r="I1567" i="53"/>
  <c r="I1568" i="53" s="1"/>
  <c r="I1569" i="53" s="1"/>
  <c r="I1223" i="53"/>
  <c r="I1409" i="53"/>
  <c r="F130" i="3"/>
  <c r="F131" i="3" s="1"/>
  <c r="C131" i="3"/>
  <c r="R1321" i="53"/>
  <c r="R1324" i="53" s="1"/>
  <c r="Q1298" i="53"/>
  <c r="J1416" i="53"/>
  <c r="J1697" i="53"/>
  <c r="J1540" i="53" s="1"/>
  <c r="J1230" i="53"/>
  <c r="J1650" i="53"/>
  <c r="J1651" i="53" s="1"/>
  <c r="J1652" i="53" s="1"/>
  <c r="J1509" i="53"/>
  <c r="T1137" i="1"/>
  <c r="J1643" i="53"/>
  <c r="S1321" i="1"/>
  <c r="S1324" i="1" s="1"/>
  <c r="R1298" i="1"/>
  <c r="J1646" i="53"/>
  <c r="J1515" i="53"/>
  <c r="K1513" i="53" s="1"/>
  <c r="D173" i="3"/>
  <c r="J1556" i="53" l="1"/>
  <c r="S1321" i="53"/>
  <c r="S1324" i="53" s="1"/>
  <c r="R1298" i="53"/>
  <c r="J1654" i="53"/>
  <c r="K1514" i="53"/>
  <c r="T1141" i="1"/>
  <c r="T1147" i="1"/>
  <c r="J1698" i="53"/>
  <c r="K1696" i="53" s="1"/>
  <c r="T1138" i="1"/>
  <c r="U1136" i="1" s="1"/>
  <c r="J1510" i="53"/>
  <c r="K1508" i="53" s="1"/>
  <c r="K1649" i="53"/>
  <c r="K1639" i="53"/>
  <c r="J1232" i="53"/>
  <c r="J1265" i="53"/>
  <c r="J1418" i="53"/>
  <c r="J1644" i="53"/>
  <c r="J1541" i="53"/>
  <c r="K1539" i="53" s="1"/>
  <c r="S1298" i="1"/>
  <c r="T1321" i="1"/>
  <c r="T1324" i="1" s="1"/>
  <c r="J1233" i="53" l="1"/>
  <c r="J1419" i="53"/>
  <c r="J1660" i="53"/>
  <c r="K1230" i="53"/>
  <c r="K1416" i="53"/>
  <c r="K1509" i="53"/>
  <c r="K1510" i="53" s="1"/>
  <c r="L1508" i="53" s="1"/>
  <c r="K1650" i="53"/>
  <c r="K1651" i="53" s="1"/>
  <c r="K1652" i="53" s="1"/>
  <c r="K1697" i="53"/>
  <c r="K1698" i="53" s="1"/>
  <c r="L1696" i="53" s="1"/>
  <c r="U1137" i="1"/>
  <c r="J1409" i="53"/>
  <c r="J1223" i="53"/>
  <c r="J1567" i="53"/>
  <c r="J1656" i="53"/>
  <c r="K1641" i="53"/>
  <c r="T1321" i="53"/>
  <c r="T1324" i="53" s="1"/>
  <c r="S1298" i="53"/>
  <c r="U1321" i="1"/>
  <c r="U1324" i="1" s="1"/>
  <c r="T1298" i="1"/>
  <c r="K1515" i="53"/>
  <c r="L1513" i="53" s="1"/>
  <c r="K1540" i="53" l="1"/>
  <c r="K1541" i="53" s="1"/>
  <c r="L1539" i="53" s="1"/>
  <c r="U1141" i="1"/>
  <c r="U1147" i="1"/>
  <c r="T1298" i="53"/>
  <c r="U1321" i="53"/>
  <c r="U1324" i="53" s="1"/>
  <c r="L1514" i="53"/>
  <c r="L1515" i="53" s="1"/>
  <c r="M1513" i="53" s="1"/>
  <c r="U1298" i="1"/>
  <c r="V1321" i="1"/>
  <c r="V1324" i="1" s="1"/>
  <c r="K1308" i="53"/>
  <c r="L1638" i="53"/>
  <c r="K1646" i="53"/>
  <c r="K1654" i="53" s="1"/>
  <c r="K1643" i="53"/>
  <c r="U1138" i="1"/>
  <c r="V1136" i="1" s="1"/>
  <c r="K1556" i="53" l="1"/>
  <c r="K1409" i="53" s="1"/>
  <c r="M1514" i="53"/>
  <c r="W1321" i="1"/>
  <c r="W1324" i="1" s="1"/>
  <c r="V1298" i="1"/>
  <c r="V1137" i="1"/>
  <c r="V1138" i="1" s="1"/>
  <c r="W1136" i="1" s="1"/>
  <c r="K1644" i="53"/>
  <c r="K1232" i="53"/>
  <c r="K1265" i="53"/>
  <c r="K1418" i="53"/>
  <c r="K1656" i="53"/>
  <c r="V1321" i="53"/>
  <c r="V1324" i="53" s="1"/>
  <c r="V1298" i="53" s="1"/>
  <c r="U1298" i="53"/>
  <c r="K1233" i="53"/>
  <c r="K1419" i="53"/>
  <c r="K1660" i="53"/>
  <c r="L1649" i="53"/>
  <c r="L1639" i="53"/>
  <c r="L1641" i="53" s="1"/>
  <c r="L1643" i="53" s="1"/>
  <c r="I1643" i="1" s="1"/>
  <c r="I1514" i="1"/>
  <c r="K1567" i="53" l="1"/>
  <c r="K1223" i="53"/>
  <c r="I1019" i="1"/>
  <c r="I1032" i="1"/>
  <c r="I1183" i="1"/>
  <c r="I1418" i="1"/>
  <c r="W1137" i="1"/>
  <c r="W1138" i="1" s="1"/>
  <c r="X1136" i="1" s="1"/>
  <c r="W1298" i="1"/>
  <c r="X1321" i="1"/>
  <c r="X1324" i="1" s="1"/>
  <c r="I1515" i="1"/>
  <c r="J1513" i="1" s="1"/>
  <c r="V1141" i="1"/>
  <c r="V1147" i="1"/>
  <c r="M1515" i="53"/>
  <c r="N1513" i="53" s="1"/>
  <c r="L1418" i="53"/>
  <c r="L1644" i="53"/>
  <c r="I1644" i="1" s="1"/>
  <c r="L1265" i="53"/>
  <c r="I1265" i="1" s="1"/>
  <c r="L1232" i="53"/>
  <c r="I1232" i="1" s="1"/>
  <c r="L1308" i="53"/>
  <c r="M1638" i="53"/>
  <c r="L1650" i="53"/>
  <c r="L1651" i="53" s="1"/>
  <c r="L1652" i="53" s="1"/>
  <c r="L1230" i="53"/>
  <c r="L1697" i="53"/>
  <c r="L1416" i="53"/>
  <c r="L1509" i="53"/>
  <c r="I1639" i="1"/>
  <c r="L1646" i="53"/>
  <c r="I1652" i="1" l="1"/>
  <c r="D28" i="4"/>
  <c r="D28" i="49" s="1"/>
  <c r="X1298" i="1"/>
  <c r="Y1321" i="1"/>
  <c r="Y1324" i="1" s="1"/>
  <c r="I1230" i="1"/>
  <c r="L1654" i="53"/>
  <c r="D57" i="4"/>
  <c r="D57" i="49" s="1"/>
  <c r="I1184" i="1"/>
  <c r="I1416" i="1"/>
  <c r="I1650" i="1"/>
  <c r="I1651" i="1" s="1"/>
  <c r="I1641" i="1"/>
  <c r="I1697" i="1"/>
  <c r="M1649" i="53"/>
  <c r="M1639" i="53"/>
  <c r="N1514" i="53"/>
  <c r="X1137" i="1"/>
  <c r="X1138" i="1" s="1"/>
  <c r="Y1136" i="1" s="1"/>
  <c r="I1033" i="1"/>
  <c r="I1509" i="1"/>
  <c r="L1510" i="53"/>
  <c r="M1508" i="53" s="1"/>
  <c r="L1698" i="53"/>
  <c r="M1696" i="53" s="1"/>
  <c r="L1540" i="53"/>
  <c r="W1141" i="1"/>
  <c r="W1147" i="1"/>
  <c r="L1556" i="53" l="1"/>
  <c r="L1541" i="53"/>
  <c r="M1539" i="53" s="1"/>
  <c r="I1540" i="1"/>
  <c r="Y1137" i="1"/>
  <c r="M1650" i="53"/>
  <c r="M1230" i="53"/>
  <c r="M1697" i="53"/>
  <c r="M1698" i="53" s="1"/>
  <c r="N1696" i="53" s="1"/>
  <c r="M1416" i="53"/>
  <c r="M1509" i="53"/>
  <c r="M1510" i="53" s="1"/>
  <c r="N1508" i="53" s="1"/>
  <c r="M1641" i="53"/>
  <c r="L1233" i="53"/>
  <c r="L1419" i="53"/>
  <c r="L1660" i="53"/>
  <c r="L1656" i="53"/>
  <c r="Y1298" i="1"/>
  <c r="Z1321" i="1"/>
  <c r="Z1324" i="1" s="1"/>
  <c r="I1112" i="1"/>
  <c r="I1166" i="1"/>
  <c r="M1651" i="53"/>
  <c r="M1652" i="53" s="1"/>
  <c r="I1698" i="1"/>
  <c r="J1696" i="1" s="1"/>
  <c r="D26" i="4"/>
  <c r="D26" i="49" s="1"/>
  <c r="I1510" i="1"/>
  <c r="J1508" i="1" s="1"/>
  <c r="X1141" i="1"/>
  <c r="X1147" i="1"/>
  <c r="N1515" i="53"/>
  <c r="O1513" i="53" s="1"/>
  <c r="I1308" i="1"/>
  <c r="D82" i="4" s="1"/>
  <c r="D82" i="49" s="1"/>
  <c r="J1638" i="1"/>
  <c r="I1541" i="1" l="1"/>
  <c r="J1539" i="1" s="1"/>
  <c r="O1514" i="53"/>
  <c r="O1515" i="53" s="1"/>
  <c r="P1513" i="53" s="1"/>
  <c r="M1540" i="53"/>
  <c r="M1541" i="53" s="1"/>
  <c r="N1539" i="53" s="1"/>
  <c r="Z1298" i="1"/>
  <c r="AA1321" i="1"/>
  <c r="AA1324" i="1" s="1"/>
  <c r="Y1141" i="1"/>
  <c r="Y1147" i="1"/>
  <c r="I1126" i="1"/>
  <c r="I1118" i="1"/>
  <c r="Y1138" i="1"/>
  <c r="Z1136" i="1" s="1"/>
  <c r="J1649" i="1"/>
  <c r="M1308" i="53"/>
  <c r="N1638" i="53"/>
  <c r="M1646" i="53"/>
  <c r="M1643" i="53"/>
  <c r="L1567" i="53"/>
  <c r="L1223" i="53"/>
  <c r="L1409" i="53"/>
  <c r="I1556" i="1"/>
  <c r="M1654" i="53" l="1"/>
  <c r="I1223" i="1"/>
  <c r="N1649" i="53"/>
  <c r="N1639" i="53"/>
  <c r="N1641" i="53" s="1"/>
  <c r="I1127" i="1"/>
  <c r="J1124" i="1" s="1"/>
  <c r="AA1298" i="1"/>
  <c r="AB1321" i="1"/>
  <c r="AB1324" i="1" s="1"/>
  <c r="P1514" i="53"/>
  <c r="P1515" i="53" s="1"/>
  <c r="Q1513" i="53" s="1"/>
  <c r="Z1137" i="1"/>
  <c r="Z1138" i="1" s="1"/>
  <c r="AA1136" i="1" s="1"/>
  <c r="I1409" i="1"/>
  <c r="I1567" i="1"/>
  <c r="I1568" i="1" s="1"/>
  <c r="M1232" i="53"/>
  <c r="M1265" i="53"/>
  <c r="M1418" i="53"/>
  <c r="M1644" i="53"/>
  <c r="M1656" i="53"/>
  <c r="M1556" i="53"/>
  <c r="I1110" i="1"/>
  <c r="I1119" i="1"/>
  <c r="J1116" i="1" s="1"/>
  <c r="J1514" i="1"/>
  <c r="AA1137" i="1" l="1"/>
  <c r="AA1138" i="1" s="1"/>
  <c r="AB1136" i="1" s="1"/>
  <c r="AB1298" i="1"/>
  <c r="AC1321" i="1"/>
  <c r="AC1324" i="1" s="1"/>
  <c r="N1308" i="53"/>
  <c r="O1638" i="53"/>
  <c r="M1567" i="53"/>
  <c r="M1223" i="53"/>
  <c r="M1409" i="53"/>
  <c r="I1167" i="1"/>
  <c r="Z1141" i="1"/>
  <c r="Z1147" i="1"/>
  <c r="N1416" i="53"/>
  <c r="N1230" i="53"/>
  <c r="N1697" i="53"/>
  <c r="N1698" i="53" s="1"/>
  <c r="O1696" i="53" s="1"/>
  <c r="N1650" i="53"/>
  <c r="N1651" i="53" s="1"/>
  <c r="N1652" i="53" s="1"/>
  <c r="N1509" i="53"/>
  <c r="N1643" i="53"/>
  <c r="J1129" i="1"/>
  <c r="M1419" i="53"/>
  <c r="M1660" i="53"/>
  <c r="M1233" i="53"/>
  <c r="J1515" i="1"/>
  <c r="K1513" i="1" s="1"/>
  <c r="J1121" i="1"/>
  <c r="Q1514" i="53"/>
  <c r="Q1515" i="53" s="1"/>
  <c r="R1513" i="53" s="1"/>
  <c r="N1646" i="53"/>
  <c r="D19" i="4"/>
  <c r="D19" i="49" s="1"/>
  <c r="N1540" i="53" l="1"/>
  <c r="N1541" i="53" s="1"/>
  <c r="O1539" i="53" s="1"/>
  <c r="R1514" i="53"/>
  <c r="N1510" i="53"/>
  <c r="O1508" i="53" s="1"/>
  <c r="O1649" i="53"/>
  <c r="O1639" i="53"/>
  <c r="O1641" i="53" s="1"/>
  <c r="AB1137" i="1"/>
  <c r="N1232" i="53"/>
  <c r="N1265" i="53"/>
  <c r="N1418" i="53"/>
  <c r="N1644" i="53"/>
  <c r="I1168" i="1"/>
  <c r="AA1141" i="1"/>
  <c r="AA1147" i="1"/>
  <c r="N1654" i="53"/>
  <c r="AC1298" i="1"/>
  <c r="AD1321" i="1"/>
  <c r="AD1324" i="1" s="1"/>
  <c r="N1556" i="53" l="1"/>
  <c r="N1409" i="53" s="1"/>
  <c r="AB1141" i="1"/>
  <c r="AB1147" i="1"/>
  <c r="P1638" i="53"/>
  <c r="O1308" i="53"/>
  <c r="AE1321" i="1"/>
  <c r="AE1324" i="1" s="1"/>
  <c r="AE1298" i="1" s="1"/>
  <c r="AD1298" i="1"/>
  <c r="N1233" i="53"/>
  <c r="N1419" i="53"/>
  <c r="N1660" i="53"/>
  <c r="N1656" i="53"/>
  <c r="I1170" i="1"/>
  <c r="AB1138" i="1"/>
  <c r="AC1136" i="1" s="1"/>
  <c r="O1646" i="53"/>
  <c r="O1230" i="53"/>
  <c r="O1416" i="53"/>
  <c r="O1509" i="53"/>
  <c r="O1510" i="53" s="1"/>
  <c r="P1508" i="53" s="1"/>
  <c r="O1697" i="53"/>
  <c r="O1698" i="53" s="1"/>
  <c r="P1696" i="53" s="1"/>
  <c r="O1650" i="53"/>
  <c r="O1651" i="53" s="1"/>
  <c r="O1652" i="53" s="1"/>
  <c r="O1643" i="53"/>
  <c r="R1515" i="53"/>
  <c r="S1513" i="53" s="1"/>
  <c r="N1567" i="53" l="1"/>
  <c r="N1223" i="53"/>
  <c r="P1649" i="53"/>
  <c r="P1639" i="53"/>
  <c r="P1641" i="53" s="1"/>
  <c r="AC1137" i="1"/>
  <c r="AC1138" i="1" s="1"/>
  <c r="AD1136" i="1" s="1"/>
  <c r="O1540" i="53"/>
  <c r="S1514" i="53"/>
  <c r="I1159" i="1"/>
  <c r="I1142" i="1"/>
  <c r="O1644" i="53"/>
  <c r="O1232" i="53"/>
  <c r="O1265" i="53"/>
  <c r="O1418" i="53"/>
  <c r="O1654" i="53"/>
  <c r="O1233" i="53" l="1"/>
  <c r="O1419" i="53"/>
  <c r="O1660" i="53"/>
  <c r="AD1137" i="1"/>
  <c r="AD1138" i="1" s="1"/>
  <c r="AE1136" i="1" s="1"/>
  <c r="AC1141" i="1"/>
  <c r="AC1147" i="1"/>
  <c r="P1308" i="53"/>
  <c r="Q1638" i="53"/>
  <c r="S1515" i="53"/>
  <c r="T1513" i="53" s="1"/>
  <c r="P1643" i="53"/>
  <c r="O1656" i="53"/>
  <c r="I1143" i="1"/>
  <c r="J1140" i="1" s="1"/>
  <c r="I1148" i="1"/>
  <c r="I1160" i="1"/>
  <c r="J1157" i="1" s="1"/>
  <c r="O1556" i="53"/>
  <c r="O1541" i="53"/>
  <c r="P1539" i="53" s="1"/>
  <c r="P1650" i="53"/>
  <c r="P1651" i="53" s="1"/>
  <c r="P1652" i="53" s="1"/>
  <c r="P1230" i="53"/>
  <c r="P1697" i="53"/>
  <c r="P1698" i="53" s="1"/>
  <c r="Q1696" i="53" s="1"/>
  <c r="P1416" i="53"/>
  <c r="P1509" i="53"/>
  <c r="J1639" i="1"/>
  <c r="P1646" i="53"/>
  <c r="T1514" i="53" l="1"/>
  <c r="AE1137" i="1"/>
  <c r="AE1138" i="1" s="1"/>
  <c r="J1416" i="1"/>
  <c r="J1697" i="1"/>
  <c r="J1650" i="1"/>
  <c r="J1651" i="1" s="1"/>
  <c r="J1641" i="1"/>
  <c r="I1149" i="1"/>
  <c r="J1146" i="1" s="1"/>
  <c r="Q1649" i="53"/>
  <c r="Q1639" i="53"/>
  <c r="P1654" i="53"/>
  <c r="J1646" i="1"/>
  <c r="P1540" i="53"/>
  <c r="P1541" i="53" s="1"/>
  <c r="Q1539" i="53" s="1"/>
  <c r="P1510" i="53"/>
  <c r="Q1508" i="53" s="1"/>
  <c r="J1509" i="1"/>
  <c r="O1223" i="53"/>
  <c r="O1409" i="53"/>
  <c r="O1567" i="53"/>
  <c r="P1418" i="53"/>
  <c r="P1644" i="53"/>
  <c r="P1232" i="53"/>
  <c r="P1265" i="53"/>
  <c r="J1265" i="1" s="1"/>
  <c r="J1643" i="1"/>
  <c r="AD1141" i="1"/>
  <c r="AD1147" i="1"/>
  <c r="J1510" i="1" l="1"/>
  <c r="K1508" i="1" s="1"/>
  <c r="P1233" i="53"/>
  <c r="P1419" i="53"/>
  <c r="P1660" i="53"/>
  <c r="P1656" i="53"/>
  <c r="J1698" i="1"/>
  <c r="K1696" i="1" s="1"/>
  <c r="J1019" i="1"/>
  <c r="J1032" i="1"/>
  <c r="J1183" i="1"/>
  <c r="J1418" i="1"/>
  <c r="Q1650" i="53"/>
  <c r="Q1651" i="53" s="1"/>
  <c r="Q1652" i="53" s="1"/>
  <c r="Q1230" i="53"/>
  <c r="Q1697" i="53"/>
  <c r="Q1698" i="53" s="1"/>
  <c r="R1696" i="53" s="1"/>
  <c r="Q1416" i="53"/>
  <c r="Q1509" i="53"/>
  <c r="Q1510" i="53" s="1"/>
  <c r="R1508" i="53" s="1"/>
  <c r="Q1641" i="53"/>
  <c r="J1308" i="1"/>
  <c r="E82" i="4" s="1"/>
  <c r="E82" i="49" s="1"/>
  <c r="K1638" i="1"/>
  <c r="AE1141" i="1"/>
  <c r="AE1147" i="1"/>
  <c r="G1147" i="1" s="1"/>
  <c r="E57" i="4"/>
  <c r="E57" i="49" s="1"/>
  <c r="K1514" i="1"/>
  <c r="P1556" i="53"/>
  <c r="J1540" i="1"/>
  <c r="T1515" i="53"/>
  <c r="U1513" i="53" s="1"/>
  <c r="Q1540" i="53" l="1"/>
  <c r="Q1556" i="53" s="1"/>
  <c r="P1567" i="53"/>
  <c r="P1223" i="53"/>
  <c r="P1409" i="53"/>
  <c r="J1556" i="1"/>
  <c r="J1033" i="1"/>
  <c r="J1541" i="1"/>
  <c r="K1539" i="1" s="1"/>
  <c r="K1649" i="1"/>
  <c r="K1515" i="1"/>
  <c r="L1513" i="1" s="1"/>
  <c r="U1514" i="53"/>
  <c r="G1141" i="1"/>
  <c r="Q1308" i="53"/>
  <c r="R1638" i="53"/>
  <c r="Q1643" i="53"/>
  <c r="Q1646" i="53"/>
  <c r="J1184" i="1"/>
  <c r="Q1541" i="53" l="1"/>
  <c r="R1539" i="53" s="1"/>
  <c r="Q1654" i="53"/>
  <c r="Q1656" i="53" s="1"/>
  <c r="G1137" i="1"/>
  <c r="E986" i="1"/>
  <c r="E992" i="1" s="1"/>
  <c r="Q1567" i="53"/>
  <c r="Q1223" i="53"/>
  <c r="Q1409" i="53"/>
  <c r="J1223" i="1"/>
  <c r="Q1232" i="53"/>
  <c r="Q1265" i="53"/>
  <c r="Q1418" i="53"/>
  <c r="Q1644" i="53"/>
  <c r="R1649" i="53"/>
  <c r="R1639" i="53"/>
  <c r="R1641" i="53" s="1"/>
  <c r="J1112" i="1"/>
  <c r="J1166" i="1"/>
  <c r="J1409" i="1"/>
  <c r="J1567" i="1"/>
  <c r="U1515" i="53"/>
  <c r="V1513" i="53" s="1"/>
  <c r="R1643" i="53" l="1"/>
  <c r="R1644" i="53" s="1"/>
  <c r="R1646" i="53"/>
  <c r="R1232" i="53"/>
  <c r="R1265" i="53"/>
  <c r="R1418" i="53"/>
  <c r="C992" i="1"/>
  <c r="E993" i="1"/>
  <c r="I1171" i="1" s="1"/>
  <c r="C1171" i="1"/>
  <c r="V1514" i="53"/>
  <c r="V1515" i="53" s="1"/>
  <c r="Q1419" i="53"/>
  <c r="Q1233" i="53"/>
  <c r="Q1660" i="53"/>
  <c r="R1308" i="53"/>
  <c r="S1638" i="53"/>
  <c r="R1416" i="53"/>
  <c r="R1230" i="53"/>
  <c r="R1650" i="53"/>
  <c r="R1697" i="53"/>
  <c r="R1698" i="53" s="1"/>
  <c r="S1696" i="53" s="1"/>
  <c r="R1509" i="53"/>
  <c r="J1118" i="1"/>
  <c r="J1126" i="1"/>
  <c r="R1651" i="53"/>
  <c r="R1652" i="53" s="1"/>
  <c r="E19" i="4"/>
  <c r="E19" i="49" s="1"/>
  <c r="J1127" i="1" l="1"/>
  <c r="K1124" i="1" s="1"/>
  <c r="J1110" i="1"/>
  <c r="J1119" i="1"/>
  <c r="K1116" i="1" s="1"/>
  <c r="S1649" i="53"/>
  <c r="S1639" i="53"/>
  <c r="R1654" i="53"/>
  <c r="R1510" i="53"/>
  <c r="S1508" i="53" s="1"/>
  <c r="R1540" i="53"/>
  <c r="G1514" i="53"/>
  <c r="L1514" i="1"/>
  <c r="I1172" i="1"/>
  <c r="S1230" i="53" l="1"/>
  <c r="S1416" i="53"/>
  <c r="S1509" i="53"/>
  <c r="S1510" i="53" s="1"/>
  <c r="T1508" i="53" s="1"/>
  <c r="S1650" i="53"/>
  <c r="S1651" i="53" s="1"/>
  <c r="S1652" i="53" s="1"/>
  <c r="S1697" i="53"/>
  <c r="S1698" i="53" s="1"/>
  <c r="T1696" i="53" s="1"/>
  <c r="I1020" i="1"/>
  <c r="I1196" i="1"/>
  <c r="I1186" i="1"/>
  <c r="J1167" i="1"/>
  <c r="R1233" i="53"/>
  <c r="R1419" i="53"/>
  <c r="R1660" i="53"/>
  <c r="R1656" i="53"/>
  <c r="K1129" i="1"/>
  <c r="L1515" i="1"/>
  <c r="M1513" i="1" s="1"/>
  <c r="R1556" i="53"/>
  <c r="R1541" i="53"/>
  <c r="S1539" i="53" s="1"/>
  <c r="S1641" i="53"/>
  <c r="K1121" i="1"/>
  <c r="S1540" i="53" l="1"/>
  <c r="S1556" i="53" s="1"/>
  <c r="J1168" i="1"/>
  <c r="R1409" i="53"/>
  <c r="R1567" i="53"/>
  <c r="R1223" i="53"/>
  <c r="I1205" i="1"/>
  <c r="S1308" i="53"/>
  <c r="T1638" i="53"/>
  <c r="S1646" i="53"/>
  <c r="S1643" i="53"/>
  <c r="M1514" i="1"/>
  <c r="I1021" i="1"/>
  <c r="S1541" i="53" l="1"/>
  <c r="T1539" i="53" s="1"/>
  <c r="S1654" i="53"/>
  <c r="I1879" i="1"/>
  <c r="L1205" i="53"/>
  <c r="L1879" i="53" s="1"/>
  <c r="I1205" i="53"/>
  <c r="J1205" i="53"/>
  <c r="J1879" i="53" s="1"/>
  <c r="K1205" i="53"/>
  <c r="K1879" i="53" s="1"/>
  <c r="T1649" i="53"/>
  <c r="T1639" i="53"/>
  <c r="T1641" i="53" s="1"/>
  <c r="T1643" i="53" s="1"/>
  <c r="K1643" i="1" s="1"/>
  <c r="I1041" i="1"/>
  <c r="I1047" i="1"/>
  <c r="I1102" i="1"/>
  <c r="M1515" i="1"/>
  <c r="N1513" i="1" s="1"/>
  <c r="S1223" i="53"/>
  <c r="S1409" i="53"/>
  <c r="S1567" i="53"/>
  <c r="S1644" i="53"/>
  <c r="S1232" i="53"/>
  <c r="S1265" i="53"/>
  <c r="S1418" i="53"/>
  <c r="S1656" i="53"/>
  <c r="J1170" i="1"/>
  <c r="T1418" i="53" l="1"/>
  <c r="T1644" i="53"/>
  <c r="K1644" i="1" s="1"/>
  <c r="T1232" i="53"/>
  <c r="K1232" i="1" s="1"/>
  <c r="F28" i="4" s="1"/>
  <c r="F28" i="49" s="1"/>
  <c r="T1265" i="53"/>
  <c r="K1265" i="1" s="1"/>
  <c r="N1514" i="1"/>
  <c r="I1083" i="1"/>
  <c r="T1308" i="53"/>
  <c r="U1638" i="53"/>
  <c r="J1142" i="1"/>
  <c r="J1159" i="1"/>
  <c r="T1650" i="53"/>
  <c r="T1651" i="53" s="1"/>
  <c r="T1652" i="53" s="1"/>
  <c r="T1230" i="53"/>
  <c r="T1697" i="53"/>
  <c r="T1698" i="53" s="1"/>
  <c r="U1696" i="53" s="1"/>
  <c r="T1416" i="53"/>
  <c r="T1509" i="53"/>
  <c r="T1510" i="53" s="1"/>
  <c r="U1508" i="53" s="1"/>
  <c r="K1639" i="1"/>
  <c r="T1646" i="53"/>
  <c r="I1879" i="53"/>
  <c r="K1019" i="1"/>
  <c r="K1032" i="1"/>
  <c r="K1183" i="1"/>
  <c r="K1418" i="1"/>
  <c r="I1048" i="1"/>
  <c r="J1045" i="1" s="1"/>
  <c r="S1233" i="53"/>
  <c r="S1419" i="53"/>
  <c r="S1660" i="53"/>
  <c r="T1540" i="53" l="1"/>
  <c r="T1541" i="53" s="1"/>
  <c r="U1539" i="53" s="1"/>
  <c r="I1084" i="1"/>
  <c r="J1081" i="1" s="1"/>
  <c r="J1143" i="1"/>
  <c r="K1140" i="1" s="1"/>
  <c r="I1039" i="1"/>
  <c r="J1148" i="1"/>
  <c r="U1649" i="53"/>
  <c r="U1639" i="53"/>
  <c r="K1416" i="1"/>
  <c r="K1697" i="1"/>
  <c r="K1650" i="1"/>
  <c r="K1651" i="1" s="1"/>
  <c r="K1641" i="1"/>
  <c r="K1184" i="1"/>
  <c r="F57" i="4"/>
  <c r="F57" i="49" s="1"/>
  <c r="K1033" i="1"/>
  <c r="T1654" i="53"/>
  <c r="K1646" i="1"/>
  <c r="J1160" i="1"/>
  <c r="K1157" i="1" s="1"/>
  <c r="N1515" i="1"/>
  <c r="O1513" i="1" s="1"/>
  <c r="K1540" i="1" l="1"/>
  <c r="K1541" i="1" s="1"/>
  <c r="L1539" i="1" s="1"/>
  <c r="T1556" i="53"/>
  <c r="T1409" i="53" s="1"/>
  <c r="O1514" i="1"/>
  <c r="O1515" i="1" s="1"/>
  <c r="P1513" i="1" s="1"/>
  <c r="T1233" i="53"/>
  <c r="T1419" i="53"/>
  <c r="T1660" i="53"/>
  <c r="T1656" i="53"/>
  <c r="I1187" i="1"/>
  <c r="K1166" i="1"/>
  <c r="K1112" i="1"/>
  <c r="K1698" i="1"/>
  <c r="L1696" i="1" s="1"/>
  <c r="U1650" i="53"/>
  <c r="U1651" i="53" s="1"/>
  <c r="U1652" i="53" s="1"/>
  <c r="U1230" i="53"/>
  <c r="U1416" i="53"/>
  <c r="U1697" i="53"/>
  <c r="U1698" i="53" s="1"/>
  <c r="V1696" i="53" s="1"/>
  <c r="U1509" i="53"/>
  <c r="U1641" i="53"/>
  <c r="J1086" i="1"/>
  <c r="K1308" i="1"/>
  <c r="F82" i="4" s="1"/>
  <c r="F82" i="49" s="1"/>
  <c r="L1638" i="1"/>
  <c r="J1171" i="1"/>
  <c r="J1149" i="1"/>
  <c r="K1146" i="1" s="1"/>
  <c r="T1223" i="53" l="1"/>
  <c r="K1223" i="1" s="1"/>
  <c r="T1567" i="53"/>
  <c r="K1556" i="1"/>
  <c r="K1409" i="1" s="1"/>
  <c r="P1514" i="1"/>
  <c r="J1172" i="1"/>
  <c r="U1540" i="53"/>
  <c r="U1308" i="53"/>
  <c r="V1638" i="53"/>
  <c r="U1646" i="53"/>
  <c r="U1643" i="53"/>
  <c r="L1649" i="1"/>
  <c r="U1510" i="53"/>
  <c r="V1508" i="53" s="1"/>
  <c r="K1118" i="1"/>
  <c r="K1126" i="1"/>
  <c r="I1188" i="1"/>
  <c r="K1567" i="1" l="1"/>
  <c r="U1654" i="53"/>
  <c r="U1656" i="53" s="1"/>
  <c r="J1020" i="1"/>
  <c r="J1186" i="1"/>
  <c r="J1196" i="1"/>
  <c r="U1232" i="53"/>
  <c r="U1265" i="53"/>
  <c r="U1418" i="53"/>
  <c r="U1644" i="53"/>
  <c r="K1127" i="1"/>
  <c r="L1124" i="1" s="1"/>
  <c r="I1103" i="1"/>
  <c r="K1110" i="1"/>
  <c r="K1119" i="1"/>
  <c r="L1116" i="1" s="1"/>
  <c r="V1649" i="53"/>
  <c r="V1639" i="53"/>
  <c r="F19" i="4"/>
  <c r="F19" i="49" s="1"/>
  <c r="U1556" i="53"/>
  <c r="U1541" i="53"/>
  <c r="V1539" i="53" s="1"/>
  <c r="P1515" i="1"/>
  <c r="Q1513" i="1" s="1"/>
  <c r="V1416" i="53" l="1"/>
  <c r="G1416" i="53" s="1"/>
  <c r="V1650" i="53"/>
  <c r="V1651" i="53" s="1"/>
  <c r="V1652" i="53" s="1"/>
  <c r="V1230" i="53"/>
  <c r="V1697" i="53"/>
  <c r="V1540" i="53" s="1"/>
  <c r="V1541" i="53" s="1"/>
  <c r="V1509" i="53"/>
  <c r="G1639" i="53"/>
  <c r="L1639" i="1"/>
  <c r="J1205" i="1"/>
  <c r="Q1514" i="1"/>
  <c r="U1567" i="53"/>
  <c r="U1223" i="53"/>
  <c r="U1409" i="53"/>
  <c r="J1021" i="1"/>
  <c r="I1189" i="1"/>
  <c r="I1104" i="1"/>
  <c r="J1101" i="1" s="1"/>
  <c r="L1121" i="1"/>
  <c r="V1641" i="53"/>
  <c r="K1167" i="1"/>
  <c r="L1129" i="1"/>
  <c r="U1419" i="53"/>
  <c r="U1233" i="53"/>
  <c r="U1660" i="53"/>
  <c r="G1652" i="53" l="1"/>
  <c r="J1652" i="1"/>
  <c r="K1652" i="1"/>
  <c r="K1654" i="1" s="1"/>
  <c r="L1652" i="1"/>
  <c r="J1879" i="1"/>
  <c r="P1205" i="53"/>
  <c r="P1879" i="53" s="1"/>
  <c r="M1205" i="53"/>
  <c r="N1205" i="53"/>
  <c r="N1879" i="53" s="1"/>
  <c r="O1205" i="53"/>
  <c r="O1879" i="53" s="1"/>
  <c r="V1556" i="53"/>
  <c r="G1540" i="53"/>
  <c r="L1540" i="1"/>
  <c r="G1230" i="53"/>
  <c r="J1230" i="1"/>
  <c r="K1230" i="1"/>
  <c r="F26" i="4" s="1"/>
  <c r="F26" i="49" s="1"/>
  <c r="L1230" i="1"/>
  <c r="G26" i="4" s="1"/>
  <c r="G26" i="49" s="1"/>
  <c r="K1168" i="1"/>
  <c r="V1308" i="53"/>
  <c r="V1646" i="53"/>
  <c r="V1643" i="53"/>
  <c r="J1047" i="1"/>
  <c r="J1041" i="1"/>
  <c r="J1102" i="1"/>
  <c r="E1533" i="53"/>
  <c r="E1505" i="53" s="1"/>
  <c r="G1509" i="53"/>
  <c r="K1509" i="1"/>
  <c r="L1509" i="1"/>
  <c r="V1510" i="53"/>
  <c r="I1190" i="1"/>
  <c r="Q1515" i="1"/>
  <c r="R1513" i="1" s="1"/>
  <c r="L1416" i="1"/>
  <c r="L1697" i="1"/>
  <c r="L1650" i="1"/>
  <c r="L1651" i="1" s="1"/>
  <c r="L1641" i="1"/>
  <c r="G1697" i="53"/>
  <c r="V1698" i="53"/>
  <c r="J1048" i="1" l="1"/>
  <c r="K1045" i="1" s="1"/>
  <c r="K1170" i="1"/>
  <c r="I1192" i="1"/>
  <c r="K1510" i="1"/>
  <c r="L1508" i="1" s="1"/>
  <c r="L1510" i="1" s="1"/>
  <c r="M1508" i="1" s="1"/>
  <c r="E26" i="4"/>
  <c r="E26" i="49" s="1"/>
  <c r="V1409" i="53"/>
  <c r="G1409" i="53" s="1"/>
  <c r="V1567" i="53"/>
  <c r="V1223" i="53"/>
  <c r="G1556" i="53"/>
  <c r="L1556" i="1"/>
  <c r="M1879" i="53"/>
  <c r="K1419" i="1"/>
  <c r="K1660" i="1"/>
  <c r="K1656" i="1"/>
  <c r="L1698" i="1"/>
  <c r="M1696" i="1" s="1"/>
  <c r="L1308" i="1"/>
  <c r="G82" i="4" s="1"/>
  <c r="G82" i="49" s="1"/>
  <c r="M1638" i="1"/>
  <c r="V1232" i="53"/>
  <c r="V1265" i="53"/>
  <c r="V1418" i="53"/>
  <c r="G1418" i="53" s="1"/>
  <c r="V1644" i="53"/>
  <c r="G1643" i="53"/>
  <c r="L1643" i="1"/>
  <c r="J1654" i="1"/>
  <c r="R1514" i="1"/>
  <c r="R1515" i="1" s="1"/>
  <c r="S1513" i="1" s="1"/>
  <c r="E1505" i="1"/>
  <c r="H1509" i="53"/>
  <c r="J1083" i="1"/>
  <c r="V1654" i="53"/>
  <c r="L1646" i="1"/>
  <c r="L1654" i="1" s="1"/>
  <c r="L1541" i="1"/>
  <c r="M1539" i="1" s="1"/>
  <c r="V1233" i="53" l="1"/>
  <c r="V1419" i="53"/>
  <c r="V1660" i="53"/>
  <c r="M1509" i="1"/>
  <c r="M1510" i="1" s="1"/>
  <c r="N1508" i="1" s="1"/>
  <c r="N1509" i="1" s="1"/>
  <c r="E1533" i="1"/>
  <c r="G1644" i="53"/>
  <c r="J1644" i="1"/>
  <c r="L1644" i="1"/>
  <c r="V1656" i="53"/>
  <c r="G1223" i="53"/>
  <c r="L1223" i="1"/>
  <c r="I1094" i="1"/>
  <c r="J1084" i="1"/>
  <c r="K1081" i="1" s="1"/>
  <c r="S1514" i="1"/>
  <c r="L1019" i="1"/>
  <c r="L1032" i="1"/>
  <c r="L1183" i="1"/>
  <c r="L1418" i="1"/>
  <c r="L1656" i="1"/>
  <c r="G1265" i="53"/>
  <c r="L1265" i="1"/>
  <c r="M1649" i="1"/>
  <c r="M1639" i="1"/>
  <c r="J1039" i="1"/>
  <c r="L1419" i="1"/>
  <c r="L1660" i="1"/>
  <c r="J1419" i="1"/>
  <c r="J1660" i="1"/>
  <c r="J1656" i="1"/>
  <c r="G1232" i="53"/>
  <c r="J1232" i="1"/>
  <c r="L1232" i="1"/>
  <c r="G28" i="4" s="1"/>
  <c r="G28" i="49" s="1"/>
  <c r="L1567" i="1"/>
  <c r="L1409" i="1"/>
  <c r="K1142" i="1"/>
  <c r="K1148" i="1" s="1"/>
  <c r="K1159" i="1"/>
  <c r="K1171" i="1" l="1"/>
  <c r="K1149" i="1"/>
  <c r="L1146" i="1" s="1"/>
  <c r="J1187" i="1"/>
  <c r="L1033" i="1"/>
  <c r="K1086" i="1"/>
  <c r="K1160" i="1"/>
  <c r="L1157" i="1" s="1"/>
  <c r="M1230" i="1"/>
  <c r="M1416" i="1"/>
  <c r="M1650" i="1"/>
  <c r="M1651" i="1" s="1"/>
  <c r="M1652" i="1" s="1"/>
  <c r="M1697" i="1"/>
  <c r="M1641" i="1"/>
  <c r="G19" i="4"/>
  <c r="G19" i="49" s="1"/>
  <c r="M1535" i="1"/>
  <c r="K1143" i="1"/>
  <c r="L1140" i="1" s="1"/>
  <c r="G57" i="4"/>
  <c r="G57" i="49" s="1"/>
  <c r="I1193" i="1"/>
  <c r="I1095" i="1"/>
  <c r="J1092" i="1" s="1"/>
  <c r="E28" i="4"/>
  <c r="E28" i="49" s="1"/>
  <c r="N1510" i="1"/>
  <c r="O1508" i="1" s="1"/>
  <c r="L1184" i="1"/>
  <c r="S1515" i="1"/>
  <c r="T1513" i="1" s="1"/>
  <c r="J1233" i="1"/>
  <c r="E29" i="4" s="1"/>
  <c r="E29" i="49" s="1"/>
  <c r="K1233" i="1"/>
  <c r="F29" i="4" s="1"/>
  <c r="F29" i="49" s="1"/>
  <c r="L1233" i="1"/>
  <c r="G29" i="4" s="1"/>
  <c r="G29" i="49" s="1"/>
  <c r="T1514" i="1" l="1"/>
  <c r="T1515" i="1" s="1"/>
  <c r="U1513" i="1" s="1"/>
  <c r="M1698" i="1"/>
  <c r="N1696" i="1" s="1"/>
  <c r="H26" i="4"/>
  <c r="H26" i="49" s="1"/>
  <c r="J1188" i="1"/>
  <c r="M1536" i="1"/>
  <c r="N1534" i="1" s="1"/>
  <c r="M1308" i="1"/>
  <c r="H82" i="4" s="1"/>
  <c r="H82" i="49" s="1"/>
  <c r="N1638" i="1"/>
  <c r="M1646" i="1"/>
  <c r="M1654" i="1" s="1"/>
  <c r="M1643" i="1"/>
  <c r="I1194" i="1"/>
  <c r="L1166" i="1"/>
  <c r="L1112" i="1"/>
  <c r="O1509" i="1"/>
  <c r="O1510" i="1" s="1"/>
  <c r="P1508" i="1" s="1"/>
  <c r="M1540" i="1"/>
  <c r="K1172" i="1"/>
  <c r="P1509" i="1" l="1"/>
  <c r="P1510" i="1" s="1"/>
  <c r="Q1508" i="1" s="1"/>
  <c r="I1204" i="1"/>
  <c r="I1198" i="1"/>
  <c r="N1535" i="1"/>
  <c r="N1536" i="1" s="1"/>
  <c r="O1534" i="1" s="1"/>
  <c r="J1103" i="1"/>
  <c r="N1649" i="1"/>
  <c r="N1639" i="1"/>
  <c r="U1514" i="1"/>
  <c r="M1233" i="1"/>
  <c r="H29" i="4" s="1"/>
  <c r="H29" i="49" s="1"/>
  <c r="M1419" i="1"/>
  <c r="M1660" i="1"/>
  <c r="K1020" i="1"/>
  <c r="K1186" i="1"/>
  <c r="K1196" i="1"/>
  <c r="L1126" i="1"/>
  <c r="L1118" i="1"/>
  <c r="M1541" i="1"/>
  <c r="N1539" i="1" s="1"/>
  <c r="M1019" i="1"/>
  <c r="M1032" i="1"/>
  <c r="M1232" i="1"/>
  <c r="M1265" i="1"/>
  <c r="M1183" i="1"/>
  <c r="M1418" i="1"/>
  <c r="M1644" i="1"/>
  <c r="M1656" i="1"/>
  <c r="M1556" i="1"/>
  <c r="Q1509" i="1" l="1"/>
  <c r="Q1510" i="1" s="1"/>
  <c r="R1508" i="1" s="1"/>
  <c r="H57" i="4"/>
  <c r="H57" i="49" s="1"/>
  <c r="K1205" i="1"/>
  <c r="N1230" i="1"/>
  <c r="N1416" i="1"/>
  <c r="N1697" i="1"/>
  <c r="N1698" i="1" s="1"/>
  <c r="O1696" i="1" s="1"/>
  <c r="N1650" i="1"/>
  <c r="N1651" i="1" s="1"/>
  <c r="N1652" i="1" s="1"/>
  <c r="N1641" i="1"/>
  <c r="I1207" i="1"/>
  <c r="I1878" i="1"/>
  <c r="J1204" i="53"/>
  <c r="K1204" i="53"/>
  <c r="L1204" i="53"/>
  <c r="I1204" i="53"/>
  <c r="H28" i="4"/>
  <c r="H28" i="49" s="1"/>
  <c r="L1110" i="1"/>
  <c r="L1119" i="1"/>
  <c r="M1116" i="1" s="1"/>
  <c r="M1223" i="1"/>
  <c r="M1409" i="1"/>
  <c r="M1567" i="1"/>
  <c r="L1127" i="1"/>
  <c r="M1124" i="1" s="1"/>
  <c r="K1021" i="1"/>
  <c r="J1189" i="1"/>
  <c r="J1104" i="1"/>
  <c r="K1101" i="1" s="1"/>
  <c r="O1535" i="1"/>
  <c r="U1515" i="1"/>
  <c r="V1513" i="1" s="1"/>
  <c r="R1509" i="1" l="1"/>
  <c r="R1510" i="1" s="1"/>
  <c r="S1508" i="1" s="1"/>
  <c r="J1207" i="53"/>
  <c r="J1217" i="53" s="1"/>
  <c r="J1878" i="53"/>
  <c r="J1881" i="53" s="1"/>
  <c r="J1887" i="53" s="1"/>
  <c r="J1888" i="53" s="1"/>
  <c r="N1308" i="1"/>
  <c r="I82" i="4" s="1"/>
  <c r="I82" i="49" s="1"/>
  <c r="O1638" i="1"/>
  <c r="N1643" i="1"/>
  <c r="N1646" i="1"/>
  <c r="N1654" i="1" s="1"/>
  <c r="T1205" i="53"/>
  <c r="T1879" i="53" s="1"/>
  <c r="K1879" i="1"/>
  <c r="Q1205" i="53"/>
  <c r="R1205" i="53"/>
  <c r="R1879" i="53" s="1"/>
  <c r="S1205" i="53"/>
  <c r="S1879" i="53" s="1"/>
  <c r="M1121" i="1"/>
  <c r="J1190" i="1"/>
  <c r="M1129" i="1"/>
  <c r="L1167" i="1"/>
  <c r="I1207" i="53"/>
  <c r="I1878" i="53"/>
  <c r="I1881" i="1"/>
  <c r="N1540" i="1"/>
  <c r="K1207" i="53"/>
  <c r="K1217" i="53" s="1"/>
  <c r="K1878" i="53"/>
  <c r="K1881" i="53" s="1"/>
  <c r="K1887" i="53" s="1"/>
  <c r="K1888" i="53" s="1"/>
  <c r="K1047" i="1"/>
  <c r="K1041" i="1"/>
  <c r="K1102" i="1"/>
  <c r="H19" i="4"/>
  <c r="H19" i="49" s="1"/>
  <c r="V1514" i="1"/>
  <c r="O1536" i="1"/>
  <c r="P1534" i="1" s="1"/>
  <c r="L1207" i="53"/>
  <c r="L1217" i="53" s="1"/>
  <c r="L1878" i="53"/>
  <c r="L1881" i="53" s="1"/>
  <c r="L1887" i="53" s="1"/>
  <c r="L1888" i="53" s="1"/>
  <c r="I26" i="4"/>
  <c r="I26" i="49" s="1"/>
  <c r="S1509" i="1" l="1"/>
  <c r="S1510" i="1" s="1"/>
  <c r="T1508" i="1" s="1"/>
  <c r="N1556" i="1"/>
  <c r="N1541" i="1"/>
  <c r="O1539" i="1" s="1"/>
  <c r="J1379" i="53"/>
  <c r="J1218" i="53"/>
  <c r="J1221" i="53" s="1"/>
  <c r="V1515" i="1"/>
  <c r="W1513" i="1" s="1"/>
  <c r="K1048" i="1"/>
  <c r="L1045" i="1" s="1"/>
  <c r="I1217" i="53"/>
  <c r="O1649" i="1"/>
  <c r="O1639" i="1"/>
  <c r="Q1879" i="53"/>
  <c r="L1379" i="53"/>
  <c r="L1218" i="53"/>
  <c r="L1221" i="53" s="1"/>
  <c r="I1887" i="1"/>
  <c r="K1083" i="1"/>
  <c r="I1881" i="53"/>
  <c r="N1019" i="1"/>
  <c r="N1032" i="1"/>
  <c r="N1183" i="1"/>
  <c r="N1232" i="1"/>
  <c r="N1418" i="1"/>
  <c r="N1265" i="1"/>
  <c r="I57" i="4" s="1"/>
  <c r="I57" i="49" s="1"/>
  <c r="N1644" i="1"/>
  <c r="N1656" i="1"/>
  <c r="P1535" i="1"/>
  <c r="K1379" i="53"/>
  <c r="K1218" i="53"/>
  <c r="K1221" i="53" s="1"/>
  <c r="L1168" i="1"/>
  <c r="J1192" i="1"/>
  <c r="N1233" i="1"/>
  <c r="I29" i="4" s="1"/>
  <c r="I29" i="49" s="1"/>
  <c r="N1419" i="1"/>
  <c r="N1660" i="1"/>
  <c r="T1509" i="1" l="1"/>
  <c r="T1510" i="1" s="1"/>
  <c r="U1508" i="1" s="1"/>
  <c r="J1094" i="1"/>
  <c r="L1382" i="53"/>
  <c r="L1402" i="53"/>
  <c r="J1382" i="53"/>
  <c r="J1402" i="53"/>
  <c r="K1402" i="53"/>
  <c r="K1382" i="53"/>
  <c r="K1084" i="1"/>
  <c r="L1081" i="1" s="1"/>
  <c r="L1170" i="1"/>
  <c r="I28" i="4"/>
  <c r="I28" i="49" s="1"/>
  <c r="I1887" i="53"/>
  <c r="K1039" i="1"/>
  <c r="O1416" i="1"/>
  <c r="O1230" i="1"/>
  <c r="O1697" i="1"/>
  <c r="O1698" i="1" s="1"/>
  <c r="P1696" i="1" s="1"/>
  <c r="O1650" i="1"/>
  <c r="O1651" i="1" s="1"/>
  <c r="O1652" i="1" s="1"/>
  <c r="O1641" i="1"/>
  <c r="P1536" i="1"/>
  <c r="Q1534" i="1" s="1"/>
  <c r="I1888" i="1"/>
  <c r="I1217" i="1"/>
  <c r="I1379" i="53"/>
  <c r="I1218" i="53"/>
  <c r="W1514" i="1"/>
  <c r="W1515" i="1" s="1"/>
  <c r="X1513" i="1" s="1"/>
  <c r="N1223" i="1"/>
  <c r="N1409" i="1"/>
  <c r="N1567" i="1"/>
  <c r="U1509" i="1" l="1"/>
  <c r="U1510" i="1" s="1"/>
  <c r="V1508" i="1" s="1"/>
  <c r="I1221" i="53"/>
  <c r="Q1535" i="1"/>
  <c r="K1490" i="53"/>
  <c r="K1548" i="53"/>
  <c r="K1550" i="53" s="1"/>
  <c r="K1392" i="53"/>
  <c r="K1476" i="53"/>
  <c r="K1477" i="53"/>
  <c r="K1478" i="53"/>
  <c r="L1392" i="53"/>
  <c r="L1476" i="53"/>
  <c r="L1477" i="53"/>
  <c r="L1478" i="53"/>
  <c r="L1490" i="53"/>
  <c r="L1548" i="53"/>
  <c r="L1550" i="53" s="1"/>
  <c r="I19" i="4"/>
  <c r="I19" i="49" s="1"/>
  <c r="I1382" i="53"/>
  <c r="I1402" i="53"/>
  <c r="O1308" i="1"/>
  <c r="J82" i="4" s="1"/>
  <c r="J82" i="49" s="1"/>
  <c r="P1638" i="1"/>
  <c r="O1643" i="1"/>
  <c r="O1646" i="1"/>
  <c r="O1654" i="1" s="1"/>
  <c r="I1888" i="53"/>
  <c r="L1159" i="1"/>
  <c r="L1142" i="1"/>
  <c r="K1449" i="53"/>
  <c r="J1449" i="53"/>
  <c r="J1193" i="1"/>
  <c r="J1095" i="1"/>
  <c r="K1092" i="1" s="1"/>
  <c r="K1187" i="1"/>
  <c r="L1449" i="53"/>
  <c r="X1514" i="1"/>
  <c r="X1515" i="1" s="1"/>
  <c r="Y1513" i="1" s="1"/>
  <c r="D13" i="4"/>
  <c r="D13" i="49" s="1"/>
  <c r="I1357" i="1"/>
  <c r="I1379" i="1"/>
  <c r="I1218" i="1"/>
  <c r="O1540" i="1"/>
  <c r="J26" i="4"/>
  <c r="J26" i="49" s="1"/>
  <c r="L1086" i="1"/>
  <c r="J1548" i="53"/>
  <c r="J1550" i="53" s="1"/>
  <c r="J1392" i="53"/>
  <c r="J1476" i="53"/>
  <c r="J1477" i="53"/>
  <c r="J1478" i="53"/>
  <c r="J1490" i="53"/>
  <c r="V1509" i="1" l="1"/>
  <c r="V1510" i="1" s="1"/>
  <c r="W1508" i="1" s="1"/>
  <c r="K1386" i="53"/>
  <c r="L1386" i="53"/>
  <c r="I1392" i="53"/>
  <c r="I1476" i="53"/>
  <c r="I1477" i="53"/>
  <c r="I1478" i="53"/>
  <c r="I1386" i="53"/>
  <c r="I1490" i="53"/>
  <c r="J1386" i="53"/>
  <c r="I1548" i="53"/>
  <c r="I1550" i="53" s="1"/>
  <c r="I1557" i="53" s="1"/>
  <c r="I1402" i="1"/>
  <c r="I1382" i="1"/>
  <c r="D14" i="4"/>
  <c r="D14" i="49" s="1"/>
  <c r="I1221" i="1"/>
  <c r="Y1514" i="1"/>
  <c r="K1357" i="53"/>
  <c r="L1357" i="53"/>
  <c r="I1357" i="53"/>
  <c r="J1357" i="53"/>
  <c r="J1194" i="1"/>
  <c r="O1233" i="1"/>
  <c r="J29" i="4" s="1"/>
  <c r="J29" i="49" s="1"/>
  <c r="O1419" i="1"/>
  <c r="O1660" i="1"/>
  <c r="L1160" i="1"/>
  <c r="M1157" i="1" s="1"/>
  <c r="P1649" i="1"/>
  <c r="P1639" i="1"/>
  <c r="O1556" i="1"/>
  <c r="O1541" i="1"/>
  <c r="P1539" i="1" s="1"/>
  <c r="K1188" i="1"/>
  <c r="L1143" i="1"/>
  <c r="M1140" i="1" s="1"/>
  <c r="L1148" i="1"/>
  <c r="O1019" i="1"/>
  <c r="O1032" i="1"/>
  <c r="O1183" i="1"/>
  <c r="O1265" i="1"/>
  <c r="J57" i="4" s="1"/>
  <c r="J57" i="49" s="1"/>
  <c r="O1232" i="1"/>
  <c r="O1418" i="1"/>
  <c r="O1644" i="1"/>
  <c r="O1656" i="1"/>
  <c r="I1449" i="53"/>
  <c r="Q1536" i="1"/>
  <c r="R1534" i="1" s="1"/>
  <c r="W1509" i="1" l="1"/>
  <c r="W1510" i="1" s="1"/>
  <c r="X1508" i="1" s="1"/>
  <c r="I1491" i="53"/>
  <c r="I1492" i="53" s="1"/>
  <c r="I1224" i="53"/>
  <c r="I1410" i="53"/>
  <c r="I1558" i="53"/>
  <c r="R1535" i="1"/>
  <c r="O1409" i="1"/>
  <c r="O1223" i="1"/>
  <c r="O1567" i="1"/>
  <c r="J28" i="4"/>
  <c r="J28" i="49" s="1"/>
  <c r="K1103" i="1"/>
  <c r="P1230" i="1"/>
  <c r="P1416" i="1"/>
  <c r="P1697" i="1"/>
  <c r="P1698" i="1" s="1"/>
  <c r="Q1696" i="1" s="1"/>
  <c r="P1650" i="1"/>
  <c r="P1651" i="1" s="1"/>
  <c r="P1652" i="1" s="1"/>
  <c r="P1641" i="1"/>
  <c r="J1204" i="1"/>
  <c r="J1198" i="1"/>
  <c r="Y1515" i="1"/>
  <c r="Z1513" i="1" s="1"/>
  <c r="L1171" i="1"/>
  <c r="L1149" i="1"/>
  <c r="M1146" i="1" s="1"/>
  <c r="I1449" i="1"/>
  <c r="I1457" i="1" s="1"/>
  <c r="D17" i="4"/>
  <c r="D17" i="49" s="1"/>
  <c r="I1386" i="1"/>
  <c r="I1392" i="1"/>
  <c r="I1490" i="1"/>
  <c r="I1548" i="1"/>
  <c r="I1550" i="1" s="1"/>
  <c r="X1509" i="1" l="1"/>
  <c r="X1510" i="1" s="1"/>
  <c r="Y1508" i="1" s="1"/>
  <c r="J19" i="4"/>
  <c r="J19" i="49" s="1"/>
  <c r="J1555" i="53"/>
  <c r="I1429" i="53"/>
  <c r="I1430" i="53" s="1"/>
  <c r="I1306" i="53"/>
  <c r="I1563" i="53"/>
  <c r="J1207" i="1"/>
  <c r="J1878" i="1"/>
  <c r="O1204" i="53"/>
  <c r="P1204" i="53"/>
  <c r="M1204" i="53"/>
  <c r="N1204" i="53"/>
  <c r="L1172" i="1"/>
  <c r="Z1514" i="1"/>
  <c r="P1308" i="1"/>
  <c r="Q1638" i="1"/>
  <c r="P1646" i="1"/>
  <c r="P1654" i="1" s="1"/>
  <c r="P1643" i="1"/>
  <c r="I1551" i="53"/>
  <c r="K1189" i="1"/>
  <c r="K1104" i="1"/>
  <c r="L1101" i="1" s="1"/>
  <c r="P1540" i="1"/>
  <c r="R1536" i="1"/>
  <c r="S1534" i="1" s="1"/>
  <c r="Y1509" i="1" l="1"/>
  <c r="Y1510" i="1" s="1"/>
  <c r="Z1508" i="1" s="1"/>
  <c r="N1207" i="53"/>
  <c r="N1217" i="53" s="1"/>
  <c r="N1878" i="53"/>
  <c r="N1881" i="53" s="1"/>
  <c r="N1887" i="53" s="1"/>
  <c r="N1888" i="53" s="1"/>
  <c r="J1881" i="1"/>
  <c r="O1207" i="53"/>
  <c r="O1217" i="53" s="1"/>
  <c r="O1878" i="53"/>
  <c r="O1881" i="53" s="1"/>
  <c r="O1887" i="53" s="1"/>
  <c r="O1888" i="53" s="1"/>
  <c r="S1535" i="1"/>
  <c r="S1536" i="1" s="1"/>
  <c r="T1534" i="1" s="1"/>
  <c r="Q1649" i="1"/>
  <c r="Q1639" i="1"/>
  <c r="L1020" i="1"/>
  <c r="L1196" i="1"/>
  <c r="L1186" i="1"/>
  <c r="M1207" i="53"/>
  <c r="M1878" i="53"/>
  <c r="P1019" i="1"/>
  <c r="P1032" i="1"/>
  <c r="P1183" i="1"/>
  <c r="P1232" i="1"/>
  <c r="P1265" i="1"/>
  <c r="P1418" i="1"/>
  <c r="P1644" i="1"/>
  <c r="P1656" i="1"/>
  <c r="I1571" i="53"/>
  <c r="I1577" i="53"/>
  <c r="I1646" i="53"/>
  <c r="P1233" i="1"/>
  <c r="P1419" i="1"/>
  <c r="P1660" i="1"/>
  <c r="Z1515" i="1"/>
  <c r="AA1513" i="1" s="1"/>
  <c r="P1556" i="1"/>
  <c r="P1541" i="1"/>
  <c r="Q1539" i="1" s="1"/>
  <c r="K1190" i="1"/>
  <c r="P1878" i="53"/>
  <c r="P1881" i="53" s="1"/>
  <c r="P1887" i="53" s="1"/>
  <c r="P1888" i="53" s="1"/>
  <c r="P1207" i="53"/>
  <c r="P1217" i="53" s="1"/>
  <c r="J1566" i="53"/>
  <c r="J1557" i="53"/>
  <c r="T1535" i="1" l="1"/>
  <c r="Z1509" i="1"/>
  <c r="Z1510" i="1" s="1"/>
  <c r="AA1508" i="1" s="1"/>
  <c r="L1205" i="1"/>
  <c r="J1568" i="53"/>
  <c r="J1569" i="53" s="1"/>
  <c r="AA1514" i="1"/>
  <c r="AA1515" i="1" s="1"/>
  <c r="AB1513" i="1" s="1"/>
  <c r="J1491" i="53"/>
  <c r="J1224" i="53"/>
  <c r="J1410" i="53"/>
  <c r="M1881" i="53"/>
  <c r="I1579" i="53"/>
  <c r="M1217" i="53"/>
  <c r="L1021" i="1"/>
  <c r="J1887" i="1"/>
  <c r="K1192" i="1"/>
  <c r="I1646" i="1"/>
  <c r="G1646" i="53"/>
  <c r="I1654" i="53"/>
  <c r="N1379" i="53"/>
  <c r="N1218" i="53"/>
  <c r="N1221" i="53" s="1"/>
  <c r="P1379" i="53"/>
  <c r="P1218" i="53"/>
  <c r="P1221" i="53" s="1"/>
  <c r="J1558" i="53"/>
  <c r="P1223" i="1"/>
  <c r="P1409" i="1"/>
  <c r="P1567" i="1"/>
  <c r="I1225" i="53"/>
  <c r="I1412" i="53"/>
  <c r="Q1230" i="1"/>
  <c r="Q1416" i="1"/>
  <c r="Q1650" i="1"/>
  <c r="Q1651" i="1" s="1"/>
  <c r="Q1652" i="1" s="1"/>
  <c r="Q1697" i="1"/>
  <c r="Q1698" i="1" s="1"/>
  <c r="R1696" i="1" s="1"/>
  <c r="Q1641" i="1"/>
  <c r="O1379" i="53"/>
  <c r="O1218" i="53"/>
  <c r="O1221" i="53" s="1"/>
  <c r="Q1540" i="1" l="1"/>
  <c r="Q1556" i="1" s="1"/>
  <c r="Q1223" i="1" s="1"/>
  <c r="AA1509" i="1"/>
  <c r="AA1510" i="1" s="1"/>
  <c r="AB1508" i="1" s="1"/>
  <c r="J1551" i="53"/>
  <c r="J1492" i="53"/>
  <c r="M1887" i="53"/>
  <c r="K1094" i="1"/>
  <c r="J1306" i="53"/>
  <c r="J1429" i="53"/>
  <c r="J1430" i="53" s="1"/>
  <c r="K1555" i="53"/>
  <c r="J1563" i="53"/>
  <c r="N1382" i="53"/>
  <c r="N1402" i="53"/>
  <c r="O1402" i="53"/>
  <c r="O1382" i="53"/>
  <c r="P1382" i="53"/>
  <c r="P1402" i="53"/>
  <c r="AB1514" i="1"/>
  <c r="U1205" i="53"/>
  <c r="L1879" i="1"/>
  <c r="V1205" i="53"/>
  <c r="V1879" i="53" s="1"/>
  <c r="Q1308" i="1"/>
  <c r="R1638" i="1"/>
  <c r="Q1643" i="1"/>
  <c r="Q1646" i="1"/>
  <c r="Q1654" i="1" s="1"/>
  <c r="I1419" i="53"/>
  <c r="G1419" i="53" s="1"/>
  <c r="G1654" i="53"/>
  <c r="I1660" i="53"/>
  <c r="I1233" i="53"/>
  <c r="I1656" i="53"/>
  <c r="E1656" i="53" s="1"/>
  <c r="L1047" i="1"/>
  <c r="L1102" i="1"/>
  <c r="L1041" i="1"/>
  <c r="J1576" i="53"/>
  <c r="I1654" i="1"/>
  <c r="J1888" i="1"/>
  <c r="J1217" i="1"/>
  <c r="M1379" i="53"/>
  <c r="M1218" i="53"/>
  <c r="T1536" i="1"/>
  <c r="U1534" i="1" s="1"/>
  <c r="Q1656" i="1" l="1"/>
  <c r="Q1567" i="1"/>
  <c r="Q1541" i="1"/>
  <c r="R1539" i="1" s="1"/>
  <c r="Q1409" i="1"/>
  <c r="AB1509" i="1"/>
  <c r="AB1510" i="1" s="1"/>
  <c r="AC1508" i="1" s="1"/>
  <c r="Q1019" i="1"/>
  <c r="Q1032" i="1"/>
  <c r="Q1183" i="1"/>
  <c r="Q1232" i="1"/>
  <c r="Q1265" i="1"/>
  <c r="Q1418" i="1"/>
  <c r="Q1644" i="1"/>
  <c r="M1382" i="53"/>
  <c r="M1402" i="53"/>
  <c r="I1233" i="1"/>
  <c r="G1233" i="53"/>
  <c r="R1649" i="1"/>
  <c r="R1639" i="1"/>
  <c r="P1449" i="53"/>
  <c r="O1490" i="53"/>
  <c r="O1548" i="53"/>
  <c r="O1550" i="53" s="1"/>
  <c r="O1392" i="53"/>
  <c r="O1476" i="53"/>
  <c r="O1478" i="53"/>
  <c r="O1477" i="53"/>
  <c r="N1449" i="53"/>
  <c r="K1193" i="1"/>
  <c r="K1095" i="1"/>
  <c r="L1092" i="1" s="1"/>
  <c r="M1221" i="53"/>
  <c r="K1566" i="53"/>
  <c r="K1557" i="53"/>
  <c r="K1558" i="53" s="1"/>
  <c r="I1419" i="1"/>
  <c r="I1660" i="1"/>
  <c r="I1656" i="1"/>
  <c r="L1083" i="1"/>
  <c r="E13" i="4"/>
  <c r="E13" i="49" s="1"/>
  <c r="J1379" i="1"/>
  <c r="J1357" i="1"/>
  <c r="J1218" i="1"/>
  <c r="G1660" i="53"/>
  <c r="U1879" i="53"/>
  <c r="G1879" i="53" s="1"/>
  <c r="G1205" i="53"/>
  <c r="P1392" i="53"/>
  <c r="P1476" i="53"/>
  <c r="P1477" i="53"/>
  <c r="P1478" i="53"/>
  <c r="P1490" i="53"/>
  <c r="P1548" i="53"/>
  <c r="P1550" i="53" s="1"/>
  <c r="O1449" i="53"/>
  <c r="N1548" i="53"/>
  <c r="N1550" i="53" s="1"/>
  <c r="N1392" i="53"/>
  <c r="N1476" i="53"/>
  <c r="N1477" i="53"/>
  <c r="N1478" i="53"/>
  <c r="N1490" i="53"/>
  <c r="M1888" i="53"/>
  <c r="I1238" i="53"/>
  <c r="I1239" i="53" s="1"/>
  <c r="U1535" i="1"/>
  <c r="U1536" i="1" s="1"/>
  <c r="V1534" i="1" s="1"/>
  <c r="L1048" i="1"/>
  <c r="M1045" i="1" s="1"/>
  <c r="Q1233" i="1"/>
  <c r="Q1419" i="1"/>
  <c r="Q1660" i="1"/>
  <c r="AB1515" i="1"/>
  <c r="AC1513" i="1" s="1"/>
  <c r="I1420" i="53"/>
  <c r="J1571" i="53"/>
  <c r="J1577" i="53"/>
  <c r="AC1509" i="1" l="1"/>
  <c r="AC1510" i="1" s="1"/>
  <c r="AD1508" i="1" s="1"/>
  <c r="V1535" i="1"/>
  <c r="K1429" i="53"/>
  <c r="K1430" i="53" s="1"/>
  <c r="L1555" i="53"/>
  <c r="K1306" i="53"/>
  <c r="O1357" i="53"/>
  <c r="P1357" i="53"/>
  <c r="M1357" i="53"/>
  <c r="N1357" i="53"/>
  <c r="R1230" i="1"/>
  <c r="R1416" i="1"/>
  <c r="R1697" i="1"/>
  <c r="R1698" i="1" s="1"/>
  <c r="S1696" i="1" s="1"/>
  <c r="R1650" i="1"/>
  <c r="R1651" i="1" s="1"/>
  <c r="R1652" i="1" s="1"/>
  <c r="R1641" i="1"/>
  <c r="M1449" i="53"/>
  <c r="E14" i="4"/>
  <c r="E14" i="49" s="1"/>
  <c r="J1221" i="1"/>
  <c r="J1579" i="53"/>
  <c r="L1084" i="1"/>
  <c r="M1081" i="1" s="1"/>
  <c r="K1568" i="53"/>
  <c r="K1569" i="53" s="1"/>
  <c r="K1194" i="1"/>
  <c r="I1243" i="53"/>
  <c r="J1225" i="53"/>
  <c r="J1412" i="53"/>
  <c r="L1039" i="1"/>
  <c r="I1364" i="53"/>
  <c r="J1382" i="1"/>
  <c r="J1402" i="1"/>
  <c r="K1563" i="53"/>
  <c r="M1392" i="53"/>
  <c r="M1476" i="53"/>
  <c r="M1477" i="53"/>
  <c r="M1478" i="53"/>
  <c r="M1490" i="53"/>
  <c r="M1548" i="53"/>
  <c r="M1550" i="53" s="1"/>
  <c r="P1386" i="53"/>
  <c r="N1386" i="53"/>
  <c r="O1386" i="53"/>
  <c r="M1386" i="53"/>
  <c r="AC1514" i="1"/>
  <c r="AC1515" i="1" s="1"/>
  <c r="AD1513" i="1" s="1"/>
  <c r="I1424" i="53"/>
  <c r="I1433" i="53"/>
  <c r="K1410" i="53"/>
  <c r="K1491" i="53"/>
  <c r="K1224" i="53"/>
  <c r="D29" i="4"/>
  <c r="D29" i="49" s="1"/>
  <c r="AD1514" i="1" l="1"/>
  <c r="AD1509" i="1"/>
  <c r="AD1510" i="1" s="1"/>
  <c r="AE1508" i="1" s="1"/>
  <c r="I1247" i="53"/>
  <c r="I1248" i="53" s="1"/>
  <c r="R1308" i="1"/>
  <c r="S1638" i="1"/>
  <c r="R1646" i="1"/>
  <c r="R1643" i="1"/>
  <c r="J1392" i="1"/>
  <c r="J1490" i="1"/>
  <c r="J1548" i="1"/>
  <c r="J1550" i="1" s="1"/>
  <c r="J1386" i="1"/>
  <c r="L1187" i="1"/>
  <c r="E17" i="4"/>
  <c r="E17" i="49" s="1"/>
  <c r="R1540" i="1"/>
  <c r="L1566" i="53"/>
  <c r="L1557" i="53"/>
  <c r="L1558" i="53" s="1"/>
  <c r="V1536" i="1"/>
  <c r="W1534" i="1" s="1"/>
  <c r="K1577" i="53"/>
  <c r="K1571" i="53"/>
  <c r="K1551" i="53"/>
  <c r="K1492" i="53"/>
  <c r="J1420" i="53"/>
  <c r="K1204" i="1"/>
  <c r="K1198" i="1"/>
  <c r="M1086" i="1"/>
  <c r="J1449" i="1"/>
  <c r="J1457" i="1" s="1"/>
  <c r="K1576" i="53"/>
  <c r="K1579" i="53" l="1"/>
  <c r="L1576" i="53" s="1"/>
  <c r="AE1509" i="1"/>
  <c r="G1509" i="1" s="1"/>
  <c r="R1556" i="1"/>
  <c r="R1541" i="1"/>
  <c r="S1539" i="1" s="1"/>
  <c r="R1019" i="1"/>
  <c r="R1032" i="1"/>
  <c r="R1183" i="1"/>
  <c r="R1232" i="1"/>
  <c r="R1418" i="1"/>
  <c r="R1265" i="1"/>
  <c r="R1644" i="1"/>
  <c r="K1207" i="1"/>
  <c r="S1204" i="53"/>
  <c r="K1878" i="1"/>
  <c r="T1204" i="53"/>
  <c r="Q1204" i="53"/>
  <c r="R1204" i="53"/>
  <c r="K1225" i="53"/>
  <c r="K1412" i="53"/>
  <c r="L1568" i="53"/>
  <c r="L1569" i="53" s="1"/>
  <c r="L1188" i="1"/>
  <c r="R1654" i="1"/>
  <c r="J1246" i="53"/>
  <c r="I1296" i="53"/>
  <c r="AD1515" i="1"/>
  <c r="AE1513" i="1" s="1"/>
  <c r="W1535" i="1"/>
  <c r="W1536" i="1" s="1"/>
  <c r="X1534" i="1" s="1"/>
  <c r="L1429" i="53"/>
  <c r="L1430" i="53" s="1"/>
  <c r="M1555" i="53"/>
  <c r="L1306" i="53"/>
  <c r="L1224" i="53"/>
  <c r="L1410" i="53"/>
  <c r="L1491" i="53"/>
  <c r="I1557" i="1"/>
  <c r="L1563" i="53"/>
  <c r="S1649" i="1"/>
  <c r="S1639" i="1"/>
  <c r="J1433" i="53"/>
  <c r="J1424" i="53"/>
  <c r="L1571" i="53" l="1"/>
  <c r="L1577" i="53"/>
  <c r="L1579" i="53" s="1"/>
  <c r="I1563" i="1"/>
  <c r="L1551" i="53"/>
  <c r="L1492" i="53"/>
  <c r="I1491" i="1"/>
  <c r="M1566" i="53"/>
  <c r="M1557" i="53"/>
  <c r="AE1514" i="1"/>
  <c r="AE1515" i="1" s="1"/>
  <c r="R1233" i="1"/>
  <c r="R1419" i="1"/>
  <c r="R1660" i="1"/>
  <c r="L1103" i="1"/>
  <c r="K1420" i="53"/>
  <c r="T1207" i="53"/>
  <c r="T1217" i="53" s="1"/>
  <c r="T1878" i="53"/>
  <c r="T1881" i="53" s="1"/>
  <c r="T1887" i="53" s="1"/>
  <c r="T1888" i="53" s="1"/>
  <c r="I1224" i="1"/>
  <c r="J1238" i="53"/>
  <c r="K1881" i="1"/>
  <c r="R1656" i="1"/>
  <c r="Q1207" i="53"/>
  <c r="Q1878" i="53"/>
  <c r="R1223" i="1"/>
  <c r="R1409" i="1"/>
  <c r="R1567" i="1"/>
  <c r="S1230" i="1"/>
  <c r="S1416" i="1"/>
  <c r="S1697" i="1"/>
  <c r="S1698" i="1" s="1"/>
  <c r="T1696" i="1" s="1"/>
  <c r="S1650" i="1"/>
  <c r="S1651" i="1" s="1"/>
  <c r="S1652" i="1" s="1"/>
  <c r="S1641" i="1"/>
  <c r="I1410" i="1"/>
  <c r="I1558" i="1"/>
  <c r="X1535" i="1"/>
  <c r="X1536" i="1" s="1"/>
  <c r="Y1534" i="1" s="1"/>
  <c r="I1569" i="1"/>
  <c r="R1207" i="53"/>
  <c r="R1217" i="53" s="1"/>
  <c r="R1878" i="53"/>
  <c r="R1881" i="53" s="1"/>
  <c r="R1887" i="53" s="1"/>
  <c r="R1888" i="53" s="1"/>
  <c r="S1207" i="53"/>
  <c r="S1217" i="53" s="1"/>
  <c r="S1878" i="53"/>
  <c r="S1881" i="53" s="1"/>
  <c r="S1887" i="53" s="1"/>
  <c r="S1888" i="53" s="1"/>
  <c r="AE1510" i="1"/>
  <c r="S1540" i="1" l="1"/>
  <c r="S1556" i="1" s="1"/>
  <c r="S1223" i="1" s="1"/>
  <c r="Y1535" i="1"/>
  <c r="I1551" i="1"/>
  <c r="I1492" i="1"/>
  <c r="R1379" i="53"/>
  <c r="R1218" i="53"/>
  <c r="R1221" i="53" s="1"/>
  <c r="J1364" i="53"/>
  <c r="J1239" i="53"/>
  <c r="D20" i="4"/>
  <c r="D20" i="49" s="1"/>
  <c r="M1568" i="53"/>
  <c r="M1569" i="53" s="1"/>
  <c r="I1306" i="1"/>
  <c r="I1429" i="1"/>
  <c r="J1555" i="1"/>
  <c r="K1433" i="53"/>
  <c r="K1424" i="53"/>
  <c r="Q1881" i="53"/>
  <c r="M1576" i="53"/>
  <c r="L1189" i="1"/>
  <c r="L1104" i="1"/>
  <c r="M1101" i="1" s="1"/>
  <c r="G1514" i="1"/>
  <c r="L1225" i="53"/>
  <c r="L1412" i="53"/>
  <c r="K1887" i="1"/>
  <c r="T1379" i="53"/>
  <c r="T1218" i="53"/>
  <c r="T1221" i="53" s="1"/>
  <c r="M1491" i="53"/>
  <c r="M1224" i="53"/>
  <c r="M1410" i="53"/>
  <c r="S1379" i="53"/>
  <c r="S1218" i="53"/>
  <c r="S1221" i="53" s="1"/>
  <c r="S1308" i="1"/>
  <c r="T1638" i="1"/>
  <c r="S1646" i="1"/>
  <c r="S1643" i="1"/>
  <c r="Q1217" i="53"/>
  <c r="M1558" i="53"/>
  <c r="I1571" i="1"/>
  <c r="I1577" i="1"/>
  <c r="S1541" i="1" l="1"/>
  <c r="T1539" i="1" s="1"/>
  <c r="S1567" i="1"/>
  <c r="S1409" i="1"/>
  <c r="Q1887" i="53"/>
  <c r="M1429" i="53"/>
  <c r="M1430" i="53" s="1"/>
  <c r="N1555" i="53"/>
  <c r="M1306" i="53"/>
  <c r="M1563" i="53"/>
  <c r="I1430" i="1"/>
  <c r="J1243" i="53"/>
  <c r="L1420" i="53"/>
  <c r="S1654" i="1"/>
  <c r="S1656" i="1" s="1"/>
  <c r="S1402" i="53"/>
  <c r="S1382" i="53"/>
  <c r="M1551" i="53"/>
  <c r="M1492" i="53"/>
  <c r="I1225" i="1"/>
  <c r="D80" i="4"/>
  <c r="D80" i="49" s="1"/>
  <c r="R1382" i="53"/>
  <c r="R1402" i="53"/>
  <c r="K1217" i="1"/>
  <c r="Q1379" i="53"/>
  <c r="Q1218" i="53"/>
  <c r="J1566" i="1"/>
  <c r="J1568" i="1" s="1"/>
  <c r="S1032" i="1"/>
  <c r="S1183" i="1"/>
  <c r="S1232" i="1"/>
  <c r="S1265" i="1"/>
  <c r="S1019" i="1"/>
  <c r="S1418" i="1"/>
  <c r="S1644" i="1"/>
  <c r="T1382" i="53"/>
  <c r="T1402" i="53"/>
  <c r="I1412" i="1"/>
  <c r="I1573" i="1"/>
  <c r="T1649" i="1"/>
  <c r="T1639" i="1"/>
  <c r="K1888" i="1"/>
  <c r="L1190" i="1"/>
  <c r="Y1536" i="1"/>
  <c r="Z1534" i="1" s="1"/>
  <c r="D21" i="4" l="1"/>
  <c r="D21" i="49" s="1"/>
  <c r="S1449" i="53"/>
  <c r="N1566" i="53"/>
  <c r="N1557" i="53"/>
  <c r="I1420" i="1"/>
  <c r="I1433" i="1" s="1"/>
  <c r="Q1382" i="53"/>
  <c r="Q1402" i="53"/>
  <c r="R1548" i="53"/>
  <c r="R1550" i="53" s="1"/>
  <c r="R1392" i="53"/>
  <c r="R1476" i="53"/>
  <c r="R1477" i="53"/>
  <c r="R1478" i="53"/>
  <c r="R1490" i="53"/>
  <c r="M1571" i="53"/>
  <c r="M1577" i="53"/>
  <c r="T1392" i="53"/>
  <c r="T1476" i="53"/>
  <c r="T1477" i="53"/>
  <c r="T1478" i="53"/>
  <c r="T1490" i="53"/>
  <c r="T1548" i="53"/>
  <c r="T1550" i="53" s="1"/>
  <c r="S1490" i="53"/>
  <c r="S1548" i="53"/>
  <c r="S1550" i="53" s="1"/>
  <c r="S1477" i="53"/>
  <c r="S1392" i="53"/>
  <c r="S1476" i="53"/>
  <c r="S1478" i="53"/>
  <c r="Z1535" i="1"/>
  <c r="Q1221" i="53"/>
  <c r="R1449" i="53"/>
  <c r="L1192" i="1"/>
  <c r="T1230" i="1"/>
  <c r="T1416" i="1"/>
  <c r="T1697" i="1"/>
  <c r="T1698" i="1" s="1"/>
  <c r="U1696" i="1" s="1"/>
  <c r="T1650" i="1"/>
  <c r="T1651" i="1" s="1"/>
  <c r="T1652" i="1" s="1"/>
  <c r="T1641" i="1"/>
  <c r="T1449" i="53"/>
  <c r="F13" i="4"/>
  <c r="F13" i="49" s="1"/>
  <c r="K1357" i="1"/>
  <c r="K1379" i="1"/>
  <c r="K1218" i="1"/>
  <c r="S1233" i="1"/>
  <c r="S1419" i="1"/>
  <c r="S1660" i="1"/>
  <c r="L1433" i="53"/>
  <c r="L1424" i="53"/>
  <c r="J1247" i="53"/>
  <c r="J1248" i="53" s="1"/>
  <c r="Q1888" i="53"/>
  <c r="T1540" i="1" l="1"/>
  <c r="T1556" i="1" s="1"/>
  <c r="Q1392" i="53"/>
  <c r="Q1476" i="53"/>
  <c r="Q1477" i="53"/>
  <c r="Q1478" i="53"/>
  <c r="Q1490" i="53"/>
  <c r="Q1548" i="53"/>
  <c r="Q1550" i="53" s="1"/>
  <c r="R1386" i="53"/>
  <c r="S1386" i="53"/>
  <c r="Q1386" i="53"/>
  <c r="T1386" i="53"/>
  <c r="N1491" i="53"/>
  <c r="N1224" i="53"/>
  <c r="N1410" i="53"/>
  <c r="F14" i="4"/>
  <c r="F14" i="49" s="1"/>
  <c r="K1221" i="1"/>
  <c r="K1382" i="1"/>
  <c r="K1402" i="1"/>
  <c r="Z1536" i="1"/>
  <c r="AA1534" i="1" s="1"/>
  <c r="J1296" i="53"/>
  <c r="K1246" i="53"/>
  <c r="S1357" i="53"/>
  <c r="T1357" i="53"/>
  <c r="Q1357" i="53"/>
  <c r="R1357" i="53"/>
  <c r="T1308" i="1"/>
  <c r="U1638" i="1"/>
  <c r="T1643" i="1"/>
  <c r="T1646" i="1"/>
  <c r="L1094" i="1"/>
  <c r="M1225" i="53"/>
  <c r="M1412" i="53"/>
  <c r="I1424" i="1"/>
  <c r="N1558" i="53"/>
  <c r="Q1449" i="53"/>
  <c r="N1568" i="53"/>
  <c r="N1569" i="53" s="1"/>
  <c r="T1541" i="1" l="1"/>
  <c r="U1539" i="1" s="1"/>
  <c r="K1449" i="1"/>
  <c r="K1457" i="1" s="1"/>
  <c r="N1306" i="53"/>
  <c r="N1429" i="53"/>
  <c r="N1430" i="53" s="1"/>
  <c r="O1555" i="53"/>
  <c r="N1563" i="53"/>
  <c r="L1193" i="1"/>
  <c r="L1095" i="1"/>
  <c r="M1092" i="1" s="1"/>
  <c r="T1019" i="1"/>
  <c r="T1032" i="1"/>
  <c r="T1232" i="1"/>
  <c r="T1265" i="1"/>
  <c r="T1183" i="1"/>
  <c r="T1418" i="1"/>
  <c r="T1644" i="1"/>
  <c r="K1238" i="53"/>
  <c r="F17" i="4"/>
  <c r="F17" i="49" s="1"/>
  <c r="N1551" i="53"/>
  <c r="N1492" i="53"/>
  <c r="U1649" i="1"/>
  <c r="U1639" i="1"/>
  <c r="AA1535" i="1"/>
  <c r="K1392" i="1"/>
  <c r="K1548" i="1"/>
  <c r="K1550" i="1" s="1"/>
  <c r="K1490" i="1"/>
  <c r="K1386" i="1"/>
  <c r="T1223" i="1"/>
  <c r="T1567" i="1"/>
  <c r="T1409" i="1"/>
  <c r="M1420" i="53"/>
  <c r="T1654" i="1"/>
  <c r="T1656" i="1" s="1"/>
  <c r="U1230" i="1" l="1"/>
  <c r="U1416" i="1"/>
  <c r="U1650" i="1"/>
  <c r="U1651" i="1" s="1"/>
  <c r="U1652" i="1" s="1"/>
  <c r="U1697" i="1"/>
  <c r="U1698" i="1" s="1"/>
  <c r="V1696" i="1" s="1"/>
  <c r="U1641" i="1"/>
  <c r="K1364" i="53"/>
  <c r="K1239" i="53"/>
  <c r="L1194" i="1"/>
  <c r="M1433" i="53"/>
  <c r="M1424" i="53"/>
  <c r="AA1536" i="1"/>
  <c r="AB1534" i="1" s="1"/>
  <c r="N1571" i="53"/>
  <c r="N1577" i="53"/>
  <c r="T1233" i="1"/>
  <c r="T1419" i="1"/>
  <c r="T1660" i="1"/>
  <c r="O1566" i="53"/>
  <c r="O1557" i="53"/>
  <c r="U1540" i="1" l="1"/>
  <c r="U1541" i="1" s="1"/>
  <c r="V1539" i="1" s="1"/>
  <c r="O1568" i="53"/>
  <c r="O1569" i="53" s="1"/>
  <c r="U1308" i="1"/>
  <c r="V1638" i="1"/>
  <c r="U1643" i="1"/>
  <c r="U1646" i="1"/>
  <c r="U1654" i="1" s="1"/>
  <c r="N1225" i="53"/>
  <c r="N1412" i="53"/>
  <c r="N1420" i="53" s="1"/>
  <c r="U1556" i="1"/>
  <c r="O1410" i="53"/>
  <c r="O1491" i="53"/>
  <c r="O1224" i="53"/>
  <c r="L1204" i="1"/>
  <c r="L1198" i="1"/>
  <c r="K1243" i="53"/>
  <c r="AB1535" i="1"/>
  <c r="O1558" i="53"/>
  <c r="N1424" i="53" l="1"/>
  <c r="N1433" i="53"/>
  <c r="V1649" i="1"/>
  <c r="V1639" i="1"/>
  <c r="O1551" i="53"/>
  <c r="O1492" i="53"/>
  <c r="O1429" i="53"/>
  <c r="O1430" i="53" s="1"/>
  <c r="P1555" i="53"/>
  <c r="O1306" i="53"/>
  <c r="O1563" i="53"/>
  <c r="L1207" i="1"/>
  <c r="L1878" i="1"/>
  <c r="U1204" i="53"/>
  <c r="V1204" i="53"/>
  <c r="K1247" i="53"/>
  <c r="K1248" i="53" s="1"/>
  <c r="U1233" i="1"/>
  <c r="U1419" i="1"/>
  <c r="U1660" i="1"/>
  <c r="AB1536" i="1"/>
  <c r="AC1534" i="1" s="1"/>
  <c r="U1223" i="1"/>
  <c r="U1409" i="1"/>
  <c r="U1567" i="1"/>
  <c r="U1019" i="1"/>
  <c r="U1032" i="1"/>
  <c r="U1183" i="1"/>
  <c r="U1232" i="1"/>
  <c r="U1265" i="1"/>
  <c r="U1418" i="1"/>
  <c r="U1644" i="1"/>
  <c r="U1656" i="1"/>
  <c r="V1230" i="1" l="1"/>
  <c r="V1416" i="1"/>
  <c r="V1697" i="1"/>
  <c r="V1698" i="1" s="1"/>
  <c r="W1696" i="1" s="1"/>
  <c r="V1650" i="1"/>
  <c r="V1651" i="1" s="1"/>
  <c r="V1652" i="1" s="1"/>
  <c r="V1641" i="1"/>
  <c r="V1207" i="53"/>
  <c r="V1217" i="53" s="1"/>
  <c r="V1878" i="53"/>
  <c r="V1881" i="53" s="1"/>
  <c r="V1887" i="53" s="1"/>
  <c r="V1888" i="53" s="1"/>
  <c r="O1571" i="53"/>
  <c r="O1577" i="53"/>
  <c r="U1207" i="53"/>
  <c r="U1878" i="53"/>
  <c r="G1204" i="53"/>
  <c r="AC1535" i="1"/>
  <c r="L1246" i="53"/>
  <c r="K1296" i="53"/>
  <c r="L1881" i="1"/>
  <c r="P1566" i="53"/>
  <c r="P1557" i="53"/>
  <c r="P1558" i="53" s="1"/>
  <c r="V1540" i="1" l="1"/>
  <c r="V1541" i="1" s="1"/>
  <c r="W1539" i="1" s="1"/>
  <c r="P1429" i="53"/>
  <c r="P1430" i="53" s="1"/>
  <c r="Q1555" i="53"/>
  <c r="P1306" i="53"/>
  <c r="P1563" i="53"/>
  <c r="U1217" i="53"/>
  <c r="G1207" i="53"/>
  <c r="V1308" i="1"/>
  <c r="W1638" i="1"/>
  <c r="V1643" i="1"/>
  <c r="V1646" i="1"/>
  <c r="V1654" i="1" s="1"/>
  <c r="O1225" i="53"/>
  <c r="O1412" i="53"/>
  <c r="O1420" i="53" s="1"/>
  <c r="L1238" i="53"/>
  <c r="P1568" i="53"/>
  <c r="P1569" i="53" s="1"/>
  <c r="L1887" i="1"/>
  <c r="AC1536" i="1"/>
  <c r="AD1534" i="1" s="1"/>
  <c r="P1224" i="53"/>
  <c r="P1410" i="53"/>
  <c r="P1491" i="53"/>
  <c r="J1557" i="1"/>
  <c r="U1881" i="53"/>
  <c r="G1878" i="53"/>
  <c r="V1379" i="53"/>
  <c r="V1218" i="53"/>
  <c r="V1221" i="53" s="1"/>
  <c r="V1556" i="1" l="1"/>
  <c r="V1223" i="1" s="1"/>
  <c r="L1888" i="1"/>
  <c r="W1649" i="1"/>
  <c r="W1639" i="1"/>
  <c r="P1571" i="53"/>
  <c r="P1577" i="53"/>
  <c r="J1563" i="1"/>
  <c r="J1410" i="1"/>
  <c r="J1558" i="1"/>
  <c r="J1224" i="1"/>
  <c r="V1382" i="53"/>
  <c r="V1402" i="53"/>
  <c r="AD1535" i="1"/>
  <c r="V1233" i="1"/>
  <c r="V1419" i="1"/>
  <c r="V1660" i="1"/>
  <c r="Q1566" i="53"/>
  <c r="Q1557" i="53"/>
  <c r="Q1558" i="53" s="1"/>
  <c r="P1551" i="53"/>
  <c r="P1492" i="53"/>
  <c r="J1491" i="1"/>
  <c r="U1887" i="53"/>
  <c r="G1881" i="53"/>
  <c r="L1364" i="53"/>
  <c r="L1239" i="53"/>
  <c r="I1238" i="1"/>
  <c r="O1424" i="53"/>
  <c r="O1433" i="53"/>
  <c r="V1019" i="1"/>
  <c r="V1032" i="1"/>
  <c r="V1183" i="1"/>
  <c r="V1232" i="1"/>
  <c r="V1418" i="1"/>
  <c r="V1265" i="1"/>
  <c r="V1644" i="1"/>
  <c r="V1656" i="1"/>
  <c r="L1217" i="1"/>
  <c r="U1379" i="53"/>
  <c r="U1218" i="53"/>
  <c r="G1217" i="53"/>
  <c r="V1567" i="1" l="1"/>
  <c r="V1409" i="1"/>
  <c r="D34" i="4"/>
  <c r="D34" i="49" s="1"/>
  <c r="I1364" i="1"/>
  <c r="I1239" i="1"/>
  <c r="Q1568" i="53"/>
  <c r="Q1569" i="53" s="1"/>
  <c r="V1548" i="53"/>
  <c r="V1550" i="53" s="1"/>
  <c r="V1392" i="53"/>
  <c r="V1476" i="53"/>
  <c r="V1477" i="53"/>
  <c r="V1478" i="53"/>
  <c r="V1490" i="53"/>
  <c r="U1221" i="53"/>
  <c r="G1218" i="53"/>
  <c r="U1382" i="53"/>
  <c r="U1402" i="53"/>
  <c r="G1379" i="53"/>
  <c r="E20" i="4"/>
  <c r="E20" i="49" s="1"/>
  <c r="P1412" i="53"/>
  <c r="P1420" i="53" s="1"/>
  <c r="P1225" i="53"/>
  <c r="G13" i="4"/>
  <c r="G13" i="49" s="1"/>
  <c r="L1357" i="1"/>
  <c r="L1379" i="1"/>
  <c r="L1218" i="1"/>
  <c r="Q1429" i="53"/>
  <c r="Q1430" i="53" s="1"/>
  <c r="R1555" i="53"/>
  <c r="Q1306" i="53"/>
  <c r="L1243" i="53"/>
  <c r="U1888" i="53"/>
  <c r="G1888" i="53" s="1"/>
  <c r="G1887" i="53"/>
  <c r="Q1491" i="53"/>
  <c r="Q1224" i="53"/>
  <c r="Q1410" i="53"/>
  <c r="AD1536" i="1"/>
  <c r="AE1534" i="1" s="1"/>
  <c r="W1230" i="1"/>
  <c r="W1416" i="1"/>
  <c r="W1697" i="1"/>
  <c r="W1698" i="1" s="1"/>
  <c r="X1696" i="1" s="1"/>
  <c r="W1650" i="1"/>
  <c r="W1651" i="1" s="1"/>
  <c r="W1652" i="1" s="1"/>
  <c r="W1641" i="1"/>
  <c r="J1551" i="1"/>
  <c r="J1492" i="1"/>
  <c r="Q1563" i="53"/>
  <c r="V1449" i="53"/>
  <c r="J1306" i="1"/>
  <c r="K1555" i="1"/>
  <c r="J1429" i="1"/>
  <c r="R1566" i="53" l="1"/>
  <c r="R1557" i="53"/>
  <c r="L1382" i="1"/>
  <c r="L1402" i="1"/>
  <c r="P1424" i="53"/>
  <c r="P1433" i="53"/>
  <c r="D35" i="4"/>
  <c r="D35" i="49" s="1"/>
  <c r="I1243" i="1"/>
  <c r="J1430" i="1"/>
  <c r="W1308" i="1"/>
  <c r="X1638" i="1"/>
  <c r="W1643" i="1"/>
  <c r="W1646" i="1"/>
  <c r="W1654" i="1" s="1"/>
  <c r="Q1551" i="53"/>
  <c r="Q1492" i="53"/>
  <c r="U1357" i="53"/>
  <c r="V1357" i="53"/>
  <c r="G1221" i="53"/>
  <c r="K1566" i="1"/>
  <c r="K1568" i="1" s="1"/>
  <c r="L1247" i="53"/>
  <c r="L1248" i="53" s="1"/>
  <c r="U1449" i="53"/>
  <c r="G1402" i="53"/>
  <c r="Q1571" i="53"/>
  <c r="Q1577" i="53"/>
  <c r="W1540" i="1"/>
  <c r="AE1535" i="1"/>
  <c r="AE1536" i="1" s="1"/>
  <c r="E80" i="4"/>
  <c r="E80" i="49" s="1"/>
  <c r="G14" i="4"/>
  <c r="G14" i="49" s="1"/>
  <c r="L1221" i="1"/>
  <c r="J1225" i="1"/>
  <c r="U1392" i="53"/>
  <c r="U1476" i="53"/>
  <c r="G1476" i="53" s="1"/>
  <c r="U1477" i="53"/>
  <c r="G1477" i="53" s="1"/>
  <c r="U1478" i="53"/>
  <c r="U1490" i="53"/>
  <c r="U1548" i="53"/>
  <c r="U1550" i="53" s="1"/>
  <c r="V1386" i="53"/>
  <c r="G1382" i="53"/>
  <c r="G1384" i="53"/>
  <c r="G1385" i="53"/>
  <c r="U1386" i="53"/>
  <c r="G1478" i="53"/>
  <c r="R1491" i="53" l="1"/>
  <c r="R1224" i="53"/>
  <c r="R1410" i="53"/>
  <c r="E21" i="4"/>
  <c r="E21" i="49" s="1"/>
  <c r="W1556" i="1"/>
  <c r="W1541" i="1"/>
  <c r="X1539" i="1" s="1"/>
  <c r="L1449" i="1"/>
  <c r="L1457" i="1" s="1"/>
  <c r="G1449" i="53"/>
  <c r="G1449" i="1" s="1"/>
  <c r="W1233" i="1"/>
  <c r="W1419" i="1"/>
  <c r="W1660" i="1"/>
  <c r="G1395" i="53"/>
  <c r="G1392" i="53"/>
  <c r="G1394" i="53"/>
  <c r="G17" i="4"/>
  <c r="G17" i="49" s="1"/>
  <c r="W1019" i="1"/>
  <c r="W1032" i="1"/>
  <c r="W1183" i="1"/>
  <c r="W1265" i="1"/>
  <c r="W1232" i="1"/>
  <c r="W1418" i="1"/>
  <c r="W1644" i="1"/>
  <c r="W1656" i="1"/>
  <c r="R1558" i="53"/>
  <c r="G1386" i="53"/>
  <c r="G1535" i="1"/>
  <c r="Q1225" i="53"/>
  <c r="Q1412" i="53"/>
  <c r="Q1420" i="53" s="1"/>
  <c r="M1246" i="53"/>
  <c r="L1296" i="53"/>
  <c r="X1649" i="1"/>
  <c r="X1639" i="1"/>
  <c r="D39" i="4"/>
  <c r="D39" i="49" s="1"/>
  <c r="I1247" i="1"/>
  <c r="I1248" i="1" s="1"/>
  <c r="L1392" i="1"/>
  <c r="L1477" i="1"/>
  <c r="L1490" i="1"/>
  <c r="L1548" i="1"/>
  <c r="L1550" i="1" s="1"/>
  <c r="L1476" i="1"/>
  <c r="L1478" i="1"/>
  <c r="L1386" i="1"/>
  <c r="R1568" i="53"/>
  <c r="R1569" i="53"/>
  <c r="M1238" i="53" l="1"/>
  <c r="J1246" i="1"/>
  <c r="I1296" i="1"/>
  <c r="Q1424" i="53"/>
  <c r="Q1433" i="53"/>
  <c r="X1230" i="1"/>
  <c r="X1416" i="1"/>
  <c r="X1697" i="1"/>
  <c r="X1698" i="1" s="1"/>
  <c r="Y1696" i="1" s="1"/>
  <c r="X1650" i="1"/>
  <c r="X1651" i="1" s="1"/>
  <c r="X1652" i="1" s="1"/>
  <c r="X1641" i="1"/>
  <c r="R1306" i="53"/>
  <c r="S1555" i="53"/>
  <c r="R1429" i="53"/>
  <c r="R1430" i="53" s="1"/>
  <c r="R1563" i="53"/>
  <c r="W1223" i="1"/>
  <c r="W1409" i="1"/>
  <c r="W1567" i="1"/>
  <c r="R1551" i="53"/>
  <c r="R1492" i="53"/>
  <c r="X1308" i="1" l="1"/>
  <c r="Y1638" i="1"/>
  <c r="X1643" i="1"/>
  <c r="X1646" i="1"/>
  <c r="X1654" i="1" s="1"/>
  <c r="S1566" i="53"/>
  <c r="S1557" i="53"/>
  <c r="R1571" i="53"/>
  <c r="R1577" i="53"/>
  <c r="X1540" i="1"/>
  <c r="M1364" i="53"/>
  <c r="M1239" i="53"/>
  <c r="D70" i="4"/>
  <c r="D70" i="49" s="1"/>
  <c r="S1568" i="53" l="1"/>
  <c r="S1569" i="53" s="1"/>
  <c r="X1019" i="1"/>
  <c r="X1032" i="1"/>
  <c r="X1232" i="1"/>
  <c r="X1265" i="1"/>
  <c r="X1183" i="1"/>
  <c r="X1418" i="1"/>
  <c r="X1644" i="1"/>
  <c r="X1656" i="1"/>
  <c r="R1225" i="53"/>
  <c r="R1412" i="53"/>
  <c r="R1420" i="53" s="1"/>
  <c r="Y1649" i="1"/>
  <c r="Y1639" i="1"/>
  <c r="X1556" i="1"/>
  <c r="X1541" i="1"/>
  <c r="Y1539" i="1" s="1"/>
  <c r="S1410" i="53"/>
  <c r="S1491" i="53"/>
  <c r="S1224" i="53"/>
  <c r="M1243" i="53"/>
  <c r="S1558" i="53"/>
  <c r="X1233" i="1"/>
  <c r="X1419" i="1"/>
  <c r="X1660" i="1"/>
  <c r="R1424" i="53" l="1"/>
  <c r="R1433" i="53"/>
  <c r="X1223" i="1"/>
  <c r="X1409" i="1"/>
  <c r="X1567" i="1"/>
  <c r="M1247" i="53"/>
  <c r="M1248" i="53" s="1"/>
  <c r="S1429" i="53"/>
  <c r="S1430" i="53" s="1"/>
  <c r="T1555" i="53"/>
  <c r="S1306" i="53"/>
  <c r="S1563" i="53"/>
  <c r="S1551" i="53"/>
  <c r="S1492" i="53"/>
  <c r="Y1230" i="1"/>
  <c r="Y1416" i="1"/>
  <c r="Y1650" i="1"/>
  <c r="Y1651" i="1" s="1"/>
  <c r="Y1652" i="1" s="1"/>
  <c r="Y1697" i="1"/>
  <c r="Y1698" i="1" s="1"/>
  <c r="Z1696" i="1" s="1"/>
  <c r="Y1641" i="1"/>
  <c r="Y1540" i="1" l="1"/>
  <c r="Y1556" i="1" s="1"/>
  <c r="Y1223" i="1" s="1"/>
  <c r="S1577" i="53"/>
  <c r="S1571" i="53"/>
  <c r="Y1308" i="1"/>
  <c r="Z1638" i="1"/>
  <c r="Y1643" i="1"/>
  <c r="Y1646" i="1"/>
  <c r="Y1654" i="1" s="1"/>
  <c r="T1566" i="53"/>
  <c r="T1557" i="53"/>
  <c r="T1558" i="53" s="1"/>
  <c r="N1246" i="53"/>
  <c r="M1296" i="53"/>
  <c r="Y1567" i="1" l="1"/>
  <c r="Y1409" i="1"/>
  <c r="Y1541" i="1"/>
  <c r="Z1539" i="1" s="1"/>
  <c r="N1238" i="53"/>
  <c r="Y1233" i="1"/>
  <c r="Y1419" i="1"/>
  <c r="Y1660" i="1"/>
  <c r="T1429" i="53"/>
  <c r="T1430" i="53" s="1"/>
  <c r="U1555" i="53"/>
  <c r="T1306" i="53"/>
  <c r="T1224" i="53"/>
  <c r="T1410" i="53"/>
  <c r="T1491" i="53"/>
  <c r="K1557" i="1"/>
  <c r="Y1019" i="1"/>
  <c r="Y1032" i="1"/>
  <c r="Y1232" i="1"/>
  <c r="Y1265" i="1"/>
  <c r="Y1183" i="1"/>
  <c r="Y1418" i="1"/>
  <c r="Y1644" i="1"/>
  <c r="Y1656" i="1"/>
  <c r="S1225" i="53"/>
  <c r="S1412" i="53"/>
  <c r="S1420" i="53" s="1"/>
  <c r="T1568" i="53"/>
  <c r="T1569" i="53" s="1"/>
  <c r="T1563" i="53"/>
  <c r="Z1649" i="1"/>
  <c r="Z1639" i="1"/>
  <c r="N1364" i="53" l="1"/>
  <c r="N1239" i="53"/>
  <c r="N1243" i="53" s="1"/>
  <c r="N1247" i="53" s="1"/>
  <c r="N1248" i="53" s="1"/>
  <c r="T1577" i="53"/>
  <c r="T1571" i="53"/>
  <c r="K1563" i="1"/>
  <c r="K1224" i="1"/>
  <c r="S1424" i="53"/>
  <c r="S1433" i="53"/>
  <c r="K1410" i="1"/>
  <c r="K1558" i="1"/>
  <c r="Z1230" i="1"/>
  <c r="Z1416" i="1"/>
  <c r="Z1697" i="1"/>
  <c r="Z1698" i="1" s="1"/>
  <c r="AA1696" i="1" s="1"/>
  <c r="Z1650" i="1"/>
  <c r="Z1651" i="1" s="1"/>
  <c r="Z1652" i="1" s="1"/>
  <c r="Z1641" i="1"/>
  <c r="T1551" i="53"/>
  <c r="T1492" i="53"/>
  <c r="K1491" i="1"/>
  <c r="U1566" i="53"/>
  <c r="U1557" i="53"/>
  <c r="U1558" i="53" s="1"/>
  <c r="U1429" i="53" l="1"/>
  <c r="U1430" i="53" s="1"/>
  <c r="V1555" i="53"/>
  <c r="U1306" i="53"/>
  <c r="U1563" i="53"/>
  <c r="N1296" i="53"/>
  <c r="O1246" i="53"/>
  <c r="U1568" i="53"/>
  <c r="U1569" i="53" s="1"/>
  <c r="F20" i="4"/>
  <c r="F20" i="49" s="1"/>
  <c r="T1412" i="53"/>
  <c r="T1420" i="53" s="1"/>
  <c r="T1225" i="53"/>
  <c r="Z1308" i="1"/>
  <c r="AA1638" i="1"/>
  <c r="Z1643" i="1"/>
  <c r="Z1646" i="1"/>
  <c r="Z1654" i="1" s="1"/>
  <c r="U1491" i="53"/>
  <c r="U1224" i="53"/>
  <c r="U1410" i="53"/>
  <c r="K1551" i="1"/>
  <c r="K1492" i="1"/>
  <c r="Z1540" i="1"/>
  <c r="K1306" i="1"/>
  <c r="L1555" i="1"/>
  <c r="K1429" i="1"/>
  <c r="U1571" i="53" l="1"/>
  <c r="U1577" i="53"/>
  <c r="Z1019" i="1"/>
  <c r="Z1032" i="1"/>
  <c r="Z1183" i="1"/>
  <c r="Z1232" i="1"/>
  <c r="Z1418" i="1"/>
  <c r="Z1265" i="1"/>
  <c r="Z1644" i="1"/>
  <c r="Z1656" i="1"/>
  <c r="AA1649" i="1"/>
  <c r="AA1639" i="1"/>
  <c r="T1424" i="53"/>
  <c r="T1433" i="53"/>
  <c r="L1566" i="1"/>
  <c r="L1568" i="1" s="1"/>
  <c r="F80" i="4"/>
  <c r="F80" i="49" s="1"/>
  <c r="V1566" i="53"/>
  <c r="V1557" i="53"/>
  <c r="K1225" i="1"/>
  <c r="Z1556" i="1"/>
  <c r="Z1541" i="1"/>
  <c r="AA1539" i="1" s="1"/>
  <c r="K1430" i="1"/>
  <c r="U1551" i="53"/>
  <c r="U1492" i="53"/>
  <c r="Z1233" i="1"/>
  <c r="Z1419" i="1"/>
  <c r="Z1660" i="1"/>
  <c r="O1238" i="53"/>
  <c r="O1364" i="53" l="1"/>
  <c r="O1239" i="53"/>
  <c r="O1243" i="53" s="1"/>
  <c r="O1247" i="53" s="1"/>
  <c r="O1248" i="53" s="1"/>
  <c r="U1225" i="53"/>
  <c r="U1412" i="53"/>
  <c r="U1420" i="53" s="1"/>
  <c r="Z1223" i="1"/>
  <c r="Z1409" i="1"/>
  <c r="Z1567" i="1"/>
  <c r="V1568" i="53"/>
  <c r="V1569" i="53" s="1"/>
  <c r="AA1416" i="1"/>
  <c r="AA1230" i="1"/>
  <c r="AA1697" i="1"/>
  <c r="AA1698" i="1" s="1"/>
  <c r="AB1696" i="1" s="1"/>
  <c r="AA1650" i="1"/>
  <c r="AA1651" i="1" s="1"/>
  <c r="AA1652" i="1" s="1"/>
  <c r="AA1641" i="1"/>
  <c r="F21" i="4"/>
  <c r="F21" i="49" s="1"/>
  <c r="V1491" i="53"/>
  <c r="V1224" i="53"/>
  <c r="V1410" i="53"/>
  <c r="G1557" i="53"/>
  <c r="L1557" i="1"/>
  <c r="V1558" i="53"/>
  <c r="AA1540" i="1" l="1"/>
  <c r="AA1556" i="1" s="1"/>
  <c r="AA1409" i="1" s="1"/>
  <c r="G1569" i="53"/>
  <c r="J1569" i="1"/>
  <c r="K1569" i="1"/>
  <c r="L1569" i="1"/>
  <c r="V1551" i="53"/>
  <c r="G1551" i="53" s="1"/>
  <c r="V1492" i="53"/>
  <c r="G1492" i="53" s="1"/>
  <c r="L1491" i="1"/>
  <c r="V1306" i="53"/>
  <c r="V1429" i="53"/>
  <c r="V1430" i="53" s="1"/>
  <c r="V1563" i="53"/>
  <c r="L1410" i="1"/>
  <c r="L1558" i="1"/>
  <c r="AA1308" i="1"/>
  <c r="AB1638" i="1"/>
  <c r="AA1646" i="1"/>
  <c r="AA1654" i="1" s="1"/>
  <c r="AA1643" i="1"/>
  <c r="P1246" i="53"/>
  <c r="O1296" i="53"/>
  <c r="U1424" i="53"/>
  <c r="U1433" i="53"/>
  <c r="G1410" i="53"/>
  <c r="G1224" i="53"/>
  <c r="L1224" i="1"/>
  <c r="AA1541" i="1"/>
  <c r="AB1539" i="1" s="1"/>
  <c r="AA1567" i="1" l="1"/>
  <c r="AA1223" i="1"/>
  <c r="AA1019" i="1"/>
  <c r="AA1032" i="1"/>
  <c r="AA1183" i="1"/>
  <c r="AA1232" i="1"/>
  <c r="AA1265" i="1"/>
  <c r="AA1418" i="1"/>
  <c r="AA1644" i="1"/>
  <c r="AA1656" i="1"/>
  <c r="L1306" i="1"/>
  <c r="L1429" i="1"/>
  <c r="M1555" i="1"/>
  <c r="V1571" i="53"/>
  <c r="V1577" i="53"/>
  <c r="G1577" i="53" s="1"/>
  <c r="G1563" i="53"/>
  <c r="L1563" i="1"/>
  <c r="P1238" i="53"/>
  <c r="AA1233" i="1"/>
  <c r="AA1419" i="1"/>
  <c r="AA1660" i="1"/>
  <c r="L1551" i="1"/>
  <c r="L1492" i="1"/>
  <c r="K1577" i="1"/>
  <c r="K1571" i="1"/>
  <c r="AB1649" i="1"/>
  <c r="AB1639" i="1"/>
  <c r="J1571" i="1"/>
  <c r="J1577" i="1"/>
  <c r="G20" i="4"/>
  <c r="G20" i="49" s="1"/>
  <c r="V1225" i="53" l="1"/>
  <c r="V1412" i="53"/>
  <c r="L1571" i="1"/>
  <c r="L1577" i="1"/>
  <c r="M1566" i="1"/>
  <c r="L1430" i="1"/>
  <c r="J1412" i="1"/>
  <c r="J1573" i="1"/>
  <c r="AB1230" i="1"/>
  <c r="AB1416" i="1"/>
  <c r="AB1697" i="1"/>
  <c r="AB1698" i="1" s="1"/>
  <c r="AC1696" i="1" s="1"/>
  <c r="AB1650" i="1"/>
  <c r="AB1651" i="1" s="1"/>
  <c r="AB1652" i="1" s="1"/>
  <c r="AB1641" i="1"/>
  <c r="K1412" i="1"/>
  <c r="K1420" i="1" s="1"/>
  <c r="K1433" i="1" s="1"/>
  <c r="K1573" i="1"/>
  <c r="P1364" i="53"/>
  <c r="P1239" i="53"/>
  <c r="P1243" i="53" s="1"/>
  <c r="P1247" i="53" s="1"/>
  <c r="P1248" i="53" s="1"/>
  <c r="J1238" i="1"/>
  <c r="G80" i="4"/>
  <c r="G80" i="49" s="1"/>
  <c r="E34" i="4" l="1"/>
  <c r="E34" i="49" s="1"/>
  <c r="J1364" i="1"/>
  <c r="J1239" i="1"/>
  <c r="L1412" i="1"/>
  <c r="L1420" i="1" s="1"/>
  <c r="L1433" i="1" s="1"/>
  <c r="L1573" i="1"/>
  <c r="AB1308" i="1"/>
  <c r="AC1638" i="1"/>
  <c r="AB1643" i="1"/>
  <c r="AB1646" i="1"/>
  <c r="AB1654" i="1" s="1"/>
  <c r="AB1540" i="1"/>
  <c r="J1420" i="1"/>
  <c r="M1568" i="1"/>
  <c r="M1569" i="1" s="1"/>
  <c r="G1412" i="53"/>
  <c r="V1420" i="53"/>
  <c r="Q1246" i="53"/>
  <c r="P1296" i="53"/>
  <c r="G1225" i="53"/>
  <c r="L1225" i="1"/>
  <c r="G21" i="4" l="1"/>
  <c r="G21" i="49" s="1"/>
  <c r="AB1019" i="1"/>
  <c r="AB1032" i="1"/>
  <c r="AB1232" i="1"/>
  <c r="AB1265" i="1"/>
  <c r="AB1183" i="1"/>
  <c r="AB1418" i="1"/>
  <c r="AB1644" i="1"/>
  <c r="AB1656" i="1"/>
  <c r="AC1649" i="1"/>
  <c r="AC1639" i="1"/>
  <c r="J1424" i="1"/>
  <c r="L1424" i="1"/>
  <c r="K1424" i="1"/>
  <c r="J1433" i="1"/>
  <c r="AB1556" i="1"/>
  <c r="AB1541" i="1"/>
  <c r="AC1539" i="1" s="1"/>
  <c r="E35" i="4"/>
  <c r="E35" i="49" s="1"/>
  <c r="J1243" i="1"/>
  <c r="G1420" i="53"/>
  <c r="G1422" i="53"/>
  <c r="G1423" i="53"/>
  <c r="V1424" i="53"/>
  <c r="G1424" i="53" s="1"/>
  <c r="V1433" i="53"/>
  <c r="Q1238" i="53"/>
  <c r="AB1233" i="1"/>
  <c r="AB1419" i="1"/>
  <c r="AB1660" i="1"/>
  <c r="E39" i="4" l="1"/>
  <c r="E39" i="49" s="1"/>
  <c r="J1247" i="1"/>
  <c r="J1248" i="1" s="1"/>
  <c r="G1433" i="53"/>
  <c r="G1436" i="53"/>
  <c r="G1435" i="53"/>
  <c r="Q1364" i="53"/>
  <c r="Q1239" i="53"/>
  <c r="Q1243" i="53" s="1"/>
  <c r="Q1247" i="53" s="1"/>
  <c r="Q1248" i="53" s="1"/>
  <c r="AB1223" i="1"/>
  <c r="AB1567" i="1"/>
  <c r="AB1409" i="1"/>
  <c r="AC1230" i="1"/>
  <c r="AC1416" i="1"/>
  <c r="AC1650" i="1"/>
  <c r="AC1651" i="1" s="1"/>
  <c r="AC1652" i="1" s="1"/>
  <c r="AC1697" i="1"/>
  <c r="AC1698" i="1" s="1"/>
  <c r="AD1696" i="1" s="1"/>
  <c r="AC1641" i="1"/>
  <c r="AC1540" i="1" l="1"/>
  <c r="AC1556" i="1" s="1"/>
  <c r="AC1223" i="1" s="1"/>
  <c r="R1246" i="53"/>
  <c r="Q1296" i="53"/>
  <c r="K1246" i="1"/>
  <c r="J1296" i="1"/>
  <c r="AC1308" i="1"/>
  <c r="AD1638" i="1"/>
  <c r="AC1643" i="1"/>
  <c r="AC1646" i="1"/>
  <c r="AC1654" i="1" s="1"/>
  <c r="AC1541" i="1" l="1"/>
  <c r="AD1539" i="1" s="1"/>
  <c r="AC1567" i="1"/>
  <c r="AC1409" i="1"/>
  <c r="AC1233" i="1"/>
  <c r="AC1419" i="1"/>
  <c r="AC1660" i="1"/>
  <c r="AD1649" i="1"/>
  <c r="AD1639" i="1"/>
  <c r="E70" i="4"/>
  <c r="E70" i="49" s="1"/>
  <c r="AC1019" i="1"/>
  <c r="AC1032" i="1"/>
  <c r="AC1232" i="1"/>
  <c r="AC1265" i="1"/>
  <c r="AC1183" i="1"/>
  <c r="AC1418" i="1"/>
  <c r="AC1644" i="1"/>
  <c r="AC1656" i="1"/>
  <c r="R1238" i="53"/>
  <c r="R1364" i="53" l="1"/>
  <c r="R1239" i="53"/>
  <c r="R1243" i="53" s="1"/>
  <c r="R1247" i="53" s="1"/>
  <c r="R1248" i="53" s="1"/>
  <c r="AD1230" i="1"/>
  <c r="AD1416" i="1"/>
  <c r="AD1697" i="1"/>
  <c r="AD1698" i="1" s="1"/>
  <c r="AE1696" i="1" s="1"/>
  <c r="AD1650" i="1"/>
  <c r="AD1651" i="1" s="1"/>
  <c r="AD1652" i="1" s="1"/>
  <c r="AD1641" i="1"/>
  <c r="AD1540" i="1" l="1"/>
  <c r="AD1556" i="1" s="1"/>
  <c r="R1296" i="53"/>
  <c r="S1246" i="53"/>
  <c r="AD1541" i="1"/>
  <c r="AE1539" i="1" s="1"/>
  <c r="AD1308" i="1"/>
  <c r="AE1638" i="1"/>
  <c r="AD1643" i="1"/>
  <c r="AD1646" i="1"/>
  <c r="AD1654" i="1" s="1"/>
  <c r="AD1233" i="1" l="1"/>
  <c r="AD1419" i="1"/>
  <c r="AD1660" i="1"/>
  <c r="S1238" i="53"/>
  <c r="AD1019" i="1"/>
  <c r="AD1032" i="1"/>
  <c r="AD1183" i="1"/>
  <c r="AD1232" i="1"/>
  <c r="AD1418" i="1"/>
  <c r="AD1265" i="1"/>
  <c r="AD1644" i="1"/>
  <c r="AD1656" i="1"/>
  <c r="AD1223" i="1"/>
  <c r="AD1409" i="1"/>
  <c r="AD1567" i="1"/>
  <c r="AE1649" i="1"/>
  <c r="AE1639" i="1"/>
  <c r="AE1641" i="1" s="1"/>
  <c r="AE1308" i="1" s="1"/>
  <c r="AE1643" i="1" l="1"/>
  <c r="AE1019" i="1" s="1"/>
  <c r="G1019" i="1" s="1"/>
  <c r="S1364" i="53"/>
  <c r="S1239" i="53"/>
  <c r="S1243" i="53" s="1"/>
  <c r="S1247" i="53" s="1"/>
  <c r="S1248" i="53" s="1"/>
  <c r="AE1416" i="1"/>
  <c r="G1416" i="1" s="1"/>
  <c r="AE1230" i="1"/>
  <c r="G1230" i="1" s="1"/>
  <c r="AE1697" i="1"/>
  <c r="AE1650" i="1"/>
  <c r="AE1651" i="1" s="1"/>
  <c r="AE1652" i="1" s="1"/>
  <c r="G1652" i="1" s="1"/>
  <c r="G1639" i="1"/>
  <c r="AE1646" i="1"/>
  <c r="G1643" i="1" l="1"/>
  <c r="AE1644" i="1"/>
  <c r="G1644" i="1" s="1"/>
  <c r="AE1418" i="1"/>
  <c r="G1418" i="1" s="1"/>
  <c r="AE1232" i="1"/>
  <c r="G1232" i="1" s="1"/>
  <c r="AE1183" i="1"/>
  <c r="G1183" i="1" s="1"/>
  <c r="AE1265" i="1"/>
  <c r="G1265" i="1" s="1"/>
  <c r="AE1032" i="1"/>
  <c r="G1032" i="1" s="1"/>
  <c r="AE1654" i="1"/>
  <c r="G1646" i="1"/>
  <c r="G1697" i="1"/>
  <c r="AE1698" i="1"/>
  <c r="T1246" i="53"/>
  <c r="S1296" i="53"/>
  <c r="AE1540" i="1"/>
  <c r="G1540" i="1" l="1"/>
  <c r="AE1556" i="1"/>
  <c r="AE1541" i="1"/>
  <c r="T1238" i="53"/>
  <c r="AE1233" i="1"/>
  <c r="G1233" i="1" s="1"/>
  <c r="AE1419" i="1"/>
  <c r="G1419" i="1" s="1"/>
  <c r="AE1660" i="1"/>
  <c r="G1660" i="1" s="1"/>
  <c r="G1654" i="1"/>
  <c r="E1670" i="1" a="1"/>
  <c r="AE1656" i="1"/>
  <c r="E1656" i="1" s="1"/>
  <c r="T1364" i="53" l="1"/>
  <c r="T1239" i="53"/>
  <c r="T1243" i="53" s="1"/>
  <c r="T1247" i="53" s="1"/>
  <c r="T1248" i="53" s="1"/>
  <c r="K1238" i="1"/>
  <c r="AE1409" i="1"/>
  <c r="G1409" i="1" s="1"/>
  <c r="AE1223" i="1"/>
  <c r="AE1567" i="1"/>
  <c r="G1556" i="1"/>
  <c r="E1670" i="1"/>
  <c r="E1674" i="1"/>
  <c r="E1678" i="1"/>
  <c r="E1682" i="1"/>
  <c r="E1686" i="1"/>
  <c r="E1690" i="1"/>
  <c r="E1671" i="1"/>
  <c r="E1675" i="1"/>
  <c r="E1679" i="1"/>
  <c r="E1683" i="1"/>
  <c r="E1687" i="1"/>
  <c r="E1691" i="1"/>
  <c r="E1672" i="1"/>
  <c r="E1676" i="1"/>
  <c r="E1680" i="1"/>
  <c r="E1684" i="1"/>
  <c r="E1688" i="1"/>
  <c r="E1692" i="1"/>
  <c r="E1673" i="1"/>
  <c r="E1677" i="1"/>
  <c r="E1681" i="1"/>
  <c r="E1685" i="1"/>
  <c r="E1689" i="1"/>
  <c r="F34" i="4" l="1"/>
  <c r="F34" i="49" s="1"/>
  <c r="K1364" i="1"/>
  <c r="K1239" i="1"/>
  <c r="U1246" i="53"/>
  <c r="T1296" i="53"/>
  <c r="F1673" i="1"/>
  <c r="F1677" i="1"/>
  <c r="F1681" i="1"/>
  <c r="F1685" i="1"/>
  <c r="F1689" i="1"/>
  <c r="F1670" i="1"/>
  <c r="F1674" i="1"/>
  <c r="F1678" i="1"/>
  <c r="F1682" i="1"/>
  <c r="F1686" i="1"/>
  <c r="F1690" i="1"/>
  <c r="F1671" i="1"/>
  <c r="F1675" i="1"/>
  <c r="F1679" i="1"/>
  <c r="F1683" i="1"/>
  <c r="F1687" i="1"/>
  <c r="F1691" i="1"/>
  <c r="F1672" i="1"/>
  <c r="F1676" i="1"/>
  <c r="F1680" i="1"/>
  <c r="F1684" i="1"/>
  <c r="F1688" i="1"/>
  <c r="F1692" i="1"/>
  <c r="G1223" i="1"/>
  <c r="J1679" i="1" l="1"/>
  <c r="N1679" i="1"/>
  <c r="R1679" i="1"/>
  <c r="V1679" i="1"/>
  <c r="Z1679" i="1"/>
  <c r="AD1679" i="1"/>
  <c r="K1679" i="1"/>
  <c r="O1679" i="1"/>
  <c r="S1679" i="1"/>
  <c r="W1679" i="1"/>
  <c r="AA1679" i="1"/>
  <c r="AE1679" i="1"/>
  <c r="L1679" i="1"/>
  <c r="P1679" i="1"/>
  <c r="T1679" i="1"/>
  <c r="X1679" i="1"/>
  <c r="AB1679" i="1"/>
  <c r="I1679" i="1"/>
  <c r="M1679" i="1"/>
  <c r="Q1679" i="1"/>
  <c r="U1679" i="1"/>
  <c r="Y1679" i="1"/>
  <c r="AC1679" i="1"/>
  <c r="K1686" i="1"/>
  <c r="O1686" i="1"/>
  <c r="S1686" i="1"/>
  <c r="W1686" i="1"/>
  <c r="AA1686" i="1"/>
  <c r="AE1686" i="1"/>
  <c r="L1686" i="1"/>
  <c r="P1686" i="1"/>
  <c r="T1686" i="1"/>
  <c r="X1686" i="1"/>
  <c r="AB1686" i="1"/>
  <c r="I1686" i="1"/>
  <c r="M1686" i="1"/>
  <c r="Q1686" i="1"/>
  <c r="U1686" i="1"/>
  <c r="Y1686" i="1"/>
  <c r="AC1686" i="1"/>
  <c r="J1686" i="1"/>
  <c r="N1686" i="1"/>
  <c r="R1686" i="1"/>
  <c r="V1686" i="1"/>
  <c r="Z1686" i="1"/>
  <c r="AD1686" i="1"/>
  <c r="K1670" i="1"/>
  <c r="O1670" i="1"/>
  <c r="S1670" i="1"/>
  <c r="W1670" i="1"/>
  <c r="AA1670" i="1"/>
  <c r="AE1670" i="1"/>
  <c r="L1670" i="1"/>
  <c r="P1670" i="1"/>
  <c r="T1670" i="1"/>
  <c r="X1670" i="1"/>
  <c r="AB1670" i="1"/>
  <c r="I1670" i="1"/>
  <c r="M1670" i="1"/>
  <c r="Q1670" i="1"/>
  <c r="U1670" i="1"/>
  <c r="Y1670" i="1"/>
  <c r="AC1670" i="1"/>
  <c r="J1670" i="1"/>
  <c r="N1670" i="1"/>
  <c r="R1670" i="1"/>
  <c r="V1670" i="1"/>
  <c r="Z1670" i="1"/>
  <c r="AD1670" i="1"/>
  <c r="F1693" i="1"/>
  <c r="L1677" i="1"/>
  <c r="P1677" i="1"/>
  <c r="T1677" i="1"/>
  <c r="X1677" i="1"/>
  <c r="AB1677" i="1"/>
  <c r="I1677" i="1"/>
  <c r="M1677" i="1"/>
  <c r="Q1677" i="1"/>
  <c r="U1677" i="1"/>
  <c r="Y1677" i="1"/>
  <c r="AC1677" i="1"/>
  <c r="J1677" i="1"/>
  <c r="N1677" i="1"/>
  <c r="R1677" i="1"/>
  <c r="V1677" i="1"/>
  <c r="Z1677" i="1"/>
  <c r="AD1677" i="1"/>
  <c r="K1677" i="1"/>
  <c r="O1677" i="1"/>
  <c r="S1677" i="1"/>
  <c r="W1677" i="1"/>
  <c r="AA1677" i="1"/>
  <c r="AE1677" i="1"/>
  <c r="I1672" i="1"/>
  <c r="M1672" i="1"/>
  <c r="Q1672" i="1"/>
  <c r="U1672" i="1"/>
  <c r="Y1672" i="1"/>
  <c r="AC1672" i="1"/>
  <c r="J1672" i="1"/>
  <c r="N1672" i="1"/>
  <c r="R1672" i="1"/>
  <c r="V1672" i="1"/>
  <c r="Z1672" i="1"/>
  <c r="AD1672" i="1"/>
  <c r="K1672" i="1"/>
  <c r="O1672" i="1"/>
  <c r="S1672" i="1"/>
  <c r="W1672" i="1"/>
  <c r="AA1672" i="1"/>
  <c r="AE1672" i="1"/>
  <c r="L1672" i="1"/>
  <c r="P1672" i="1"/>
  <c r="T1672" i="1"/>
  <c r="X1672" i="1"/>
  <c r="AB1672" i="1"/>
  <c r="J1675" i="1"/>
  <c r="N1675" i="1"/>
  <c r="R1675" i="1"/>
  <c r="V1675" i="1"/>
  <c r="Z1675" i="1"/>
  <c r="AD1675" i="1"/>
  <c r="K1675" i="1"/>
  <c r="O1675" i="1"/>
  <c r="S1675" i="1"/>
  <c r="W1675" i="1"/>
  <c r="AA1675" i="1"/>
  <c r="AE1675" i="1"/>
  <c r="L1675" i="1"/>
  <c r="P1675" i="1"/>
  <c r="T1675" i="1"/>
  <c r="X1675" i="1"/>
  <c r="AB1675" i="1"/>
  <c r="I1675" i="1"/>
  <c r="M1675" i="1"/>
  <c r="Q1675" i="1"/>
  <c r="U1675" i="1"/>
  <c r="Y1675" i="1"/>
  <c r="AC1675" i="1"/>
  <c r="K1682" i="1"/>
  <c r="O1682" i="1"/>
  <c r="S1682" i="1"/>
  <c r="W1682" i="1"/>
  <c r="AA1682" i="1"/>
  <c r="AE1682" i="1"/>
  <c r="L1682" i="1"/>
  <c r="P1682" i="1"/>
  <c r="T1682" i="1"/>
  <c r="X1682" i="1"/>
  <c r="AB1682" i="1"/>
  <c r="I1682" i="1"/>
  <c r="M1682" i="1"/>
  <c r="Q1682" i="1"/>
  <c r="U1682" i="1"/>
  <c r="Y1682" i="1"/>
  <c r="AC1682" i="1"/>
  <c r="J1682" i="1"/>
  <c r="N1682" i="1"/>
  <c r="R1682" i="1"/>
  <c r="V1682" i="1"/>
  <c r="Z1682" i="1"/>
  <c r="AD1682" i="1"/>
  <c r="L1689" i="1"/>
  <c r="P1689" i="1"/>
  <c r="T1689" i="1"/>
  <c r="X1689" i="1"/>
  <c r="AB1689" i="1"/>
  <c r="I1689" i="1"/>
  <c r="M1689" i="1"/>
  <c r="Q1689" i="1"/>
  <c r="U1689" i="1"/>
  <c r="Y1689" i="1"/>
  <c r="AC1689" i="1"/>
  <c r="J1689" i="1"/>
  <c r="N1689" i="1"/>
  <c r="R1689" i="1"/>
  <c r="V1689" i="1"/>
  <c r="Z1689" i="1"/>
  <c r="AD1689" i="1"/>
  <c r="W1689" i="1"/>
  <c r="K1689" i="1"/>
  <c r="AA1689" i="1"/>
  <c r="O1689" i="1"/>
  <c r="AE1689" i="1"/>
  <c r="S1689" i="1"/>
  <c r="L1673" i="1"/>
  <c r="P1673" i="1"/>
  <c r="T1673" i="1"/>
  <c r="X1673" i="1"/>
  <c r="AB1673" i="1"/>
  <c r="I1673" i="1"/>
  <c r="M1673" i="1"/>
  <c r="Q1673" i="1"/>
  <c r="U1673" i="1"/>
  <c r="Y1673" i="1"/>
  <c r="AC1673" i="1"/>
  <c r="J1673" i="1"/>
  <c r="N1673" i="1"/>
  <c r="R1673" i="1"/>
  <c r="V1673" i="1"/>
  <c r="Z1673" i="1"/>
  <c r="AD1673" i="1"/>
  <c r="K1673" i="1"/>
  <c r="O1673" i="1"/>
  <c r="S1673" i="1"/>
  <c r="W1673" i="1"/>
  <c r="AA1673" i="1"/>
  <c r="AE1673" i="1"/>
  <c r="F35" i="4"/>
  <c r="F35" i="49" s="1"/>
  <c r="K1243" i="1"/>
  <c r="I1688" i="1"/>
  <c r="M1688" i="1"/>
  <c r="Q1688" i="1"/>
  <c r="U1688" i="1"/>
  <c r="Y1688" i="1"/>
  <c r="AC1688" i="1"/>
  <c r="J1688" i="1"/>
  <c r="N1688" i="1"/>
  <c r="R1688" i="1"/>
  <c r="V1688" i="1"/>
  <c r="Z1688" i="1"/>
  <c r="AD1688" i="1"/>
  <c r="K1688" i="1"/>
  <c r="O1688" i="1"/>
  <c r="S1688" i="1"/>
  <c r="W1688" i="1"/>
  <c r="AA1688" i="1"/>
  <c r="AE1688" i="1"/>
  <c r="L1688" i="1"/>
  <c r="P1688" i="1"/>
  <c r="T1688" i="1"/>
  <c r="X1688" i="1"/>
  <c r="AB1688" i="1"/>
  <c r="I1684" i="1"/>
  <c r="M1684" i="1"/>
  <c r="Q1684" i="1"/>
  <c r="U1684" i="1"/>
  <c r="Y1684" i="1"/>
  <c r="AC1684" i="1"/>
  <c r="J1684" i="1"/>
  <c r="N1684" i="1"/>
  <c r="R1684" i="1"/>
  <c r="V1684" i="1"/>
  <c r="Z1684" i="1"/>
  <c r="AD1684" i="1"/>
  <c r="K1684" i="1"/>
  <c r="O1684" i="1"/>
  <c r="S1684" i="1"/>
  <c r="W1684" i="1"/>
  <c r="AA1684" i="1"/>
  <c r="AE1684" i="1"/>
  <c r="L1684" i="1"/>
  <c r="P1684" i="1"/>
  <c r="T1684" i="1"/>
  <c r="X1684" i="1"/>
  <c r="AB1684" i="1"/>
  <c r="K1678" i="1"/>
  <c r="O1678" i="1"/>
  <c r="S1678" i="1"/>
  <c r="W1678" i="1"/>
  <c r="AA1678" i="1"/>
  <c r="AE1678" i="1"/>
  <c r="L1678" i="1"/>
  <c r="P1678" i="1"/>
  <c r="T1678" i="1"/>
  <c r="X1678" i="1"/>
  <c r="AB1678" i="1"/>
  <c r="I1678" i="1"/>
  <c r="M1678" i="1"/>
  <c r="Q1678" i="1"/>
  <c r="U1678" i="1"/>
  <c r="Y1678" i="1"/>
  <c r="AC1678" i="1"/>
  <c r="J1678" i="1"/>
  <c r="N1678" i="1"/>
  <c r="R1678" i="1"/>
  <c r="V1678" i="1"/>
  <c r="Z1678" i="1"/>
  <c r="AD1678" i="1"/>
  <c r="J1691" i="1"/>
  <c r="N1691" i="1"/>
  <c r="R1691" i="1"/>
  <c r="V1691" i="1"/>
  <c r="Z1691" i="1"/>
  <c r="AD1691" i="1"/>
  <c r="K1691" i="1"/>
  <c r="O1691" i="1"/>
  <c r="S1691" i="1"/>
  <c r="W1691" i="1"/>
  <c r="AA1691" i="1"/>
  <c r="AE1691" i="1"/>
  <c r="L1691" i="1"/>
  <c r="P1691" i="1"/>
  <c r="T1691" i="1"/>
  <c r="X1691" i="1"/>
  <c r="AB1691" i="1"/>
  <c r="U1691" i="1"/>
  <c r="I1691" i="1"/>
  <c r="Y1691" i="1"/>
  <c r="M1691" i="1"/>
  <c r="AC1691" i="1"/>
  <c r="Q1691" i="1"/>
  <c r="I1680" i="1"/>
  <c r="M1680" i="1"/>
  <c r="Q1680" i="1"/>
  <c r="U1680" i="1"/>
  <c r="Y1680" i="1"/>
  <c r="AC1680" i="1"/>
  <c r="J1680" i="1"/>
  <c r="N1680" i="1"/>
  <c r="R1680" i="1"/>
  <c r="V1680" i="1"/>
  <c r="Z1680" i="1"/>
  <c r="AD1680" i="1"/>
  <c r="K1680" i="1"/>
  <c r="O1680" i="1"/>
  <c r="S1680" i="1"/>
  <c r="W1680" i="1"/>
  <c r="AA1680" i="1"/>
  <c r="AE1680" i="1"/>
  <c r="L1680" i="1"/>
  <c r="P1680" i="1"/>
  <c r="T1680" i="1"/>
  <c r="X1680" i="1"/>
  <c r="AB1680" i="1"/>
  <c r="J1687" i="1"/>
  <c r="N1687" i="1"/>
  <c r="R1687" i="1"/>
  <c r="V1687" i="1"/>
  <c r="Z1687" i="1"/>
  <c r="AD1687" i="1"/>
  <c r="K1687" i="1"/>
  <c r="O1687" i="1"/>
  <c r="S1687" i="1"/>
  <c r="W1687" i="1"/>
  <c r="AA1687" i="1"/>
  <c r="AE1687" i="1"/>
  <c r="L1687" i="1"/>
  <c r="P1687" i="1"/>
  <c r="T1687" i="1"/>
  <c r="X1687" i="1"/>
  <c r="AB1687" i="1"/>
  <c r="I1687" i="1"/>
  <c r="M1687" i="1"/>
  <c r="Q1687" i="1"/>
  <c r="U1687" i="1"/>
  <c r="Y1687" i="1"/>
  <c r="AC1687" i="1"/>
  <c r="J1671" i="1"/>
  <c r="N1671" i="1"/>
  <c r="R1671" i="1"/>
  <c r="V1671" i="1"/>
  <c r="Z1671" i="1"/>
  <c r="AD1671" i="1"/>
  <c r="K1671" i="1"/>
  <c r="O1671" i="1"/>
  <c r="S1671" i="1"/>
  <c r="W1671" i="1"/>
  <c r="AA1671" i="1"/>
  <c r="AE1671" i="1"/>
  <c r="L1671" i="1"/>
  <c r="P1671" i="1"/>
  <c r="T1671" i="1"/>
  <c r="X1671" i="1"/>
  <c r="AB1671" i="1"/>
  <c r="I1671" i="1"/>
  <c r="M1671" i="1"/>
  <c r="Q1671" i="1"/>
  <c r="U1671" i="1"/>
  <c r="Y1671" i="1"/>
  <c r="AC1671" i="1"/>
  <c r="L1685" i="1"/>
  <c r="P1685" i="1"/>
  <c r="T1685" i="1"/>
  <c r="X1685" i="1"/>
  <c r="AB1685" i="1"/>
  <c r="I1685" i="1"/>
  <c r="M1685" i="1"/>
  <c r="Q1685" i="1"/>
  <c r="U1685" i="1"/>
  <c r="Y1685" i="1"/>
  <c r="AC1685" i="1"/>
  <c r="J1685" i="1"/>
  <c r="N1685" i="1"/>
  <c r="R1685" i="1"/>
  <c r="V1685" i="1"/>
  <c r="Z1685" i="1"/>
  <c r="AD1685" i="1"/>
  <c r="K1685" i="1"/>
  <c r="O1685" i="1"/>
  <c r="S1685" i="1"/>
  <c r="W1685" i="1"/>
  <c r="AA1685" i="1"/>
  <c r="AE1685" i="1"/>
  <c r="I1692" i="1"/>
  <c r="M1692" i="1"/>
  <c r="Q1692" i="1"/>
  <c r="U1692" i="1"/>
  <c r="Y1692" i="1"/>
  <c r="AC1692" i="1"/>
  <c r="J1692" i="1"/>
  <c r="N1692" i="1"/>
  <c r="R1692" i="1"/>
  <c r="V1692" i="1"/>
  <c r="Z1692" i="1"/>
  <c r="AD1692" i="1"/>
  <c r="K1692" i="1"/>
  <c r="O1692" i="1"/>
  <c r="S1692" i="1"/>
  <c r="W1692" i="1"/>
  <c r="AA1692" i="1"/>
  <c r="AE1692" i="1"/>
  <c r="L1692" i="1"/>
  <c r="AB1692" i="1"/>
  <c r="P1692" i="1"/>
  <c r="T1692" i="1"/>
  <c r="X1692" i="1"/>
  <c r="I1676" i="1"/>
  <c r="M1676" i="1"/>
  <c r="Q1676" i="1"/>
  <c r="U1676" i="1"/>
  <c r="Y1676" i="1"/>
  <c r="AC1676" i="1"/>
  <c r="J1676" i="1"/>
  <c r="N1676" i="1"/>
  <c r="R1676" i="1"/>
  <c r="V1676" i="1"/>
  <c r="Z1676" i="1"/>
  <c r="AD1676" i="1"/>
  <c r="K1676" i="1"/>
  <c r="O1676" i="1"/>
  <c r="S1676" i="1"/>
  <c r="W1676" i="1"/>
  <c r="AA1676" i="1"/>
  <c r="AE1676" i="1"/>
  <c r="L1676" i="1"/>
  <c r="P1676" i="1"/>
  <c r="T1676" i="1"/>
  <c r="X1676" i="1"/>
  <c r="AB1676" i="1"/>
  <c r="J1683" i="1"/>
  <c r="N1683" i="1"/>
  <c r="R1683" i="1"/>
  <c r="V1683" i="1"/>
  <c r="Z1683" i="1"/>
  <c r="AD1683" i="1"/>
  <c r="K1683" i="1"/>
  <c r="O1683" i="1"/>
  <c r="S1683" i="1"/>
  <c r="W1683" i="1"/>
  <c r="AA1683" i="1"/>
  <c r="AE1683" i="1"/>
  <c r="L1683" i="1"/>
  <c r="P1683" i="1"/>
  <c r="T1683" i="1"/>
  <c r="X1683" i="1"/>
  <c r="AB1683" i="1"/>
  <c r="I1683" i="1"/>
  <c r="M1683" i="1"/>
  <c r="Q1683" i="1"/>
  <c r="U1683" i="1"/>
  <c r="Y1683" i="1"/>
  <c r="AC1683" i="1"/>
  <c r="K1690" i="1"/>
  <c r="O1690" i="1"/>
  <c r="S1690" i="1"/>
  <c r="W1690" i="1"/>
  <c r="AA1690" i="1"/>
  <c r="AE1690" i="1"/>
  <c r="L1690" i="1"/>
  <c r="P1690" i="1"/>
  <c r="T1690" i="1"/>
  <c r="X1690" i="1"/>
  <c r="AB1690" i="1"/>
  <c r="I1690" i="1"/>
  <c r="M1690" i="1"/>
  <c r="Q1690" i="1"/>
  <c r="U1690" i="1"/>
  <c r="Y1690" i="1"/>
  <c r="AC1690" i="1"/>
  <c r="N1690" i="1"/>
  <c r="AD1690" i="1"/>
  <c r="R1690" i="1"/>
  <c r="V1690" i="1"/>
  <c r="J1690" i="1"/>
  <c r="Z1690" i="1"/>
  <c r="K1674" i="1"/>
  <c r="O1674" i="1"/>
  <c r="S1674" i="1"/>
  <c r="W1674" i="1"/>
  <c r="AA1674" i="1"/>
  <c r="AE1674" i="1"/>
  <c r="L1674" i="1"/>
  <c r="P1674" i="1"/>
  <c r="T1674" i="1"/>
  <c r="X1674" i="1"/>
  <c r="AB1674" i="1"/>
  <c r="I1674" i="1"/>
  <c r="M1674" i="1"/>
  <c r="Q1674" i="1"/>
  <c r="U1674" i="1"/>
  <c r="Y1674" i="1"/>
  <c r="AC1674" i="1"/>
  <c r="J1674" i="1"/>
  <c r="N1674" i="1"/>
  <c r="R1674" i="1"/>
  <c r="V1674" i="1"/>
  <c r="Z1674" i="1"/>
  <c r="AD1674" i="1"/>
  <c r="L1681" i="1"/>
  <c r="P1681" i="1"/>
  <c r="T1681" i="1"/>
  <c r="X1681" i="1"/>
  <c r="AB1681" i="1"/>
  <c r="I1681" i="1"/>
  <c r="M1681" i="1"/>
  <c r="Q1681" i="1"/>
  <c r="U1681" i="1"/>
  <c r="Y1681" i="1"/>
  <c r="AC1681" i="1"/>
  <c r="J1681" i="1"/>
  <c r="N1681" i="1"/>
  <c r="R1681" i="1"/>
  <c r="V1681" i="1"/>
  <c r="Z1681" i="1"/>
  <c r="AD1681" i="1"/>
  <c r="K1681" i="1"/>
  <c r="O1681" i="1"/>
  <c r="S1681" i="1"/>
  <c r="W1681" i="1"/>
  <c r="AA1681" i="1"/>
  <c r="AE1681" i="1"/>
  <c r="U1238" i="53"/>
  <c r="Z1693" i="1" l="1"/>
  <c r="Z1661" i="1" s="1"/>
  <c r="J1693" i="1"/>
  <c r="J1661" i="1" s="1"/>
  <c r="Q1693" i="1"/>
  <c r="Q1661" i="1" s="1"/>
  <c r="X1693" i="1"/>
  <c r="X1661" i="1" s="1"/>
  <c r="AE1693" i="1"/>
  <c r="AE1661" i="1" s="1"/>
  <c r="O1693" i="1"/>
  <c r="O1661" i="1" s="1"/>
  <c r="V1693" i="1"/>
  <c r="V1661" i="1" s="1"/>
  <c r="AC1693" i="1"/>
  <c r="AC1661" i="1" s="1"/>
  <c r="M1693" i="1"/>
  <c r="M1661" i="1" s="1"/>
  <c r="T1693" i="1"/>
  <c r="T1661" i="1" s="1"/>
  <c r="AA1693" i="1"/>
  <c r="AA1661" i="1" s="1"/>
  <c r="K1693" i="1"/>
  <c r="K1661" i="1" s="1"/>
  <c r="F39" i="4"/>
  <c r="F39" i="49" s="1"/>
  <c r="K1247" i="1"/>
  <c r="K1248" i="1" s="1"/>
  <c r="R1693" i="1"/>
  <c r="R1661" i="1" s="1"/>
  <c r="Y1693" i="1"/>
  <c r="Y1661" i="1" s="1"/>
  <c r="I1693" i="1"/>
  <c r="I1661" i="1" s="1"/>
  <c r="P1693" i="1"/>
  <c r="P1661" i="1" s="1"/>
  <c r="W1693" i="1"/>
  <c r="W1661" i="1" s="1"/>
  <c r="U1364" i="53"/>
  <c r="U1239" i="53"/>
  <c r="U1243" i="53" s="1"/>
  <c r="U1247" i="53" s="1"/>
  <c r="U1248" i="53" s="1"/>
  <c r="AD1693" i="1"/>
  <c r="AD1661" i="1" s="1"/>
  <c r="N1693" i="1"/>
  <c r="N1661" i="1" s="1"/>
  <c r="U1693" i="1"/>
  <c r="U1661" i="1" s="1"/>
  <c r="AB1693" i="1"/>
  <c r="AB1661" i="1" s="1"/>
  <c r="L1693" i="1"/>
  <c r="L1661" i="1" s="1"/>
  <c r="S1693" i="1"/>
  <c r="S1661" i="1" s="1"/>
  <c r="S1661" i="53" l="1"/>
  <c r="T1661" i="53"/>
  <c r="Q1661" i="53"/>
  <c r="R1661" i="53"/>
  <c r="U1661" i="53"/>
  <c r="V1661" i="53"/>
  <c r="V1246" i="53"/>
  <c r="U1296" i="53"/>
  <c r="G1661" i="1"/>
  <c r="K1661" i="53"/>
  <c r="K1260" i="53" s="1"/>
  <c r="K1261" i="53" s="1"/>
  <c r="K1267" i="53" s="1"/>
  <c r="I1661" i="53"/>
  <c r="J1661" i="53"/>
  <c r="J1260" i="53" s="1"/>
  <c r="J1261" i="53" s="1"/>
  <c r="J1267" i="53" s="1"/>
  <c r="L1661" i="53"/>
  <c r="L1260" i="53" s="1"/>
  <c r="L1261" i="53" s="1"/>
  <c r="L1267" i="53" s="1"/>
  <c r="I1662" i="1"/>
  <c r="J1659" i="1" s="1"/>
  <c r="J1662" i="1" s="1"/>
  <c r="K1659" i="1" s="1"/>
  <c r="K1662" i="1" s="1"/>
  <c r="L1659" i="1" s="1"/>
  <c r="L1662" i="1" s="1"/>
  <c r="M1659" i="1" s="1"/>
  <c r="M1662" i="1" s="1"/>
  <c r="N1659" i="1" s="1"/>
  <c r="N1662" i="1" s="1"/>
  <c r="O1659" i="1" s="1"/>
  <c r="O1662" i="1" s="1"/>
  <c r="P1659" i="1" s="1"/>
  <c r="P1662" i="1" s="1"/>
  <c r="Q1659" i="1" s="1"/>
  <c r="Q1662" i="1" s="1"/>
  <c r="R1659" i="1" s="1"/>
  <c r="R1662" i="1" s="1"/>
  <c r="S1659" i="1" s="1"/>
  <c r="S1662" i="1" s="1"/>
  <c r="T1659" i="1" s="1"/>
  <c r="T1662" i="1" s="1"/>
  <c r="U1659" i="1" s="1"/>
  <c r="U1662" i="1" s="1"/>
  <c r="V1659" i="1" s="1"/>
  <c r="V1662" i="1" s="1"/>
  <c r="W1659" i="1" s="1"/>
  <c r="W1662" i="1" s="1"/>
  <c r="X1659" i="1" s="1"/>
  <c r="X1662" i="1" s="1"/>
  <c r="Y1659" i="1" s="1"/>
  <c r="Y1662" i="1" s="1"/>
  <c r="Z1659" i="1" s="1"/>
  <c r="Z1662" i="1" s="1"/>
  <c r="AA1659" i="1" s="1"/>
  <c r="AA1662" i="1" s="1"/>
  <c r="AB1659" i="1" s="1"/>
  <c r="AB1662" i="1" s="1"/>
  <c r="AC1659" i="1" s="1"/>
  <c r="AC1662" i="1" s="1"/>
  <c r="AD1659" i="1" s="1"/>
  <c r="AD1662" i="1" s="1"/>
  <c r="AE1659" i="1" s="1"/>
  <c r="AE1662" i="1" s="1"/>
  <c r="L1246" i="1"/>
  <c r="K1296" i="1"/>
  <c r="O1661" i="53"/>
  <c r="N1661" i="53"/>
  <c r="M1661" i="53"/>
  <c r="P1661" i="53"/>
  <c r="F70" i="4" l="1"/>
  <c r="F70" i="49" s="1"/>
  <c r="J1275" i="53"/>
  <c r="J1283" i="53"/>
  <c r="J1284" i="53" s="1"/>
  <c r="I1260" i="53"/>
  <c r="G1661" i="53"/>
  <c r="I1662" i="53"/>
  <c r="V1238" i="53"/>
  <c r="K1275" i="53"/>
  <c r="K1283" i="53"/>
  <c r="K1284" i="53" s="1"/>
  <c r="L1283" i="53"/>
  <c r="L1284" i="53" s="1"/>
  <c r="L1275" i="53"/>
  <c r="I1260" i="1" l="1"/>
  <c r="I1261" i="53"/>
  <c r="V1364" i="53"/>
  <c r="G1238" i="53"/>
  <c r="V1239" i="53"/>
  <c r="L1238" i="1"/>
  <c r="K1287" i="53"/>
  <c r="K1276" i="53"/>
  <c r="K1278" i="53" s="1"/>
  <c r="K1280" i="53" s="1"/>
  <c r="J1659" i="53"/>
  <c r="J1662" i="53" s="1"/>
  <c r="I1301" i="53"/>
  <c r="J1276" i="53"/>
  <c r="J1278" i="53" s="1"/>
  <c r="J1280" i="53" s="1"/>
  <c r="J1287" i="53"/>
  <c r="L1287" i="53"/>
  <c r="L1276" i="53"/>
  <c r="L1278" i="53" s="1"/>
  <c r="L1280" i="53" s="1"/>
  <c r="L1289" i="53" l="1"/>
  <c r="J1289" i="53"/>
  <c r="K1289" i="53"/>
  <c r="G34" i="4"/>
  <c r="G34" i="49" s="1"/>
  <c r="L1364" i="1"/>
  <c r="L1239" i="1"/>
  <c r="V1243" i="53"/>
  <c r="G1239" i="53"/>
  <c r="I1267" i="53"/>
  <c r="K1659" i="53"/>
  <c r="K1662" i="53" s="1"/>
  <c r="J1301" i="53"/>
  <c r="D52" i="4"/>
  <c r="D52" i="49" s="1"/>
  <c r="I1261" i="1"/>
  <c r="G35" i="4" l="1"/>
  <c r="G35" i="49" s="1"/>
  <c r="L1243" i="1"/>
  <c r="I1275" i="53"/>
  <c r="I1283" i="53"/>
  <c r="D53" i="4"/>
  <c r="D53" i="49" s="1"/>
  <c r="I1267" i="1"/>
  <c r="L1659" i="53"/>
  <c r="L1662" i="53" s="1"/>
  <c r="K1301" i="53"/>
  <c r="V1247" i="53"/>
  <c r="V1248" i="53" s="1"/>
  <c r="V1296" i="53" s="1"/>
  <c r="G1243" i="53"/>
  <c r="M1659" i="53" l="1"/>
  <c r="M1662" i="53" s="1"/>
  <c r="N1659" i="53" s="1"/>
  <c r="N1662" i="53" s="1"/>
  <c r="O1659" i="53" s="1"/>
  <c r="O1662" i="53" s="1"/>
  <c r="P1659" i="53" s="1"/>
  <c r="P1662" i="53" s="1"/>
  <c r="Q1659" i="53" s="1"/>
  <c r="Q1662" i="53" s="1"/>
  <c r="R1659" i="53" s="1"/>
  <c r="R1662" i="53" s="1"/>
  <c r="S1659" i="53" s="1"/>
  <c r="S1662" i="53" s="1"/>
  <c r="T1659" i="53" s="1"/>
  <c r="T1662" i="53" s="1"/>
  <c r="U1659" i="53" s="1"/>
  <c r="U1662" i="53" s="1"/>
  <c r="V1659" i="53" s="1"/>
  <c r="V1662" i="53" s="1"/>
  <c r="L1301" i="53"/>
  <c r="D59" i="4"/>
  <c r="D59" i="49" s="1"/>
  <c r="I1275" i="1"/>
  <c r="I1283" i="1"/>
  <c r="G39" i="4"/>
  <c r="G39" i="49" s="1"/>
  <c r="L1247" i="1"/>
  <c r="L1248" i="1" s="1"/>
  <c r="I1284" i="53"/>
  <c r="I1287" i="53" l="1"/>
  <c r="I1276" i="53"/>
  <c r="M1246" i="1"/>
  <c r="L1296" i="1"/>
  <c r="I1284" i="1"/>
  <c r="I1278" i="53" l="1"/>
  <c r="I1276" i="1"/>
  <c r="I1287" i="1"/>
  <c r="G70" i="4"/>
  <c r="G70" i="49" s="1"/>
  <c r="I1278" i="1" l="1"/>
  <c r="I1280" i="53"/>
  <c r="I1289" i="53" l="1"/>
  <c r="I1280" i="1"/>
  <c r="I1289" i="1" l="1"/>
  <c r="I1269" i="1" l="1"/>
  <c r="I1358" i="1"/>
  <c r="I1358" i="53" l="1"/>
  <c r="I1359" i="53" s="1"/>
  <c r="J1358" i="53"/>
  <c r="K1358" i="53"/>
  <c r="L1358" i="53"/>
  <c r="I1359" i="1"/>
  <c r="D61" i="4"/>
  <c r="D61" i="49" s="1"/>
  <c r="K1269" i="53"/>
  <c r="K1270" i="53" s="1"/>
  <c r="K1365" i="53" s="1"/>
  <c r="L1269" i="53"/>
  <c r="L1270" i="53" s="1"/>
  <c r="L1365" i="53" s="1"/>
  <c r="I1269" i="53"/>
  <c r="J1269" i="53"/>
  <c r="J1270" i="53" s="1"/>
  <c r="J1365" i="53" s="1"/>
  <c r="I1270" i="1"/>
  <c r="D62" i="4" l="1"/>
  <c r="D62" i="49" s="1"/>
  <c r="I1365" i="1"/>
  <c r="I1367" i="1" s="1"/>
  <c r="I1270" i="53"/>
  <c r="I1300" i="1"/>
  <c r="J1356" i="1"/>
  <c r="I1310" i="1"/>
  <c r="J1356" i="53"/>
  <c r="J1359" i="53" s="1"/>
  <c r="I1300" i="53"/>
  <c r="I1302" i="53" s="1"/>
  <c r="I1310" i="53"/>
  <c r="I1311" i="53" s="1"/>
  <c r="I1313" i="1" l="1"/>
  <c r="J1363" i="1"/>
  <c r="D84" i="4"/>
  <c r="D84" i="49" s="1"/>
  <c r="I1311" i="1"/>
  <c r="D85" i="4" s="1"/>
  <c r="D85" i="49" s="1"/>
  <c r="D74" i="4"/>
  <c r="D74" i="49" s="1"/>
  <c r="J1300" i="53"/>
  <c r="J1302" i="53" s="1"/>
  <c r="J1310" i="53"/>
  <c r="J1311" i="53" s="1"/>
  <c r="K1356" i="53"/>
  <c r="K1359" i="53" s="1"/>
  <c r="I1365" i="53"/>
  <c r="I1367" i="53" s="1"/>
  <c r="J1363" i="53" l="1"/>
  <c r="J1367" i="53" s="1"/>
  <c r="I1313" i="53"/>
  <c r="I1315" i="53" s="1"/>
  <c r="K1300" i="53"/>
  <c r="K1302" i="53" s="1"/>
  <c r="K1310" i="53"/>
  <c r="K1311" i="53" s="1"/>
  <c r="L1356" i="53"/>
  <c r="L1359" i="53" s="1"/>
  <c r="D87" i="4"/>
  <c r="D87" i="49" s="1"/>
  <c r="M1356" i="53" l="1"/>
  <c r="L1300" i="53"/>
  <c r="L1302" i="53" s="1"/>
  <c r="L1310" i="53"/>
  <c r="L1311" i="53" s="1"/>
  <c r="J1313" i="53"/>
  <c r="J1315" i="53" s="1"/>
  <c r="K1363" i="53"/>
  <c r="K1367" i="53" s="1"/>
  <c r="K1313" i="53" l="1"/>
  <c r="K1315" i="53" s="1"/>
  <c r="L1363" i="53"/>
  <c r="L1367" i="53" s="1"/>
  <c r="L1313" i="53" l="1"/>
  <c r="L1315" i="53" s="1"/>
  <c r="M1363" i="53"/>
  <c r="M1560" i="1" l="1"/>
  <c r="M1411" i="1" s="1"/>
  <c r="N1560" i="1"/>
  <c r="N1411" i="1" s="1"/>
  <c r="O1560" i="1"/>
  <c r="O1561" i="1" s="1"/>
  <c r="P1560" i="1"/>
  <c r="P1561" i="1" s="1"/>
  <c r="Q1560" i="1"/>
  <c r="Q1411" i="1" s="1"/>
  <c r="R1560" i="1"/>
  <c r="R1411" i="1" s="1"/>
  <c r="S1560" i="1"/>
  <c r="S1561" i="1" s="1"/>
  <c r="T1560" i="1"/>
  <c r="T1561" i="1" s="1"/>
  <c r="U1560" i="1"/>
  <c r="U1411" i="1" s="1"/>
  <c r="V1560" i="1"/>
  <c r="V1411" i="1" s="1"/>
  <c r="W1560" i="1"/>
  <c r="W1561" i="1" s="1"/>
  <c r="X1560" i="1"/>
  <c r="X1561" i="1" s="1"/>
  <c r="Y1560" i="1"/>
  <c r="Y1411" i="1" s="1"/>
  <c r="Z1560" i="1"/>
  <c r="Z1411" i="1" s="1"/>
  <c r="AA1560" i="1"/>
  <c r="AA1561" i="1" s="1"/>
  <c r="AB1560" i="1"/>
  <c r="AB1561" i="1" s="1"/>
  <c r="AC1560" i="1"/>
  <c r="AC1411" i="1" s="1"/>
  <c r="AD1560" i="1"/>
  <c r="AD1411" i="1" s="1"/>
  <c r="AE1560" i="1"/>
  <c r="AE1561" i="1" s="1"/>
  <c r="N1561" i="1" l="1"/>
  <c r="AD1561" i="1"/>
  <c r="V1561" i="1"/>
  <c r="R1561" i="1"/>
  <c r="Z1561" i="1"/>
  <c r="Q1561" i="1"/>
  <c r="AC1561" i="1"/>
  <c r="U1561" i="1"/>
  <c r="Y1561" i="1"/>
  <c r="M1561" i="1"/>
  <c r="AB1017" i="1"/>
  <c r="AB1263" i="1"/>
  <c r="AB1226" i="1"/>
  <c r="AB1411" i="1"/>
  <c r="X1017" i="1"/>
  <c r="X1263" i="1"/>
  <c r="X1226" i="1"/>
  <c r="X1411" i="1"/>
  <c r="T1017" i="1"/>
  <c r="T1263" i="1"/>
  <c r="T1226" i="1"/>
  <c r="T1411" i="1"/>
  <c r="P1017" i="1"/>
  <c r="P1263" i="1"/>
  <c r="P1226" i="1"/>
  <c r="P1411" i="1"/>
  <c r="G1560" i="1"/>
  <c r="AE1017" i="1"/>
  <c r="AE1226" i="1"/>
  <c r="AE1263" i="1"/>
  <c r="AE1411" i="1"/>
  <c r="AA1017" i="1"/>
  <c r="AA1226" i="1"/>
  <c r="AA1263" i="1"/>
  <c r="AA1411" i="1"/>
  <c r="W1017" i="1"/>
  <c r="W1226" i="1"/>
  <c r="W1263" i="1"/>
  <c r="W1411" i="1"/>
  <c r="S1017" i="1"/>
  <c r="S1226" i="1"/>
  <c r="S1263" i="1"/>
  <c r="S1411" i="1"/>
  <c r="O1017" i="1"/>
  <c r="O1226" i="1"/>
  <c r="J22" i="4" s="1"/>
  <c r="J22" i="49" s="1"/>
  <c r="O1263" i="1"/>
  <c r="J55" i="4" s="1"/>
  <c r="J55" i="49" s="1"/>
  <c r="O1411" i="1"/>
  <c r="AD1017" i="1"/>
  <c r="AD1226" i="1"/>
  <c r="AD1263" i="1"/>
  <c r="Z1017" i="1"/>
  <c r="Z1226" i="1"/>
  <c r="Z1263" i="1"/>
  <c r="V1017" i="1"/>
  <c r="V1226" i="1"/>
  <c r="V1263" i="1"/>
  <c r="R1017" i="1"/>
  <c r="R1226" i="1"/>
  <c r="R1263" i="1"/>
  <c r="N1017" i="1"/>
  <c r="N1226" i="1"/>
  <c r="I22" i="4" s="1"/>
  <c r="I22" i="49" s="1"/>
  <c r="N1263" i="1"/>
  <c r="I55" i="4" s="1"/>
  <c r="I55" i="49" s="1"/>
  <c r="AC1017" i="1"/>
  <c r="AC1226" i="1"/>
  <c r="AC1263" i="1"/>
  <c r="Y1017" i="1"/>
  <c r="Y1263" i="1"/>
  <c r="Y1226" i="1"/>
  <c r="U1017" i="1"/>
  <c r="U1226" i="1"/>
  <c r="U1263" i="1"/>
  <c r="Q1017" i="1"/>
  <c r="Q1226" i="1"/>
  <c r="Q1263" i="1"/>
  <c r="M1017" i="1"/>
  <c r="M1226" i="1"/>
  <c r="M1263" i="1"/>
  <c r="G1411" i="1" l="1"/>
  <c r="G1561" i="1"/>
  <c r="U1030" i="1"/>
  <c r="U1033" i="1" s="1"/>
  <c r="U1181" i="1"/>
  <c r="U1184" i="1" s="1"/>
  <c r="R1030" i="1"/>
  <c r="R1033" i="1" s="1"/>
  <c r="R1181" i="1"/>
  <c r="R1184" i="1" s="1"/>
  <c r="H22" i="4"/>
  <c r="H22" i="49" s="1"/>
  <c r="G1226" i="1"/>
  <c r="N1030" i="1"/>
  <c r="N1033" i="1" s="1"/>
  <c r="N1181" i="1"/>
  <c r="N1184" i="1" s="1"/>
  <c r="AD1030" i="1"/>
  <c r="AD1033" i="1" s="1"/>
  <c r="AD1181" i="1"/>
  <c r="AD1184" i="1" s="1"/>
  <c r="O1030" i="1"/>
  <c r="O1033" i="1" s="1"/>
  <c r="O1181" i="1"/>
  <c r="O1184" i="1" s="1"/>
  <c r="S1030" i="1"/>
  <c r="S1033" i="1" s="1"/>
  <c r="S1181" i="1"/>
  <c r="S1184" i="1" s="1"/>
  <c r="W1030" i="1"/>
  <c r="W1033" i="1" s="1"/>
  <c r="W1181" i="1"/>
  <c r="W1184" i="1" s="1"/>
  <c r="AA1030" i="1"/>
  <c r="AA1033" i="1" s="1"/>
  <c r="AA1181" i="1"/>
  <c r="AA1184" i="1" s="1"/>
  <c r="AE1030" i="1"/>
  <c r="AE1033" i="1" s="1"/>
  <c r="AE1181" i="1"/>
  <c r="AE1184" i="1" s="1"/>
  <c r="Z1030" i="1"/>
  <c r="Z1033" i="1" s="1"/>
  <c r="Z1181" i="1"/>
  <c r="Z1184" i="1" s="1"/>
  <c r="P1030" i="1"/>
  <c r="P1033" i="1" s="1"/>
  <c r="P1181" i="1"/>
  <c r="P1184" i="1" s="1"/>
  <c r="T1030" i="1"/>
  <c r="T1033" i="1" s="1"/>
  <c r="T1181" i="1"/>
  <c r="T1184" i="1" s="1"/>
  <c r="X1030" i="1"/>
  <c r="X1033" i="1" s="1"/>
  <c r="X1181" i="1"/>
  <c r="X1184" i="1" s="1"/>
  <c r="AB1030" i="1"/>
  <c r="AB1033" i="1" s="1"/>
  <c r="AB1181" i="1"/>
  <c r="AB1184" i="1" s="1"/>
  <c r="H55" i="4"/>
  <c r="H55" i="49" s="1"/>
  <c r="G1263" i="1"/>
  <c r="Q1030" i="1"/>
  <c r="Q1033" i="1" s="1"/>
  <c r="Q1181" i="1"/>
  <c r="Q1184" i="1" s="1"/>
  <c r="G1017" i="1"/>
  <c r="M1030" i="1"/>
  <c r="M1181" i="1"/>
  <c r="AC1030" i="1"/>
  <c r="AC1033" i="1" s="1"/>
  <c r="AC1181" i="1"/>
  <c r="AC1184" i="1" s="1"/>
  <c r="Y1030" i="1"/>
  <c r="Y1033" i="1" s="1"/>
  <c r="Y1181" i="1"/>
  <c r="Y1184" i="1" s="1"/>
  <c r="V1030" i="1"/>
  <c r="V1033" i="1" s="1"/>
  <c r="V1181" i="1"/>
  <c r="V1184" i="1" s="1"/>
  <c r="G1030" i="1" l="1"/>
  <c r="M1033" i="1"/>
  <c r="AB1112" i="1"/>
  <c r="AB1166" i="1"/>
  <c r="X1112" i="1"/>
  <c r="X1166" i="1"/>
  <c r="S1112" i="1"/>
  <c r="S1166" i="1"/>
  <c r="AC1112" i="1"/>
  <c r="AC1166" i="1"/>
  <c r="Y1112" i="1"/>
  <c r="Y1166" i="1"/>
  <c r="G1844" i="1"/>
  <c r="Z1112" i="1"/>
  <c r="Z1166" i="1"/>
  <c r="W1112" i="1"/>
  <c r="W1166" i="1"/>
  <c r="N1112" i="1"/>
  <c r="N1166" i="1"/>
  <c r="V1112" i="1"/>
  <c r="V1166" i="1"/>
  <c r="AE1112" i="1"/>
  <c r="AE1166" i="1"/>
  <c r="O1112" i="1"/>
  <c r="O1166" i="1"/>
  <c r="R1112" i="1"/>
  <c r="R1166" i="1"/>
  <c r="Q1112" i="1"/>
  <c r="Q1166" i="1"/>
  <c r="G1181" i="1"/>
  <c r="M1184" i="1"/>
  <c r="T1112" i="1"/>
  <c r="T1166" i="1"/>
  <c r="P1112" i="1"/>
  <c r="P1166" i="1"/>
  <c r="AA1112" i="1"/>
  <c r="AA1166" i="1"/>
  <c r="AD1112" i="1"/>
  <c r="AD1166" i="1"/>
  <c r="U1112" i="1"/>
  <c r="U1166" i="1"/>
  <c r="G1033" i="1" l="1"/>
  <c r="M1112" i="1"/>
  <c r="M1166" i="1"/>
  <c r="G1184" i="1"/>
  <c r="G1166" i="1" l="1"/>
  <c r="M1126" i="1"/>
  <c r="M1118" i="1"/>
  <c r="G1112" i="1"/>
  <c r="M1127" i="1" l="1"/>
  <c r="N1124" i="1" s="1"/>
  <c r="M1119" i="1"/>
  <c r="N1116" i="1" s="1"/>
  <c r="M1110" i="1"/>
  <c r="N1121" i="1" l="1"/>
  <c r="N1118" i="1" s="1"/>
  <c r="N1129" i="1"/>
  <c r="N1126" i="1" s="1"/>
  <c r="M1167" i="1"/>
  <c r="N1110" i="1" l="1"/>
  <c r="N1127" i="1"/>
  <c r="O1124" i="1" s="1"/>
  <c r="M1168" i="1"/>
  <c r="N1119" i="1"/>
  <c r="O1116" i="1" s="1"/>
  <c r="O1129" i="1" l="1"/>
  <c r="O1126" i="1" s="1"/>
  <c r="O1121" i="1"/>
  <c r="O1118" i="1" s="1"/>
  <c r="O1119" i="1" s="1"/>
  <c r="P1116" i="1" s="1"/>
  <c r="M1170" i="1"/>
  <c r="N1167" i="1"/>
  <c r="N1168" i="1" l="1"/>
  <c r="P1121" i="1"/>
  <c r="P1118" i="1" s="1"/>
  <c r="O1110" i="1"/>
  <c r="M1159" i="1"/>
  <c r="M1142" i="1"/>
  <c r="M1148" i="1" s="1"/>
  <c r="O1127" i="1"/>
  <c r="P1124" i="1" s="1"/>
  <c r="M1160" i="1" l="1"/>
  <c r="N1157" i="1" s="1"/>
  <c r="P1119" i="1"/>
  <c r="Q1116" i="1" s="1"/>
  <c r="P1129" i="1"/>
  <c r="P1126" i="1" s="1"/>
  <c r="P1110" i="1" s="1"/>
  <c r="N1170" i="1"/>
  <c r="M1149" i="1"/>
  <c r="N1146" i="1" s="1"/>
  <c r="M1171" i="1"/>
  <c r="M1143" i="1"/>
  <c r="N1140" i="1" s="1"/>
  <c r="O1167" i="1"/>
  <c r="P1167" i="1" l="1"/>
  <c r="P1168" i="1" s="1"/>
  <c r="P1170" i="1" s="1"/>
  <c r="M1172" i="1"/>
  <c r="N1159" i="1"/>
  <c r="Q1121" i="1"/>
  <c r="Q1118" i="1" s="1"/>
  <c r="O1168" i="1"/>
  <c r="N1142" i="1"/>
  <c r="N1148" i="1" s="1"/>
  <c r="N1149" i="1" s="1"/>
  <c r="O1146" i="1" s="1"/>
  <c r="P1127" i="1"/>
  <c r="Q1124" i="1" s="1"/>
  <c r="N1143" i="1" l="1"/>
  <c r="O1140" i="1" s="1"/>
  <c r="N1171" i="1"/>
  <c r="M1020" i="1"/>
  <c r="M1186" i="1"/>
  <c r="M1196" i="1"/>
  <c r="Q1119" i="1"/>
  <c r="R1116" i="1" s="1"/>
  <c r="Q1129" i="1"/>
  <c r="Q1126" i="1" s="1"/>
  <c r="Q1110" i="1" s="1"/>
  <c r="O1170" i="1"/>
  <c r="O1142" i="1" s="1"/>
  <c r="N1160" i="1"/>
  <c r="O1157" i="1" s="1"/>
  <c r="Q1127" i="1" l="1"/>
  <c r="R1124" i="1" s="1"/>
  <c r="R1129" i="1" s="1"/>
  <c r="R1126" i="1" s="1"/>
  <c r="R1127" i="1" s="1"/>
  <c r="S1124" i="1" s="1"/>
  <c r="Q1167" i="1"/>
  <c r="O1159" i="1"/>
  <c r="O1143" i="1"/>
  <c r="P1140" i="1" s="1"/>
  <c r="M1021" i="1"/>
  <c r="M1205" i="1"/>
  <c r="N1172" i="1"/>
  <c r="O1148" i="1"/>
  <c r="R1121" i="1"/>
  <c r="R1118" i="1" s="1"/>
  <c r="R1110" i="1" l="1"/>
  <c r="R1167" i="1" s="1"/>
  <c r="R1168" i="1" s="1"/>
  <c r="R1170" i="1" s="1"/>
  <c r="S1129" i="1"/>
  <c r="S1126" i="1" s="1"/>
  <c r="S1127" i="1" s="1"/>
  <c r="T1124" i="1" s="1"/>
  <c r="R1119" i="1"/>
  <c r="S1116" i="1" s="1"/>
  <c r="P1142" i="1"/>
  <c r="O1171" i="1"/>
  <c r="O1149" i="1"/>
  <c r="P1146" i="1" s="1"/>
  <c r="M1879" i="1"/>
  <c r="N1020" i="1"/>
  <c r="N1186" i="1"/>
  <c r="N1196" i="1"/>
  <c r="M1047" i="1"/>
  <c r="M1041" i="1"/>
  <c r="M1102" i="1"/>
  <c r="O1160" i="1"/>
  <c r="P1157" i="1" s="1"/>
  <c r="Q1168" i="1"/>
  <c r="P1148" i="1" l="1"/>
  <c r="P1149" i="1" s="1"/>
  <c r="Q1146" i="1" s="1"/>
  <c r="T1129" i="1"/>
  <c r="T1126" i="1" s="1"/>
  <c r="T1127" i="1" s="1"/>
  <c r="U1124" i="1" s="1"/>
  <c r="Q1170" i="1"/>
  <c r="P1143" i="1"/>
  <c r="Q1140" i="1" s="1"/>
  <c r="M1083" i="1"/>
  <c r="M1039" i="1" s="1"/>
  <c r="N1205" i="1"/>
  <c r="P1159" i="1"/>
  <c r="P1160" i="1" s="1"/>
  <c r="Q1157" i="1" s="1"/>
  <c r="M1048" i="1"/>
  <c r="N1045" i="1" s="1"/>
  <c r="N1021" i="1"/>
  <c r="O1172" i="1"/>
  <c r="S1121" i="1"/>
  <c r="S1118" i="1" s="1"/>
  <c r="S1110" i="1" s="1"/>
  <c r="S1167" i="1" s="1"/>
  <c r="S1119" i="1" l="1"/>
  <c r="T1116" i="1" s="1"/>
  <c r="T1121" i="1" s="1"/>
  <c r="T1118" i="1" s="1"/>
  <c r="T1110" i="1" s="1"/>
  <c r="T1167" i="1" s="1"/>
  <c r="T1168" i="1" s="1"/>
  <c r="T1170" i="1" s="1"/>
  <c r="Q1159" i="1"/>
  <c r="Q1160" i="1" s="1"/>
  <c r="R1157" i="1" s="1"/>
  <c r="M1084" i="1"/>
  <c r="N1081" i="1" s="1"/>
  <c r="P1171" i="1"/>
  <c r="U1129" i="1"/>
  <c r="U1126" i="1" s="1"/>
  <c r="U1127" i="1" s="1"/>
  <c r="V1124" i="1" s="1"/>
  <c r="M1187" i="1"/>
  <c r="O1020" i="1"/>
  <c r="O1186" i="1"/>
  <c r="O1196" i="1"/>
  <c r="S1168" i="1"/>
  <c r="N1041" i="1"/>
  <c r="N1047" i="1"/>
  <c r="N1102" i="1"/>
  <c r="N1879" i="1"/>
  <c r="Q1142" i="1"/>
  <c r="Q1143" i="1" s="1"/>
  <c r="R1140" i="1" s="1"/>
  <c r="R1142" i="1" l="1"/>
  <c r="R1143" i="1" s="1"/>
  <c r="S1140" i="1" s="1"/>
  <c r="O1205" i="1"/>
  <c r="T1119" i="1"/>
  <c r="U1116" i="1" s="1"/>
  <c r="V1129" i="1"/>
  <c r="V1126" i="1" s="1"/>
  <c r="V1127" i="1" s="1"/>
  <c r="W1124" i="1" s="1"/>
  <c r="N1086" i="1"/>
  <c r="N1083" i="1" s="1"/>
  <c r="N1039" i="1" s="1"/>
  <c r="Q1148" i="1"/>
  <c r="S1170" i="1"/>
  <c r="O1021" i="1"/>
  <c r="N1048" i="1"/>
  <c r="O1045" i="1" s="1"/>
  <c r="R1159" i="1"/>
  <c r="R1160" i="1" s="1"/>
  <c r="S1157" i="1" s="1"/>
  <c r="M1188" i="1"/>
  <c r="P1172" i="1"/>
  <c r="N1187" i="1" l="1"/>
  <c r="S1159" i="1"/>
  <c r="S1160" i="1" s="1"/>
  <c r="T1157" i="1" s="1"/>
  <c r="W1129" i="1"/>
  <c r="W1126" i="1" s="1"/>
  <c r="W1127" i="1" s="1"/>
  <c r="X1124" i="1" s="1"/>
  <c r="N1084" i="1"/>
  <c r="O1081" i="1" s="1"/>
  <c r="P1020" i="1"/>
  <c r="P1186" i="1"/>
  <c r="P1196" i="1"/>
  <c r="M1103" i="1"/>
  <c r="U1121" i="1"/>
  <c r="U1118" i="1" s="1"/>
  <c r="U1110" i="1" s="1"/>
  <c r="U1167" i="1" s="1"/>
  <c r="U1168" i="1" s="1"/>
  <c r="U1170" i="1" s="1"/>
  <c r="O1879" i="1"/>
  <c r="S1142" i="1"/>
  <c r="O1041" i="1"/>
  <c r="O1047" i="1"/>
  <c r="O1102" i="1"/>
  <c r="Q1171" i="1"/>
  <c r="Q1149" i="1"/>
  <c r="R1146" i="1" s="1"/>
  <c r="R1148" i="1" s="1"/>
  <c r="R1171" i="1" s="1"/>
  <c r="R1172" i="1" s="1"/>
  <c r="U1119" i="1" l="1"/>
  <c r="V1116" i="1" s="1"/>
  <c r="V1121" i="1" s="1"/>
  <c r="V1118" i="1" s="1"/>
  <c r="V1110" i="1" s="1"/>
  <c r="V1167" i="1" s="1"/>
  <c r="V1168" i="1" s="1"/>
  <c r="V1170" i="1" s="1"/>
  <c r="X1129" i="1"/>
  <c r="X1126" i="1" s="1"/>
  <c r="X1127" i="1" s="1"/>
  <c r="Y1124" i="1" s="1"/>
  <c r="T1159" i="1"/>
  <c r="T1160" i="1" s="1"/>
  <c r="U1157" i="1" s="1"/>
  <c r="R1020" i="1"/>
  <c r="R1021" i="1" s="1"/>
  <c r="R1186" i="1"/>
  <c r="R1196" i="1"/>
  <c r="S1143" i="1"/>
  <c r="T1140" i="1" s="1"/>
  <c r="M1189" i="1"/>
  <c r="M1104" i="1"/>
  <c r="N1101" i="1" s="1"/>
  <c r="P1205" i="1"/>
  <c r="O1086" i="1"/>
  <c r="O1083" i="1" s="1"/>
  <c r="R1149" i="1"/>
  <c r="S1146" i="1" s="1"/>
  <c r="Q1172" i="1"/>
  <c r="O1048" i="1"/>
  <c r="P1045" i="1" s="1"/>
  <c r="P1021" i="1"/>
  <c r="N1188" i="1"/>
  <c r="O1039" i="1" l="1"/>
  <c r="O1084" i="1"/>
  <c r="P1081" i="1" s="1"/>
  <c r="U1159" i="1"/>
  <c r="U1160" i="1" s="1"/>
  <c r="V1157" i="1" s="1"/>
  <c r="Y1129" i="1"/>
  <c r="Y1126" i="1" s="1"/>
  <c r="Y1127" i="1" s="1"/>
  <c r="Z1124" i="1" s="1"/>
  <c r="R1205" i="1"/>
  <c r="R1879" i="1" s="1"/>
  <c r="N1103" i="1"/>
  <c r="N1104" i="1" s="1"/>
  <c r="O1101" i="1" s="1"/>
  <c r="P1047" i="1"/>
  <c r="P1048" i="1" s="1"/>
  <c r="Q1045" i="1" s="1"/>
  <c r="P1041" i="1"/>
  <c r="P1102" i="1"/>
  <c r="V1119" i="1"/>
  <c r="W1116" i="1" s="1"/>
  <c r="M1190" i="1"/>
  <c r="T1142" i="1"/>
  <c r="T1143" i="1" s="1"/>
  <c r="U1140" i="1" s="1"/>
  <c r="P1879" i="1"/>
  <c r="R1041" i="1"/>
  <c r="R1102" i="1"/>
  <c r="Q1020" i="1"/>
  <c r="Q1186" i="1"/>
  <c r="Q1196" i="1"/>
  <c r="S1148" i="1"/>
  <c r="S1171" i="1" s="1"/>
  <c r="S1172" i="1" s="1"/>
  <c r="V1159" i="1" l="1"/>
  <c r="V1160" i="1" s="1"/>
  <c r="W1157" i="1" s="1"/>
  <c r="Z1129" i="1"/>
  <c r="Z1126" i="1" s="1"/>
  <c r="Z1127" i="1" s="1"/>
  <c r="AA1124" i="1" s="1"/>
  <c r="S1020" i="1"/>
  <c r="S1021" i="1" s="1"/>
  <c r="S1186" i="1"/>
  <c r="S1196" i="1"/>
  <c r="U1142" i="1"/>
  <c r="Q1205" i="1"/>
  <c r="S1149" i="1"/>
  <c r="T1146" i="1" s="1"/>
  <c r="T1148" i="1" s="1"/>
  <c r="T1171" i="1" s="1"/>
  <c r="T1172" i="1" s="1"/>
  <c r="M1192" i="1"/>
  <c r="N1189" i="1"/>
  <c r="P1086" i="1"/>
  <c r="P1083" i="1" s="1"/>
  <c r="O1187" i="1"/>
  <c r="Q1021" i="1"/>
  <c r="W1121" i="1"/>
  <c r="W1118" i="1" s="1"/>
  <c r="W1110" i="1" s="1"/>
  <c r="W1167" i="1" s="1"/>
  <c r="W1168" i="1" s="1"/>
  <c r="W1170" i="1" s="1"/>
  <c r="P1039" i="1" l="1"/>
  <c r="P1187" i="1" s="1"/>
  <c r="P1188" i="1" s="1"/>
  <c r="P1084" i="1"/>
  <c r="Q1081" i="1" s="1"/>
  <c r="Q1086" i="1" s="1"/>
  <c r="AA1129" i="1"/>
  <c r="AA1126" i="1" s="1"/>
  <c r="AA1127" i="1" s="1"/>
  <c r="AB1124" i="1" s="1"/>
  <c r="W1159" i="1"/>
  <c r="W1160" i="1" s="1"/>
  <c r="X1157" i="1" s="1"/>
  <c r="O1188" i="1"/>
  <c r="Q1879" i="1"/>
  <c r="S1205" i="1"/>
  <c r="S1879" i="1" s="1"/>
  <c r="T1020" i="1"/>
  <c r="T1021" i="1" s="1"/>
  <c r="T1186" i="1"/>
  <c r="T1196" i="1"/>
  <c r="T1149" i="1"/>
  <c r="U1146" i="1" s="1"/>
  <c r="U1148" i="1" s="1"/>
  <c r="U1171" i="1" s="1"/>
  <c r="U1172" i="1" s="1"/>
  <c r="N1190" i="1"/>
  <c r="U1143" i="1"/>
  <c r="V1140" i="1" s="1"/>
  <c r="S1041" i="1"/>
  <c r="S1102" i="1"/>
  <c r="W1119" i="1"/>
  <c r="X1116" i="1" s="1"/>
  <c r="Q1047" i="1"/>
  <c r="Q1041" i="1"/>
  <c r="Q1102" i="1"/>
  <c r="M1094" i="1"/>
  <c r="AB1129" i="1" l="1"/>
  <c r="AB1126" i="1" s="1"/>
  <c r="AB1127" i="1" s="1"/>
  <c r="AC1124" i="1" s="1"/>
  <c r="Q1083" i="1"/>
  <c r="Q1084" i="1" s="1"/>
  <c r="R1081" i="1" s="1"/>
  <c r="T1205" i="1"/>
  <c r="T1879" i="1" s="1"/>
  <c r="M1095" i="1"/>
  <c r="N1092" i="1" s="1"/>
  <c r="M1193" i="1"/>
  <c r="Q1048" i="1"/>
  <c r="R1045" i="1" s="1"/>
  <c r="N1192" i="1"/>
  <c r="X1121" i="1"/>
  <c r="X1118" i="1" s="1"/>
  <c r="X1110" i="1" s="1"/>
  <c r="X1167" i="1" s="1"/>
  <c r="X1168" i="1" s="1"/>
  <c r="X1170" i="1" s="1"/>
  <c r="U1020" i="1"/>
  <c r="U1021" i="1" s="1"/>
  <c r="U1186" i="1"/>
  <c r="U1196" i="1"/>
  <c r="T1041" i="1"/>
  <c r="T1102" i="1"/>
  <c r="O1103" i="1"/>
  <c r="V1142" i="1"/>
  <c r="V1143" i="1" s="1"/>
  <c r="W1140" i="1" s="1"/>
  <c r="U1149" i="1"/>
  <c r="V1146" i="1" s="1"/>
  <c r="Q1039" i="1" l="1"/>
  <c r="Q1187" i="1" s="1"/>
  <c r="U1205" i="1"/>
  <c r="U1879" i="1" s="1"/>
  <c r="X1119" i="1"/>
  <c r="Y1116" i="1" s="1"/>
  <c r="M1194" i="1"/>
  <c r="AC1129" i="1"/>
  <c r="AC1126" i="1" s="1"/>
  <c r="AC1127" i="1" s="1"/>
  <c r="AD1124" i="1" s="1"/>
  <c r="N1094" i="1"/>
  <c r="N1095" i="1" s="1"/>
  <c r="O1092" i="1" s="1"/>
  <c r="W1142" i="1"/>
  <c r="W1143" i="1" s="1"/>
  <c r="X1140" i="1" s="1"/>
  <c r="U1041" i="1"/>
  <c r="U1102" i="1"/>
  <c r="X1159" i="1"/>
  <c r="X1160" i="1" s="1"/>
  <c r="Y1157" i="1" s="1"/>
  <c r="R1047" i="1"/>
  <c r="O1189" i="1"/>
  <c r="O1104" i="1"/>
  <c r="P1101" i="1" s="1"/>
  <c r="V1148" i="1"/>
  <c r="V1171" i="1" s="1"/>
  <c r="V1172" i="1" s="1"/>
  <c r="R1086" i="1"/>
  <c r="R1083" i="1" s="1"/>
  <c r="R1084" i="1" s="1"/>
  <c r="S1081" i="1" s="1"/>
  <c r="R1039" i="1" l="1"/>
  <c r="R1187" i="1" s="1"/>
  <c r="R1188" i="1" s="1"/>
  <c r="S1086" i="1"/>
  <c r="S1083" i="1" s="1"/>
  <c r="S1084" i="1" s="1"/>
  <c r="T1081" i="1" s="1"/>
  <c r="AD1129" i="1"/>
  <c r="AD1126" i="1" s="1"/>
  <c r="AD1127" i="1" s="1"/>
  <c r="AE1124" i="1" s="1"/>
  <c r="X1142" i="1"/>
  <c r="R1048" i="1"/>
  <c r="S1045" i="1" s="1"/>
  <c r="M1204" i="1"/>
  <c r="M1198" i="1"/>
  <c r="Y1121" i="1"/>
  <c r="Y1118" i="1" s="1"/>
  <c r="Y1110" i="1" s="1"/>
  <c r="Y1167" i="1" s="1"/>
  <c r="Y1168" i="1" s="1"/>
  <c r="Y1170" i="1" s="1"/>
  <c r="Y1159" i="1" s="1"/>
  <c r="Y1160" i="1" s="1"/>
  <c r="Z1157" i="1" s="1"/>
  <c r="Q1188" i="1"/>
  <c r="P1103" i="1"/>
  <c r="P1104" i="1" s="1"/>
  <c r="Q1101" i="1" s="1"/>
  <c r="V1020" i="1"/>
  <c r="V1021" i="1" s="1"/>
  <c r="V1186" i="1"/>
  <c r="V1196" i="1"/>
  <c r="O1190" i="1"/>
  <c r="V1149" i="1"/>
  <c r="W1146" i="1" s="1"/>
  <c r="W1148" i="1" s="1"/>
  <c r="W1171" i="1" s="1"/>
  <c r="W1172" i="1" s="1"/>
  <c r="N1193" i="1"/>
  <c r="Y1119" i="1" l="1"/>
  <c r="Z1116" i="1" s="1"/>
  <c r="Z1121" i="1" s="1"/>
  <c r="Z1118" i="1" s="1"/>
  <c r="Z1110" i="1" s="1"/>
  <c r="Z1167" i="1" s="1"/>
  <c r="Z1168" i="1" s="1"/>
  <c r="Z1170" i="1" s="1"/>
  <c r="W1020" i="1"/>
  <c r="W1021" i="1" s="1"/>
  <c r="W1186" i="1"/>
  <c r="W1196" i="1"/>
  <c r="Q1103" i="1"/>
  <c r="Q1189" i="1" s="1"/>
  <c r="Q1190" i="1" s="1"/>
  <c r="Q1192" i="1" s="1"/>
  <c r="AE1129" i="1"/>
  <c r="AE1126" i="1" s="1"/>
  <c r="G1126" i="1" s="1"/>
  <c r="T1086" i="1"/>
  <c r="T1083" i="1" s="1"/>
  <c r="T1084" i="1" s="1"/>
  <c r="U1081" i="1" s="1"/>
  <c r="N1194" i="1"/>
  <c r="M1207" i="1"/>
  <c r="M1878" i="1"/>
  <c r="P1189" i="1"/>
  <c r="S1047" i="1"/>
  <c r="S1039" i="1" s="1"/>
  <c r="S1187" i="1" s="1"/>
  <c r="V1205" i="1"/>
  <c r="V1879" i="1" s="1"/>
  <c r="W1149" i="1"/>
  <c r="X1146" i="1" s="1"/>
  <c r="X1148" i="1" s="1"/>
  <c r="X1171" i="1" s="1"/>
  <c r="X1172" i="1" s="1"/>
  <c r="O1192" i="1"/>
  <c r="V1041" i="1"/>
  <c r="V1102" i="1"/>
  <c r="X1143" i="1"/>
  <c r="Y1140" i="1" s="1"/>
  <c r="Q1104" i="1" l="1"/>
  <c r="R1101" i="1" s="1"/>
  <c r="U1086" i="1"/>
  <c r="U1083" i="1" s="1"/>
  <c r="U1084" i="1" s="1"/>
  <c r="V1081" i="1" s="1"/>
  <c r="N1204" i="1"/>
  <c r="N1198" i="1"/>
  <c r="X1149" i="1"/>
  <c r="Y1146" i="1" s="1"/>
  <c r="M1881" i="1"/>
  <c r="W1205" i="1"/>
  <c r="W1879" i="1" s="1"/>
  <c r="S1188" i="1"/>
  <c r="R1103" i="1"/>
  <c r="S1048" i="1"/>
  <c r="T1045" i="1" s="1"/>
  <c r="M1217" i="1"/>
  <c r="AE1127" i="1"/>
  <c r="X1020" i="1"/>
  <c r="X1021" i="1" s="1"/>
  <c r="X1186" i="1"/>
  <c r="X1196" i="1"/>
  <c r="Y1142" i="1"/>
  <c r="O1094" i="1"/>
  <c r="P1190" i="1"/>
  <c r="Z1119" i="1"/>
  <c r="AA1116" i="1" s="1"/>
  <c r="Z1159" i="1"/>
  <c r="Z1160" i="1" s="1"/>
  <c r="AA1157" i="1" s="1"/>
  <c r="W1041" i="1"/>
  <c r="W1102" i="1"/>
  <c r="Y1148" i="1" l="1"/>
  <c r="Y1171" i="1" s="1"/>
  <c r="Y1172" i="1" s="1"/>
  <c r="Y1196" i="1" s="1"/>
  <c r="M1887" i="1"/>
  <c r="O1193" i="1"/>
  <c r="O1095" i="1"/>
  <c r="P1092" i="1" s="1"/>
  <c r="X1205" i="1"/>
  <c r="X1879" i="1" s="1"/>
  <c r="T1047" i="1"/>
  <c r="T1039" i="1" s="1"/>
  <c r="T1187" i="1" s="1"/>
  <c r="T1188" i="1" s="1"/>
  <c r="N1207" i="1"/>
  <c r="N1878" i="1"/>
  <c r="R1189" i="1"/>
  <c r="V1086" i="1"/>
  <c r="V1083" i="1" s="1"/>
  <c r="V1084" i="1" s="1"/>
  <c r="W1081" i="1" s="1"/>
  <c r="AA1121" i="1"/>
  <c r="AA1118" i="1" s="1"/>
  <c r="AA1110" i="1" s="1"/>
  <c r="AA1167" i="1" s="1"/>
  <c r="AA1168" i="1" s="1"/>
  <c r="AA1170" i="1" s="1"/>
  <c r="H13" i="4"/>
  <c r="H13" i="49" s="1"/>
  <c r="M1218" i="1"/>
  <c r="M1357" i="1"/>
  <c r="M1379" i="1"/>
  <c r="P1192" i="1"/>
  <c r="Y1143" i="1"/>
  <c r="Z1140" i="1" s="1"/>
  <c r="X1041" i="1"/>
  <c r="X1102" i="1"/>
  <c r="R1104" i="1"/>
  <c r="S1101" i="1" s="1"/>
  <c r="Y1020" i="1" l="1"/>
  <c r="Y1021" i="1" s="1"/>
  <c r="Y1041" i="1" s="1"/>
  <c r="Y1149" i="1"/>
  <c r="Z1146" i="1" s="1"/>
  <c r="Y1186" i="1"/>
  <c r="AA1119" i="1"/>
  <c r="AB1116" i="1" s="1"/>
  <c r="AB1121" i="1" s="1"/>
  <c r="AB1118" i="1" s="1"/>
  <c r="AB1110" i="1" s="1"/>
  <c r="AB1167" i="1" s="1"/>
  <c r="AB1168" i="1" s="1"/>
  <c r="AB1170" i="1" s="1"/>
  <c r="W1086" i="1"/>
  <c r="W1083" i="1" s="1"/>
  <c r="W1084" i="1" s="1"/>
  <c r="X1081" i="1" s="1"/>
  <c r="Y1205" i="1"/>
  <c r="Y1879" i="1" s="1"/>
  <c r="O1194" i="1"/>
  <c r="M1888" i="1"/>
  <c r="H14" i="4"/>
  <c r="H14" i="49" s="1"/>
  <c r="M1221" i="1"/>
  <c r="S1103" i="1"/>
  <c r="S1189" i="1" s="1"/>
  <c r="S1190" i="1" s="1"/>
  <c r="S1192" i="1" s="1"/>
  <c r="Z1142" i="1"/>
  <c r="M1382" i="1"/>
  <c r="M1402" i="1"/>
  <c r="N1881" i="1"/>
  <c r="R1190" i="1"/>
  <c r="AA1159" i="1"/>
  <c r="AA1160" i="1" s="1"/>
  <c r="AB1157" i="1" s="1"/>
  <c r="N1217" i="1"/>
  <c r="T1048" i="1"/>
  <c r="U1045" i="1" s="1"/>
  <c r="P1094" i="1"/>
  <c r="P1095" i="1" s="1"/>
  <c r="Q1092" i="1" s="1"/>
  <c r="Y1102" i="1" l="1"/>
  <c r="Z1148" i="1"/>
  <c r="Z1171" i="1" s="1"/>
  <c r="Z1172" i="1" s="1"/>
  <c r="Z1186" i="1" s="1"/>
  <c r="X1086" i="1"/>
  <c r="X1083" i="1" s="1"/>
  <c r="X1084" i="1" s="1"/>
  <c r="Y1081" i="1" s="1"/>
  <c r="U1047" i="1"/>
  <c r="U1039" i="1" s="1"/>
  <c r="U1187" i="1" s="1"/>
  <c r="U1188" i="1" s="1"/>
  <c r="R1192" i="1"/>
  <c r="M1386" i="1"/>
  <c r="M1392" i="1"/>
  <c r="M1476" i="1"/>
  <c r="M1490" i="1"/>
  <c r="M1548" i="1"/>
  <c r="M1550" i="1" s="1"/>
  <c r="M1557" i="1" s="1"/>
  <c r="M1477" i="1"/>
  <c r="M1478" i="1"/>
  <c r="H17" i="4"/>
  <c r="H17" i="49" s="1"/>
  <c r="N1887" i="1"/>
  <c r="Q1094" i="1"/>
  <c r="Q1193" i="1" s="1"/>
  <c r="Q1194" i="1" s="1"/>
  <c r="I13" i="4"/>
  <c r="I13" i="49" s="1"/>
  <c r="N1218" i="1"/>
  <c r="N1357" i="1"/>
  <c r="N1379" i="1"/>
  <c r="S1104" i="1"/>
  <c r="T1101" i="1" s="1"/>
  <c r="P1193" i="1"/>
  <c r="AB1159" i="1"/>
  <c r="AB1160" i="1" s="1"/>
  <c r="AC1157" i="1" s="1"/>
  <c r="Z1143" i="1"/>
  <c r="AA1140" i="1" s="1"/>
  <c r="AB1119" i="1"/>
  <c r="AC1116" i="1" s="1"/>
  <c r="O1204" i="1"/>
  <c r="O1198" i="1"/>
  <c r="Z1149" i="1" l="1"/>
  <c r="AA1146" i="1" s="1"/>
  <c r="Z1196" i="1"/>
  <c r="Z1020" i="1"/>
  <c r="Z1021" i="1" s="1"/>
  <c r="Z1041" i="1" s="1"/>
  <c r="Y1086" i="1"/>
  <c r="Y1083" i="1" s="1"/>
  <c r="Y1084" i="1" s="1"/>
  <c r="Z1081" i="1" s="1"/>
  <c r="AA1142" i="1"/>
  <c r="AA1148" i="1" s="1"/>
  <c r="AA1171" i="1" s="1"/>
  <c r="AA1172" i="1" s="1"/>
  <c r="I14" i="4"/>
  <c r="I14" i="49" s="1"/>
  <c r="N1221" i="1"/>
  <c r="M1224" i="1"/>
  <c r="M1558" i="1"/>
  <c r="M1410" i="1"/>
  <c r="M1491" i="1"/>
  <c r="M1551" i="1" s="1"/>
  <c r="P1194" i="1"/>
  <c r="N1888" i="1"/>
  <c r="O1207" i="1"/>
  <c r="O1878" i="1"/>
  <c r="N1402" i="1"/>
  <c r="N1382" i="1"/>
  <c r="Q1204" i="1"/>
  <c r="Q1198" i="1"/>
  <c r="AC1121" i="1"/>
  <c r="AC1118" i="1" s="1"/>
  <c r="AC1110" i="1" s="1"/>
  <c r="AC1167" i="1" s="1"/>
  <c r="AC1168" i="1" s="1"/>
  <c r="AC1170" i="1" s="1"/>
  <c r="T1103" i="1"/>
  <c r="T1189" i="1" s="1"/>
  <c r="T1190" i="1" s="1"/>
  <c r="T1192" i="1" s="1"/>
  <c r="Q1095" i="1"/>
  <c r="R1092" i="1" s="1"/>
  <c r="U1048" i="1"/>
  <c r="V1045" i="1" s="1"/>
  <c r="Z1205" i="1"/>
  <c r="Z1879" i="1" s="1"/>
  <c r="Z1102" i="1" l="1"/>
  <c r="M1492" i="1"/>
  <c r="AA1149" i="1"/>
  <c r="AB1146" i="1" s="1"/>
  <c r="Z1086" i="1"/>
  <c r="Z1083" i="1" s="1"/>
  <c r="Z1084" i="1" s="1"/>
  <c r="AA1081" i="1" s="1"/>
  <c r="R1094" i="1"/>
  <c r="R1193" i="1" s="1"/>
  <c r="AC1119" i="1"/>
  <c r="AD1116" i="1" s="1"/>
  <c r="N1478" i="1"/>
  <c r="N1392" i="1"/>
  <c r="N1476" i="1"/>
  <c r="N1490" i="1"/>
  <c r="N1548" i="1"/>
  <c r="N1550" i="1" s="1"/>
  <c r="N1477" i="1"/>
  <c r="N1386" i="1"/>
  <c r="O1217" i="1"/>
  <c r="H20" i="4"/>
  <c r="H20" i="49" s="1"/>
  <c r="I17" i="4"/>
  <c r="I17" i="49" s="1"/>
  <c r="V1047" i="1"/>
  <c r="V1039" i="1" s="1"/>
  <c r="V1187" i="1" s="1"/>
  <c r="V1188" i="1" s="1"/>
  <c r="T1104" i="1"/>
  <c r="U1101" i="1" s="1"/>
  <c r="P1204" i="1"/>
  <c r="P1198" i="1"/>
  <c r="Q1207" i="1"/>
  <c r="Q1217" i="1" s="1"/>
  <c r="Q1878" i="1"/>
  <c r="Q1881" i="1" s="1"/>
  <c r="Q1887" i="1" s="1"/>
  <c r="Q1888" i="1" s="1"/>
  <c r="M1306" i="1"/>
  <c r="M1563" i="1"/>
  <c r="M1429" i="1"/>
  <c r="N1555" i="1"/>
  <c r="AA1020" i="1"/>
  <c r="AA1021" i="1" s="1"/>
  <c r="AA1186" i="1"/>
  <c r="AA1196" i="1"/>
  <c r="O1881" i="1"/>
  <c r="AA1143" i="1"/>
  <c r="AB1140" i="1" s="1"/>
  <c r="AC1159" i="1"/>
  <c r="AC1160" i="1" s="1"/>
  <c r="AD1157" i="1" s="1"/>
  <c r="AA1086" i="1" l="1"/>
  <c r="AA1205" i="1"/>
  <c r="AA1879" i="1" s="1"/>
  <c r="M1430" i="1"/>
  <c r="R1194" i="1"/>
  <c r="Q1218" i="1"/>
  <c r="Q1221" i="1" s="1"/>
  <c r="Q1357" i="1"/>
  <c r="Q1379" i="1"/>
  <c r="U1103" i="1"/>
  <c r="U1189" i="1" s="1"/>
  <c r="U1190" i="1" s="1"/>
  <c r="U1192" i="1" s="1"/>
  <c r="N1557" i="1"/>
  <c r="R1095" i="1"/>
  <c r="S1092" i="1" s="1"/>
  <c r="AB1142" i="1"/>
  <c r="AB1148" i="1" s="1"/>
  <c r="AA1041" i="1"/>
  <c r="AA1102" i="1"/>
  <c r="H80" i="4"/>
  <c r="H80" i="49" s="1"/>
  <c r="P1207" i="1"/>
  <c r="P1878" i="1"/>
  <c r="J13" i="4"/>
  <c r="J13" i="49" s="1"/>
  <c r="O1218" i="1"/>
  <c r="O1357" i="1"/>
  <c r="O1379" i="1"/>
  <c r="AD1121" i="1"/>
  <c r="AD1118" i="1" s="1"/>
  <c r="AD1110" i="1" s="1"/>
  <c r="AD1167" i="1" s="1"/>
  <c r="AD1168" i="1" s="1"/>
  <c r="AD1170" i="1" s="1"/>
  <c r="O1887" i="1"/>
  <c r="M1571" i="1"/>
  <c r="M1577" i="1"/>
  <c r="N1558" i="1"/>
  <c r="N1563" i="1" s="1"/>
  <c r="N1566" i="1"/>
  <c r="V1048" i="1"/>
  <c r="W1045" i="1" s="1"/>
  <c r="AA1083" i="1" l="1"/>
  <c r="AA1084" i="1" s="1"/>
  <c r="AB1081" i="1" s="1"/>
  <c r="AB1086" i="1" s="1"/>
  <c r="U1104" i="1"/>
  <c r="V1101" i="1" s="1"/>
  <c r="V1103" i="1" s="1"/>
  <c r="V1189" i="1" s="1"/>
  <c r="V1190" i="1" s="1"/>
  <c r="V1192" i="1" s="1"/>
  <c r="AB1143" i="1"/>
  <c r="AC1140" i="1" s="1"/>
  <c r="AC1142" i="1" s="1"/>
  <c r="J14" i="4"/>
  <c r="J14" i="49" s="1"/>
  <c r="O1221" i="1"/>
  <c r="P1881" i="1"/>
  <c r="S1094" i="1"/>
  <c r="S1193" i="1" s="1"/>
  <c r="S1194" i="1" s="1"/>
  <c r="N1306" i="1"/>
  <c r="N1429" i="1"/>
  <c r="O1555" i="1"/>
  <c r="P1217" i="1"/>
  <c r="N1224" i="1"/>
  <c r="N1410" i="1"/>
  <c r="N1491" i="1"/>
  <c r="Q1382" i="1"/>
  <c r="Q1402" i="1"/>
  <c r="R1204" i="1"/>
  <c r="R1198" i="1"/>
  <c r="O1402" i="1"/>
  <c r="O1382" i="1"/>
  <c r="AD1159" i="1"/>
  <c r="AD1160" i="1" s="1"/>
  <c r="AE1157" i="1" s="1"/>
  <c r="O1888" i="1"/>
  <c r="W1047" i="1"/>
  <c r="W1039" i="1" s="1"/>
  <c r="W1187" i="1" s="1"/>
  <c r="W1188" i="1" s="1"/>
  <c r="N1568" i="1"/>
  <c r="N1569" i="1" s="1"/>
  <c r="M1225" i="1"/>
  <c r="M1412" i="1"/>
  <c r="M1573" i="1"/>
  <c r="AD1119" i="1"/>
  <c r="AE1116" i="1" s="1"/>
  <c r="AB1171" i="1"/>
  <c r="AB1172" i="1" s="1"/>
  <c r="AB1149" i="1"/>
  <c r="AC1146" i="1" s="1"/>
  <c r="S1095" i="1" l="1"/>
  <c r="T1092" i="1" s="1"/>
  <c r="T1094" i="1" s="1"/>
  <c r="T1193" i="1" s="1"/>
  <c r="T1194" i="1" s="1"/>
  <c r="N1571" i="1"/>
  <c r="N1577" i="1"/>
  <c r="AB1020" i="1"/>
  <c r="AB1021" i="1" s="1"/>
  <c r="AB1186" i="1"/>
  <c r="AB1196" i="1"/>
  <c r="R1207" i="1"/>
  <c r="R1878" i="1"/>
  <c r="I80" i="4"/>
  <c r="I80" i="49" s="1"/>
  <c r="M1420" i="1"/>
  <c r="N1551" i="1"/>
  <c r="N1492" i="1"/>
  <c r="P1218" i="1"/>
  <c r="P1357" i="1"/>
  <c r="P1379" i="1"/>
  <c r="AC1148" i="1"/>
  <c r="AC1171" i="1" s="1"/>
  <c r="AC1172" i="1" s="1"/>
  <c r="P1887" i="1"/>
  <c r="W1048" i="1"/>
  <c r="X1045" i="1" s="1"/>
  <c r="O1477" i="1"/>
  <c r="O1478" i="1"/>
  <c r="O1392" i="1"/>
  <c r="O1476" i="1"/>
  <c r="O1548" i="1"/>
  <c r="O1550" i="1" s="1"/>
  <c r="O1557" i="1" s="1"/>
  <c r="O1558" i="1" s="1"/>
  <c r="O1563" i="1" s="1"/>
  <c r="O1490" i="1"/>
  <c r="O1386" i="1"/>
  <c r="Q1392" i="1"/>
  <c r="Q1476" i="1"/>
  <c r="Q1490" i="1"/>
  <c r="Q1548" i="1"/>
  <c r="Q1550" i="1" s="1"/>
  <c r="Q1477" i="1"/>
  <c r="Q1478" i="1"/>
  <c r="O1566" i="1"/>
  <c r="V1104" i="1"/>
  <c r="W1101" i="1" s="1"/>
  <c r="AC1143" i="1"/>
  <c r="AD1140" i="1" s="1"/>
  <c r="AE1121" i="1"/>
  <c r="AE1118" i="1" s="1"/>
  <c r="AE1119" i="1" s="1"/>
  <c r="H21" i="4"/>
  <c r="H21" i="49" s="1"/>
  <c r="I20" i="4"/>
  <c r="I20" i="49" s="1"/>
  <c r="N1430" i="1"/>
  <c r="S1204" i="1"/>
  <c r="S1198" i="1"/>
  <c r="J17" i="4"/>
  <c r="J17" i="49" s="1"/>
  <c r="AC1149" i="1" l="1"/>
  <c r="AD1146" i="1" s="1"/>
  <c r="T1095" i="1"/>
  <c r="U1092" i="1" s="1"/>
  <c r="U1094" i="1" s="1"/>
  <c r="U1193" i="1" s="1"/>
  <c r="U1194" i="1" s="1"/>
  <c r="AB1041" i="1"/>
  <c r="AB1083" i="1" s="1"/>
  <c r="AB1084" i="1" s="1"/>
  <c r="AC1081" i="1" s="1"/>
  <c r="AB1102" i="1"/>
  <c r="AE1110" i="1"/>
  <c r="G1118" i="1"/>
  <c r="O1224" i="1"/>
  <c r="O1410" i="1"/>
  <c r="O1491" i="1"/>
  <c r="O1551" i="1" s="1"/>
  <c r="P1888" i="1"/>
  <c r="P1382" i="1"/>
  <c r="P1402" i="1"/>
  <c r="O1306" i="1"/>
  <c r="O1429" i="1"/>
  <c r="P1555" i="1"/>
  <c r="X1047" i="1"/>
  <c r="X1039" i="1" s="1"/>
  <c r="X1187" i="1" s="1"/>
  <c r="X1188" i="1" s="1"/>
  <c r="AC1020" i="1"/>
  <c r="AC1021" i="1" s="1"/>
  <c r="AC1186" i="1"/>
  <c r="AC1196" i="1"/>
  <c r="T1204" i="1"/>
  <c r="T1198" i="1"/>
  <c r="R1881" i="1"/>
  <c r="AB1205" i="1"/>
  <c r="AB1879" i="1" s="1"/>
  <c r="N1225" i="1"/>
  <c r="N1412" i="1"/>
  <c r="N1573" i="1"/>
  <c r="W1103" i="1"/>
  <c r="W1189" i="1" s="1"/>
  <c r="W1190" i="1" s="1"/>
  <c r="W1192" i="1" s="1"/>
  <c r="S1207" i="1"/>
  <c r="S1217" i="1" s="1"/>
  <c r="S1878" i="1"/>
  <c r="S1881" i="1" s="1"/>
  <c r="S1887" i="1" s="1"/>
  <c r="S1888" i="1" s="1"/>
  <c r="AD1142" i="1"/>
  <c r="O1568" i="1"/>
  <c r="O1569" i="1" s="1"/>
  <c r="P1221" i="1"/>
  <c r="M1424" i="1"/>
  <c r="M1433" i="1"/>
  <c r="R1217" i="1"/>
  <c r="AD1148" i="1" l="1"/>
  <c r="AD1171" i="1" s="1"/>
  <c r="AD1172" i="1" s="1"/>
  <c r="AD1186" i="1" s="1"/>
  <c r="U1095" i="1"/>
  <c r="V1092" i="1" s="1"/>
  <c r="AD1143" i="1"/>
  <c r="AE1140" i="1" s="1"/>
  <c r="S1218" i="1"/>
  <c r="S1221" i="1" s="1"/>
  <c r="S1357" i="1"/>
  <c r="S1379" i="1"/>
  <c r="J80" i="4"/>
  <c r="J80" i="49" s="1"/>
  <c r="N1420" i="1"/>
  <c r="AC1205" i="1"/>
  <c r="AC1879" i="1" s="1"/>
  <c r="X1048" i="1"/>
  <c r="Y1045" i="1" s="1"/>
  <c r="AE1167" i="1"/>
  <c r="G1110" i="1"/>
  <c r="O1492" i="1"/>
  <c r="T1207" i="1"/>
  <c r="T1217" i="1" s="1"/>
  <c r="T1878" i="1"/>
  <c r="T1881" i="1" s="1"/>
  <c r="T1887" i="1" s="1"/>
  <c r="T1888" i="1" s="1"/>
  <c r="P1392" i="1"/>
  <c r="P1476" i="1"/>
  <c r="P1477" i="1"/>
  <c r="P1478" i="1"/>
  <c r="P1490" i="1"/>
  <c r="P1548" i="1"/>
  <c r="P1550" i="1" s="1"/>
  <c r="P1557" i="1" s="1"/>
  <c r="P1558" i="1" s="1"/>
  <c r="P1563" i="1" s="1"/>
  <c r="P1386" i="1"/>
  <c r="Q1386" i="1"/>
  <c r="AC1086" i="1"/>
  <c r="W1104" i="1"/>
  <c r="X1101" i="1" s="1"/>
  <c r="I21" i="4"/>
  <c r="I21" i="49" s="1"/>
  <c r="R1887" i="1"/>
  <c r="P1566" i="1"/>
  <c r="O1577" i="1"/>
  <c r="V1094" i="1"/>
  <c r="V1193" i="1" s="1"/>
  <c r="V1194" i="1" s="1"/>
  <c r="R1218" i="1"/>
  <c r="R1357" i="1"/>
  <c r="R1379" i="1"/>
  <c r="AC1041" i="1"/>
  <c r="AC1102" i="1"/>
  <c r="O1430" i="1"/>
  <c r="U1204" i="1"/>
  <c r="U1198" i="1"/>
  <c r="J20" i="4"/>
  <c r="J20" i="49" s="1"/>
  <c r="O1571" i="1"/>
  <c r="AD1196" i="1" l="1"/>
  <c r="AD1020" i="1"/>
  <c r="AD1021" i="1" s="1"/>
  <c r="AD1041" i="1" s="1"/>
  <c r="AD1149" i="1"/>
  <c r="AE1146" i="1" s="1"/>
  <c r="AC1083" i="1"/>
  <c r="AC1084" i="1" s="1"/>
  <c r="AD1081" i="1" s="1"/>
  <c r="AD1086" i="1" s="1"/>
  <c r="R1888" i="1"/>
  <c r="U1207" i="1"/>
  <c r="U1217" i="1" s="1"/>
  <c r="U1878" i="1"/>
  <c r="U1881" i="1" s="1"/>
  <c r="U1887" i="1" s="1"/>
  <c r="U1888" i="1" s="1"/>
  <c r="R1402" i="1"/>
  <c r="R1382" i="1"/>
  <c r="P1568" i="1"/>
  <c r="P1569" i="1" s="1"/>
  <c r="X1103" i="1"/>
  <c r="X1189" i="1" s="1"/>
  <c r="X1190" i="1" s="1"/>
  <c r="X1192" i="1" s="1"/>
  <c r="AE1168" i="1"/>
  <c r="G1167" i="1"/>
  <c r="AD1205" i="1"/>
  <c r="AD1879" i="1" s="1"/>
  <c r="T1218" i="1"/>
  <c r="T1221" i="1" s="1"/>
  <c r="T1357" i="1"/>
  <c r="T1379" i="1"/>
  <c r="O1225" i="1"/>
  <c r="O1412" i="1"/>
  <c r="O1573" i="1"/>
  <c r="V1204" i="1"/>
  <c r="V1198" i="1"/>
  <c r="R1221" i="1"/>
  <c r="V1095" i="1"/>
  <c r="W1092" i="1" s="1"/>
  <c r="P1306" i="1"/>
  <c r="P1429" i="1"/>
  <c r="Q1555" i="1"/>
  <c r="P1224" i="1"/>
  <c r="P1410" i="1"/>
  <c r="P1491" i="1"/>
  <c r="P1551" i="1" s="1"/>
  <c r="Y1047" i="1"/>
  <c r="Y1039" i="1" s="1"/>
  <c r="Y1187" i="1" s="1"/>
  <c r="Y1188" i="1" s="1"/>
  <c r="N1424" i="1"/>
  <c r="N1433" i="1"/>
  <c r="S1402" i="1"/>
  <c r="S1382" i="1"/>
  <c r="AD1102" i="1" l="1"/>
  <c r="Y1048" i="1"/>
  <c r="Z1045" i="1" s="1"/>
  <c r="Z1047" i="1" s="1"/>
  <c r="Z1039" i="1" s="1"/>
  <c r="Z1187" i="1" s="1"/>
  <c r="Z1188" i="1" s="1"/>
  <c r="P1571" i="1"/>
  <c r="P1577" i="1"/>
  <c r="P1430" i="1"/>
  <c r="O1420" i="1"/>
  <c r="AE1170" i="1"/>
  <c r="G1168" i="1"/>
  <c r="AD1083" i="1"/>
  <c r="AD1084" i="1" s="1"/>
  <c r="AE1081" i="1" s="1"/>
  <c r="W1094" i="1"/>
  <c r="W1193" i="1" s="1"/>
  <c r="W1194" i="1" s="1"/>
  <c r="V1207" i="1"/>
  <c r="V1217" i="1" s="1"/>
  <c r="V1878" i="1"/>
  <c r="V1881" i="1" s="1"/>
  <c r="V1887" i="1" s="1"/>
  <c r="V1888" i="1" s="1"/>
  <c r="J21" i="4"/>
  <c r="J21" i="49" s="1"/>
  <c r="X1104" i="1"/>
  <c r="Y1101" i="1" s="1"/>
  <c r="R1478" i="1"/>
  <c r="R1392" i="1"/>
  <c r="R1476" i="1"/>
  <c r="R1490" i="1"/>
  <c r="R1548" i="1"/>
  <c r="R1550" i="1" s="1"/>
  <c r="R1477" i="1"/>
  <c r="S1386" i="1"/>
  <c r="R1386" i="1"/>
  <c r="U1218" i="1"/>
  <c r="U1221" i="1" s="1"/>
  <c r="U1379" i="1"/>
  <c r="U1357" i="1"/>
  <c r="P1492" i="1"/>
  <c r="S1477" i="1"/>
  <c r="S1478" i="1"/>
  <c r="S1392" i="1"/>
  <c r="S1476" i="1"/>
  <c r="S1490" i="1"/>
  <c r="S1548" i="1"/>
  <c r="S1550" i="1" s="1"/>
  <c r="Q1566" i="1"/>
  <c r="Q1557" i="1"/>
  <c r="Q1558" i="1" s="1"/>
  <c r="T1382" i="1"/>
  <c r="T1386" i="1" s="1"/>
  <c r="T1402" i="1"/>
  <c r="Q1306" i="1" l="1"/>
  <c r="Q1429" i="1"/>
  <c r="R1555" i="1"/>
  <c r="AE1086" i="1"/>
  <c r="T1392" i="1"/>
  <c r="T1476" i="1"/>
  <c r="T1477" i="1"/>
  <c r="T1478" i="1"/>
  <c r="T1548" i="1"/>
  <c r="T1550" i="1" s="1"/>
  <c r="T1490" i="1"/>
  <c r="Q1224" i="1"/>
  <c r="Q1410" i="1"/>
  <c r="Q1491" i="1"/>
  <c r="U1382" i="1"/>
  <c r="U1402" i="1"/>
  <c r="V1218" i="1"/>
  <c r="V1221" i="1" s="1"/>
  <c r="V1357" i="1"/>
  <c r="V1379" i="1"/>
  <c r="G1170" i="1"/>
  <c r="AE1159" i="1"/>
  <c r="AE1142" i="1"/>
  <c r="Y1103" i="1"/>
  <c r="Y1189" i="1" s="1"/>
  <c r="Y1190" i="1" s="1"/>
  <c r="Y1192" i="1" s="1"/>
  <c r="W1204" i="1"/>
  <c r="W1198" i="1"/>
  <c r="O1424" i="1"/>
  <c r="O1433" i="1"/>
  <c r="P1225" i="1"/>
  <c r="P1412" i="1"/>
  <c r="P1573" i="1"/>
  <c r="Q1568" i="1"/>
  <c r="Q1569" i="1" s="1"/>
  <c r="Q1563" i="1"/>
  <c r="W1095" i="1"/>
  <c r="X1092" i="1" s="1"/>
  <c r="Z1048" i="1"/>
  <c r="AA1045" i="1" s="1"/>
  <c r="U1392" i="1" l="1"/>
  <c r="U1476" i="1"/>
  <c r="U1490" i="1"/>
  <c r="U1548" i="1"/>
  <c r="U1550" i="1" s="1"/>
  <c r="U1477" i="1"/>
  <c r="U1478" i="1"/>
  <c r="U1386" i="1"/>
  <c r="Y1104" i="1"/>
  <c r="Z1101" i="1" s="1"/>
  <c r="R1566" i="1"/>
  <c r="AA1047" i="1"/>
  <c r="AA1039" i="1" s="1"/>
  <c r="AA1187" i="1" s="1"/>
  <c r="AA1188" i="1" s="1"/>
  <c r="P1420" i="1"/>
  <c r="G1142" i="1"/>
  <c r="AE1143" i="1"/>
  <c r="AE1148" i="1"/>
  <c r="R1557" i="1"/>
  <c r="Q1551" i="1"/>
  <c r="Q1492" i="1"/>
  <c r="Q1430" i="1"/>
  <c r="Q1571" i="1"/>
  <c r="Q1577" i="1"/>
  <c r="X1094" i="1"/>
  <c r="X1193" i="1" s="1"/>
  <c r="X1194" i="1" s="1"/>
  <c r="W1207" i="1"/>
  <c r="W1217" i="1" s="1"/>
  <c r="W1878" i="1"/>
  <c r="W1881" i="1" s="1"/>
  <c r="W1887" i="1" s="1"/>
  <c r="W1888" i="1" s="1"/>
  <c r="G1159" i="1"/>
  <c r="H990" i="1" s="1"/>
  <c r="AE1160" i="1"/>
  <c r="V1382" i="1"/>
  <c r="V1402" i="1"/>
  <c r="X1204" i="1" l="1"/>
  <c r="X1198" i="1"/>
  <c r="R1568" i="1"/>
  <c r="R1569" i="1" s="1"/>
  <c r="W1218" i="1"/>
  <c r="W1221" i="1" s="1"/>
  <c r="W1357" i="1"/>
  <c r="W1379" i="1"/>
  <c r="V1478" i="1"/>
  <c r="V1392" i="1"/>
  <c r="V1476" i="1"/>
  <c r="V1490" i="1"/>
  <c r="V1548" i="1"/>
  <c r="V1550" i="1" s="1"/>
  <c r="V1477" i="1"/>
  <c r="V1386" i="1"/>
  <c r="Q1225" i="1"/>
  <c r="Q1412" i="1"/>
  <c r="Q1573" i="1"/>
  <c r="R1224" i="1"/>
  <c r="R1410" i="1"/>
  <c r="R1491" i="1"/>
  <c r="P1433" i="1"/>
  <c r="P1424" i="1"/>
  <c r="R1558" i="1"/>
  <c r="X1095" i="1"/>
  <c r="Y1092" i="1" s="1"/>
  <c r="AE1171" i="1"/>
  <c r="G1148" i="1"/>
  <c r="AE1149" i="1"/>
  <c r="AA1048" i="1"/>
  <c r="AB1045" i="1" s="1"/>
  <c r="Z1103" i="1"/>
  <c r="Z1189" i="1" s="1"/>
  <c r="Z1190" i="1" s="1"/>
  <c r="Z1192" i="1" s="1"/>
  <c r="Z1104" i="1" l="1"/>
  <c r="AA1101" i="1" s="1"/>
  <c r="AA1103" i="1" s="1"/>
  <c r="AA1189" i="1" s="1"/>
  <c r="AA1190" i="1" s="1"/>
  <c r="AA1192" i="1" s="1"/>
  <c r="AB1047" i="1"/>
  <c r="AB1039" i="1" s="1"/>
  <c r="AB1187" i="1" s="1"/>
  <c r="AB1188" i="1" s="1"/>
  <c r="R1551" i="1"/>
  <c r="R1492" i="1"/>
  <c r="Y1094" i="1"/>
  <c r="Y1193" i="1" s="1"/>
  <c r="Y1194" i="1" s="1"/>
  <c r="R1306" i="1"/>
  <c r="R1429" i="1"/>
  <c r="R1430" i="1" s="1"/>
  <c r="S1555" i="1"/>
  <c r="R1563" i="1"/>
  <c r="G1171" i="1"/>
  <c r="AE1172" i="1"/>
  <c r="W1382" i="1"/>
  <c r="W1402" i="1"/>
  <c r="Q1420" i="1"/>
  <c r="X1207" i="1"/>
  <c r="X1217" i="1" s="1"/>
  <c r="X1878" i="1"/>
  <c r="X1881" i="1" s="1"/>
  <c r="X1887" i="1" s="1"/>
  <c r="X1888" i="1" s="1"/>
  <c r="Y1095" i="1" l="1"/>
  <c r="Z1092" i="1" s="1"/>
  <c r="Z1094" i="1" s="1"/>
  <c r="Z1193" i="1" s="1"/>
  <c r="Z1194" i="1" s="1"/>
  <c r="X1218" i="1"/>
  <c r="X1221" i="1" s="1"/>
  <c r="X1357" i="1"/>
  <c r="X1379" i="1"/>
  <c r="W1477" i="1"/>
  <c r="W1478" i="1"/>
  <c r="W1392" i="1"/>
  <c r="W1548" i="1"/>
  <c r="W1550" i="1" s="1"/>
  <c r="W1476" i="1"/>
  <c r="W1490" i="1"/>
  <c r="W1386" i="1"/>
  <c r="AE1020" i="1"/>
  <c r="AE1186" i="1"/>
  <c r="AE1196" i="1"/>
  <c r="G1172" i="1"/>
  <c r="S1566" i="1"/>
  <c r="S1557" i="1"/>
  <c r="S1558" i="1" s="1"/>
  <c r="Q1433" i="1"/>
  <c r="Q1424" i="1"/>
  <c r="R1571" i="1"/>
  <c r="R1577" i="1"/>
  <c r="Y1204" i="1"/>
  <c r="Y1198" i="1"/>
  <c r="AA1104" i="1"/>
  <c r="AB1101" i="1" s="1"/>
  <c r="AB1048" i="1"/>
  <c r="AC1045" i="1" s="1"/>
  <c r="Z1095" i="1" l="1"/>
  <c r="AA1092" i="1" s="1"/>
  <c r="AA1094" i="1" s="1"/>
  <c r="AA1193" i="1" s="1"/>
  <c r="AA1194" i="1" s="1"/>
  <c r="S1306" i="1"/>
  <c r="S1429" i="1"/>
  <c r="S1430" i="1" s="1"/>
  <c r="T1555" i="1"/>
  <c r="S1568" i="1"/>
  <c r="S1569" i="1" s="1"/>
  <c r="G1186" i="1"/>
  <c r="R1225" i="1"/>
  <c r="R1412" i="1"/>
  <c r="R1420" i="1" s="1"/>
  <c r="R1573" i="1"/>
  <c r="S1563" i="1"/>
  <c r="AE1205" i="1"/>
  <c r="G1196" i="1"/>
  <c r="Y1207" i="1"/>
  <c r="Y1217" i="1" s="1"/>
  <c r="Y1878" i="1"/>
  <c r="Y1881" i="1" s="1"/>
  <c r="Y1887" i="1" s="1"/>
  <c r="Y1888" i="1" s="1"/>
  <c r="AC1047" i="1"/>
  <c r="AC1039" i="1" s="1"/>
  <c r="AC1187" i="1" s="1"/>
  <c r="AC1188" i="1" s="1"/>
  <c r="S1224" i="1"/>
  <c r="S1410" i="1"/>
  <c r="S1491" i="1"/>
  <c r="AE1021" i="1"/>
  <c r="G1020" i="1"/>
  <c r="X1382" i="1"/>
  <c r="X1402" i="1"/>
  <c r="Z1204" i="1"/>
  <c r="Z1198" i="1"/>
  <c r="AB1103" i="1"/>
  <c r="AB1189" i="1" s="1"/>
  <c r="AB1190" i="1" s="1"/>
  <c r="AB1192" i="1" s="1"/>
  <c r="AA1095" i="1" l="1"/>
  <c r="AB1092" i="1" s="1"/>
  <c r="AB1094" i="1" s="1"/>
  <c r="AB1193" i="1" s="1"/>
  <c r="AB1194" i="1" s="1"/>
  <c r="Y1218" i="1"/>
  <c r="Y1221" i="1" s="1"/>
  <c r="Y1357" i="1"/>
  <c r="Y1379" i="1"/>
  <c r="AB1104" i="1"/>
  <c r="AC1101" i="1" s="1"/>
  <c r="Z1207" i="1"/>
  <c r="Z1217" i="1" s="1"/>
  <c r="Z1878" i="1"/>
  <c r="Z1881" i="1" s="1"/>
  <c r="Z1887" i="1" s="1"/>
  <c r="Z1888" i="1" s="1"/>
  <c r="R1433" i="1"/>
  <c r="R1424" i="1"/>
  <c r="AE1041" i="1"/>
  <c r="AE1102" i="1"/>
  <c r="G1021" i="1"/>
  <c r="S1571" i="1"/>
  <c r="S1577" i="1"/>
  <c r="T1566" i="1"/>
  <c r="T1557" i="1"/>
  <c r="X1392" i="1"/>
  <c r="X1476" i="1"/>
  <c r="X1477" i="1"/>
  <c r="X1478" i="1"/>
  <c r="X1490" i="1"/>
  <c r="X1548" i="1"/>
  <c r="X1550" i="1" s="1"/>
  <c r="X1386" i="1"/>
  <c r="S1551" i="1"/>
  <c r="S1492" i="1"/>
  <c r="AC1048" i="1"/>
  <c r="AD1045" i="1" s="1"/>
  <c r="AE1879" i="1"/>
  <c r="G1879" i="1" s="1"/>
  <c r="G1205" i="1"/>
  <c r="AA1204" i="1"/>
  <c r="AA1198" i="1"/>
  <c r="AB1095" i="1" l="1"/>
  <c r="AC1092" i="1" s="1"/>
  <c r="AB1204" i="1"/>
  <c r="AB1198" i="1"/>
  <c r="T1224" i="1"/>
  <c r="T1410" i="1"/>
  <c r="T1491" i="1"/>
  <c r="AE1083" i="1"/>
  <c r="G1041" i="1"/>
  <c r="T1558" i="1"/>
  <c r="Z1218" i="1"/>
  <c r="Z1221" i="1" s="1"/>
  <c r="Z1357" i="1"/>
  <c r="Z1379" i="1"/>
  <c r="AC1103" i="1"/>
  <c r="AC1189" i="1" s="1"/>
  <c r="AC1190" i="1" s="1"/>
  <c r="AC1192" i="1" s="1"/>
  <c r="AC1094" i="1" s="1"/>
  <c r="AC1193" i="1" s="1"/>
  <c r="Y1382" i="1"/>
  <c r="Y1402" i="1"/>
  <c r="AD1047" i="1"/>
  <c r="AD1039" i="1" s="1"/>
  <c r="AD1187" i="1" s="1"/>
  <c r="AD1188" i="1" s="1"/>
  <c r="AA1207" i="1"/>
  <c r="AA1217" i="1" s="1"/>
  <c r="AA1878" i="1"/>
  <c r="AA1881" i="1" s="1"/>
  <c r="AA1887" i="1" s="1"/>
  <c r="AA1888" i="1" s="1"/>
  <c r="T1568" i="1"/>
  <c r="T1569" i="1"/>
  <c r="S1225" i="1"/>
  <c r="S1412" i="1"/>
  <c r="S1420" i="1" s="1"/>
  <c r="S1573" i="1"/>
  <c r="G1102" i="1"/>
  <c r="AC1104" i="1" l="1"/>
  <c r="AD1101" i="1" s="1"/>
  <c r="AA1218" i="1"/>
  <c r="AA1221" i="1" s="1"/>
  <c r="AA1357" i="1"/>
  <c r="AA1379" i="1"/>
  <c r="Y1392" i="1"/>
  <c r="Y1476" i="1"/>
  <c r="Y1490" i="1"/>
  <c r="Y1548" i="1"/>
  <c r="Y1550" i="1" s="1"/>
  <c r="Y1477" i="1"/>
  <c r="Y1478" i="1"/>
  <c r="Y1386" i="1"/>
  <c r="Z1382" i="1"/>
  <c r="Z1402" i="1"/>
  <c r="AC1095" i="1"/>
  <c r="AD1092" i="1" s="1"/>
  <c r="T1551" i="1"/>
  <c r="T1492" i="1"/>
  <c r="AD1103" i="1"/>
  <c r="AD1189" i="1" s="1"/>
  <c r="AD1190" i="1" s="1"/>
  <c r="AD1192" i="1" s="1"/>
  <c r="T1306" i="1"/>
  <c r="T1429" i="1"/>
  <c r="T1430" i="1" s="1"/>
  <c r="U1555" i="1"/>
  <c r="T1563" i="1"/>
  <c r="S1424" i="1"/>
  <c r="S1433" i="1"/>
  <c r="AD1048" i="1"/>
  <c r="AE1045" i="1" s="1"/>
  <c r="AC1194" i="1"/>
  <c r="G1083" i="1"/>
  <c r="AE1084" i="1"/>
  <c r="AB1207" i="1"/>
  <c r="AB1217" i="1" s="1"/>
  <c r="AB1878" i="1"/>
  <c r="AB1881" i="1" s="1"/>
  <c r="AB1887" i="1" s="1"/>
  <c r="AB1888" i="1" s="1"/>
  <c r="AD1104" i="1" l="1"/>
  <c r="AE1101" i="1" s="1"/>
  <c r="Z1392" i="1"/>
  <c r="Z1476" i="1"/>
  <c r="Z1490" i="1"/>
  <c r="Z1548" i="1"/>
  <c r="Z1550" i="1" s="1"/>
  <c r="Z1477" i="1"/>
  <c r="Z1478" i="1"/>
  <c r="Z1386" i="1"/>
  <c r="AA1382" i="1"/>
  <c r="AA1402" i="1"/>
  <c r="AB1218" i="1"/>
  <c r="AB1221" i="1" s="1"/>
  <c r="AB1357" i="1"/>
  <c r="AB1379" i="1"/>
  <c r="AD1094" i="1"/>
  <c r="AD1193" i="1" s="1"/>
  <c r="AD1194" i="1" s="1"/>
  <c r="U1566" i="1"/>
  <c r="U1557" i="1"/>
  <c r="U1558" i="1" s="1"/>
  <c r="U1563" i="1" s="1"/>
  <c r="AC1204" i="1"/>
  <c r="AC1198" i="1"/>
  <c r="AE1047" i="1"/>
  <c r="AE1048" i="1" s="1"/>
  <c r="T1577" i="1"/>
  <c r="T1571" i="1"/>
  <c r="AD1204" i="1" l="1"/>
  <c r="AD1198" i="1"/>
  <c r="AA1477" i="1"/>
  <c r="AA1478" i="1"/>
  <c r="AA1392" i="1"/>
  <c r="AA1490" i="1"/>
  <c r="AA1476" i="1"/>
  <c r="AA1548" i="1"/>
  <c r="AA1550" i="1" s="1"/>
  <c r="AA1386" i="1"/>
  <c r="T1225" i="1"/>
  <c r="T1412" i="1"/>
  <c r="T1420" i="1" s="1"/>
  <c r="T1573" i="1"/>
  <c r="U1568" i="1"/>
  <c r="U1569" i="1" s="1"/>
  <c r="U1577" i="1" s="1"/>
  <c r="AC1207" i="1"/>
  <c r="AC1217" i="1" s="1"/>
  <c r="AC1878" i="1"/>
  <c r="AC1881" i="1" s="1"/>
  <c r="AC1887" i="1" s="1"/>
  <c r="AC1888" i="1" s="1"/>
  <c r="AD1095" i="1"/>
  <c r="AE1092" i="1" s="1"/>
  <c r="U1306" i="1"/>
  <c r="V1555" i="1"/>
  <c r="U1429" i="1"/>
  <c r="U1430" i="1" s="1"/>
  <c r="AE1039" i="1"/>
  <c r="G1047" i="1"/>
  <c r="U1224" i="1"/>
  <c r="U1410" i="1"/>
  <c r="U1491" i="1"/>
  <c r="AB1382" i="1"/>
  <c r="AB1402" i="1"/>
  <c r="U1571" i="1" l="1"/>
  <c r="T1424" i="1"/>
  <c r="T1433" i="1"/>
  <c r="AC1218" i="1"/>
  <c r="AC1221" i="1" s="1"/>
  <c r="AC1357" i="1"/>
  <c r="AC1379" i="1"/>
  <c r="AE1187" i="1"/>
  <c r="G1039" i="1"/>
  <c r="U1551" i="1"/>
  <c r="U1492" i="1"/>
  <c r="AB1392" i="1"/>
  <c r="AB1476" i="1"/>
  <c r="AB1477" i="1"/>
  <c r="AB1478" i="1"/>
  <c r="AB1548" i="1"/>
  <c r="AB1550" i="1" s="1"/>
  <c r="AB1490" i="1"/>
  <c r="AB1386" i="1"/>
  <c r="V1566" i="1"/>
  <c r="V1557" i="1"/>
  <c r="AD1207" i="1"/>
  <c r="AD1217" i="1" s="1"/>
  <c r="AD1878" i="1"/>
  <c r="AD1881" i="1" s="1"/>
  <c r="AD1887" i="1" s="1"/>
  <c r="AD1888" i="1" s="1"/>
  <c r="V1224" i="1" l="1"/>
  <c r="V1410" i="1"/>
  <c r="V1491" i="1"/>
  <c r="G1187" i="1"/>
  <c r="AE1188" i="1"/>
  <c r="V1568" i="1"/>
  <c r="V1569" i="1" s="1"/>
  <c r="AC1382" i="1"/>
  <c r="AC1402" i="1"/>
  <c r="AD1218" i="1"/>
  <c r="AD1221" i="1" s="1"/>
  <c r="AD1357" i="1"/>
  <c r="AD1379" i="1"/>
  <c r="V1558" i="1"/>
  <c r="U1225" i="1"/>
  <c r="U1412" i="1"/>
  <c r="U1420" i="1" s="1"/>
  <c r="U1573" i="1"/>
  <c r="AD1382" i="1" l="1"/>
  <c r="AD1402" i="1"/>
  <c r="V1551" i="1"/>
  <c r="V1492" i="1"/>
  <c r="V1306" i="1"/>
  <c r="V1429" i="1"/>
  <c r="V1430" i="1" s="1"/>
  <c r="W1555" i="1"/>
  <c r="V1563" i="1"/>
  <c r="U1424" i="1"/>
  <c r="U1433" i="1"/>
  <c r="AC1392" i="1"/>
  <c r="AC1476" i="1"/>
  <c r="AC1490" i="1"/>
  <c r="AC1548" i="1"/>
  <c r="AC1550" i="1" s="1"/>
  <c r="AC1477" i="1"/>
  <c r="AC1478" i="1"/>
  <c r="AC1386" i="1"/>
  <c r="G1188" i="1"/>
  <c r="AE1103" i="1"/>
  <c r="V1571" i="1" l="1"/>
  <c r="V1577" i="1"/>
  <c r="W1566" i="1"/>
  <c r="W1557" i="1"/>
  <c r="AD1392" i="1"/>
  <c r="AD1476" i="1"/>
  <c r="AD1490" i="1"/>
  <c r="AD1548" i="1"/>
  <c r="AD1550" i="1" s="1"/>
  <c r="AD1478" i="1"/>
  <c r="AD1477" i="1"/>
  <c r="AD1386" i="1"/>
  <c r="AE1189" i="1"/>
  <c r="G1103" i="1"/>
  <c r="AE1104" i="1"/>
  <c r="W1568" i="1" l="1"/>
  <c r="W1569" i="1" s="1"/>
  <c r="W1224" i="1"/>
  <c r="W1410" i="1"/>
  <c r="W1491" i="1"/>
  <c r="G1189" i="1"/>
  <c r="AE1190" i="1"/>
  <c r="W1558" i="1"/>
  <c r="V1225" i="1"/>
  <c r="V1412" i="1"/>
  <c r="V1420" i="1" s="1"/>
  <c r="V1573" i="1"/>
  <c r="AE1192" i="1" l="1"/>
  <c r="G1190" i="1"/>
  <c r="W1306" i="1"/>
  <c r="W1429" i="1"/>
  <c r="W1430" i="1" s="1"/>
  <c r="X1555" i="1"/>
  <c r="W1563" i="1"/>
  <c r="W1551" i="1"/>
  <c r="W1492" i="1"/>
  <c r="V1424" i="1"/>
  <c r="V1433" i="1"/>
  <c r="X1566" i="1" l="1"/>
  <c r="X1557" i="1"/>
  <c r="G1192" i="1"/>
  <c r="AE1094" i="1"/>
  <c r="W1571" i="1"/>
  <c r="W1577" i="1"/>
  <c r="AE1193" i="1" l="1"/>
  <c r="G1094" i="1"/>
  <c r="AE1095" i="1"/>
  <c r="X1224" i="1"/>
  <c r="X1410" i="1"/>
  <c r="X1491" i="1"/>
  <c r="X1558" i="1"/>
  <c r="W1225" i="1"/>
  <c r="W1412" i="1"/>
  <c r="W1420" i="1" s="1"/>
  <c r="W1573" i="1"/>
  <c r="X1568" i="1"/>
  <c r="X1569" i="1" s="1"/>
  <c r="W1424" i="1" l="1"/>
  <c r="W1433" i="1"/>
  <c r="X1551" i="1"/>
  <c r="X1492" i="1"/>
  <c r="X1306" i="1"/>
  <c r="X1429" i="1"/>
  <c r="X1430" i="1" s="1"/>
  <c r="Y1555" i="1"/>
  <c r="X1563" i="1"/>
  <c r="G1193" i="1"/>
  <c r="AE1194" i="1"/>
  <c r="X1577" i="1" l="1"/>
  <c r="X1571" i="1"/>
  <c r="AE1204" i="1"/>
  <c r="G1194" i="1"/>
  <c r="AE1198" i="1"/>
  <c r="G1198" i="1" s="1"/>
  <c r="Y1566" i="1"/>
  <c r="Y1557" i="1"/>
  <c r="X1225" i="1" l="1"/>
  <c r="X1412" i="1"/>
  <c r="X1420" i="1" s="1"/>
  <c r="X1573" i="1"/>
  <c r="Y1224" i="1"/>
  <c r="Y1410" i="1"/>
  <c r="Y1491" i="1"/>
  <c r="AE1207" i="1"/>
  <c r="AE1878" i="1"/>
  <c r="G1204" i="1"/>
  <c r="Y1558" i="1"/>
  <c r="Y1568" i="1"/>
  <c r="Y1569" i="1" s="1"/>
  <c r="Y1306" i="1" l="1"/>
  <c r="Y1429" i="1"/>
  <c r="Y1430" i="1" s="1"/>
  <c r="Z1555" i="1"/>
  <c r="Y1563" i="1"/>
  <c r="Y1551" i="1"/>
  <c r="Y1492" i="1"/>
  <c r="X1424" i="1"/>
  <c r="X1433" i="1"/>
  <c r="AE1881" i="1"/>
  <c r="G1878" i="1"/>
  <c r="AE1217" i="1"/>
  <c r="G1207" i="1"/>
  <c r="AE1218" i="1" l="1"/>
  <c r="AE1379" i="1"/>
  <c r="AE1357" i="1"/>
  <c r="G1217" i="1"/>
  <c r="Y1577" i="1"/>
  <c r="Y1571" i="1"/>
  <c r="AE1887" i="1"/>
  <c r="G1881" i="1"/>
  <c r="Z1566" i="1"/>
  <c r="Z1557" i="1"/>
  <c r="Z1558" i="1" s="1"/>
  <c r="Z1563" i="1" s="1"/>
  <c r="Y1225" i="1" l="1"/>
  <c r="Y1412" i="1"/>
  <c r="Y1420" i="1" s="1"/>
  <c r="Y1573" i="1"/>
  <c r="AE1382" i="1"/>
  <c r="AE1402" i="1"/>
  <c r="G1379" i="1"/>
  <c r="AE1888" i="1"/>
  <c r="G1888" i="1" s="1"/>
  <c r="G1887" i="1"/>
  <c r="AE1221" i="1"/>
  <c r="G1218" i="1"/>
  <c r="Z1568" i="1"/>
  <c r="Z1569" i="1" s="1"/>
  <c r="Z1306" i="1"/>
  <c r="Z1429" i="1"/>
  <c r="Z1430" i="1" s="1"/>
  <c r="AA1555" i="1"/>
  <c r="Z1224" i="1"/>
  <c r="Z1410" i="1"/>
  <c r="Z1491" i="1"/>
  <c r="Z1571" i="1" l="1"/>
  <c r="Z1577" i="1"/>
  <c r="Y1424" i="1"/>
  <c r="Y1433" i="1"/>
  <c r="Z1551" i="1"/>
  <c r="Z1492" i="1"/>
  <c r="G1402" i="1"/>
  <c r="AE1477" i="1"/>
  <c r="AE1478" i="1"/>
  <c r="AE1392" i="1"/>
  <c r="AE1476" i="1"/>
  <c r="AE1548" i="1"/>
  <c r="AE1550" i="1" s="1"/>
  <c r="AE1490" i="1"/>
  <c r="G1382" i="1"/>
  <c r="G1384" i="1"/>
  <c r="G1385" i="1"/>
  <c r="AE1386" i="1"/>
  <c r="G1386" i="1" s="1"/>
  <c r="G1221" i="1"/>
  <c r="AA1566" i="1"/>
  <c r="AA1557" i="1"/>
  <c r="AA1558" i="1" s="1"/>
  <c r="AA1563" i="1" s="1"/>
  <c r="G219" i="3" l="1"/>
  <c r="G223" i="3"/>
  <c r="G222" i="3"/>
  <c r="G221" i="3"/>
  <c r="G220" i="3"/>
  <c r="G1477" i="1"/>
  <c r="C288" i="3"/>
  <c r="E1477" i="1"/>
  <c r="E1477" i="53" s="1"/>
  <c r="E1486" i="1"/>
  <c r="E1486" i="53" s="1"/>
  <c r="AA1568" i="1"/>
  <c r="AA1569" i="1" s="1"/>
  <c r="G1476" i="1"/>
  <c r="C287" i="3"/>
  <c r="E1476" i="1"/>
  <c r="E1485" i="1"/>
  <c r="E1485" i="53" s="1"/>
  <c r="AA1224" i="1"/>
  <c r="AA1410" i="1"/>
  <c r="AA1491" i="1"/>
  <c r="G1395" i="1"/>
  <c r="G1394" i="1"/>
  <c r="G1392" i="1"/>
  <c r="AA1306" i="1"/>
  <c r="AA1429" i="1"/>
  <c r="AA1430" i="1" s="1"/>
  <c r="AB1555" i="1"/>
  <c r="C289" i="3"/>
  <c r="G1478" i="1"/>
  <c r="E1478" i="1"/>
  <c r="E1478" i="53" s="1"/>
  <c r="E1487" i="1"/>
  <c r="Z1225" i="1"/>
  <c r="Z1412" i="1"/>
  <c r="Z1420" i="1" s="1"/>
  <c r="Z1573" i="1"/>
  <c r="AA1571" i="1" l="1"/>
  <c r="AA1577" i="1"/>
  <c r="G186" i="3"/>
  <c r="R186" i="3" s="1"/>
  <c r="G188" i="3"/>
  <c r="R188" i="3" s="1"/>
  <c r="G190" i="3"/>
  <c r="R190" i="3" s="1"/>
  <c r="G187" i="3"/>
  <c r="R187" i="3" s="1"/>
  <c r="G189" i="3"/>
  <c r="R189" i="3" s="1"/>
  <c r="G288" i="3"/>
  <c r="N288" i="3"/>
  <c r="H288" i="3"/>
  <c r="D288" i="3"/>
  <c r="I288" i="3"/>
  <c r="E288" i="3"/>
  <c r="J288" i="3"/>
  <c r="F288" i="3"/>
  <c r="P338" i="3"/>
  <c r="P359" i="3" s="1"/>
  <c r="E1476" i="53"/>
  <c r="E1497" i="53" s="1"/>
  <c r="E1498" i="53" s="1"/>
  <c r="E1497" i="1"/>
  <c r="E1498" i="1" s="1"/>
  <c r="AB1566" i="1"/>
  <c r="AB1557" i="1"/>
  <c r="AA1551" i="1"/>
  <c r="AA1492" i="1"/>
  <c r="Z1424" i="1"/>
  <c r="Z1433" i="1"/>
  <c r="G289" i="3"/>
  <c r="N289" i="3"/>
  <c r="H289" i="3"/>
  <c r="D289" i="3"/>
  <c r="I289" i="3"/>
  <c r="E289" i="3"/>
  <c r="J289" i="3"/>
  <c r="F289" i="3"/>
  <c r="G287" i="3"/>
  <c r="N287" i="3"/>
  <c r="D287" i="3"/>
  <c r="H287" i="3"/>
  <c r="J287" i="3"/>
  <c r="E287" i="3"/>
  <c r="F287" i="3"/>
  <c r="I287" i="3"/>
  <c r="G253" i="3"/>
  <c r="R253" i="3" s="1"/>
  <c r="G255" i="3"/>
  <c r="R255" i="3" s="1"/>
  <c r="G257" i="3"/>
  <c r="R257" i="3" s="1"/>
  <c r="G256" i="3"/>
  <c r="R256" i="3" s="1"/>
  <c r="G254" i="3"/>
  <c r="R254" i="3" s="1"/>
  <c r="E1487" i="53"/>
  <c r="R287" i="3" l="1"/>
  <c r="O287" i="3"/>
  <c r="S287" i="3"/>
  <c r="U287" i="3"/>
  <c r="P287" i="3"/>
  <c r="Q287" i="3"/>
  <c r="T287" i="3"/>
  <c r="AB1224" i="1"/>
  <c r="AB1410" i="1"/>
  <c r="AB1491" i="1"/>
  <c r="D104" i="3"/>
  <c r="D177" i="3"/>
  <c r="R288" i="3"/>
  <c r="P288" i="3"/>
  <c r="U288" i="3"/>
  <c r="Q288" i="3"/>
  <c r="S288" i="3"/>
  <c r="O288" i="3"/>
  <c r="T288" i="3"/>
  <c r="R289" i="3"/>
  <c r="P289" i="3"/>
  <c r="U289" i="3"/>
  <c r="Q289" i="3"/>
  <c r="S289" i="3"/>
  <c r="O289" i="3"/>
  <c r="T289" i="3"/>
  <c r="AB1568" i="1"/>
  <c r="AB1569" i="1" s="1"/>
  <c r="AB1558" i="1"/>
  <c r="AA1225" i="1"/>
  <c r="AA1412" i="1"/>
  <c r="AA1420" i="1" s="1"/>
  <c r="AA1573" i="1"/>
  <c r="AB1551" i="1" l="1"/>
  <c r="AB1492" i="1"/>
  <c r="AB1306" i="1"/>
  <c r="AB1429" i="1"/>
  <c r="AB1430" i="1" s="1"/>
  <c r="AC1555" i="1"/>
  <c r="AB1563" i="1"/>
  <c r="AA1424" i="1"/>
  <c r="AA1433" i="1"/>
  <c r="AB1571" i="1" l="1"/>
  <c r="AB1577" i="1"/>
  <c r="AC1566" i="1"/>
  <c r="AC1557" i="1"/>
  <c r="AC1224" i="1" l="1"/>
  <c r="AC1410" i="1"/>
  <c r="AC1491" i="1"/>
  <c r="AB1225" i="1"/>
  <c r="AB1412" i="1"/>
  <c r="AB1420" i="1" s="1"/>
  <c r="AB1573" i="1"/>
  <c r="AC1568" i="1"/>
  <c r="AC1569" i="1" s="1"/>
  <c r="AC1558" i="1"/>
  <c r="AC1306" i="1" l="1"/>
  <c r="AC1429" i="1"/>
  <c r="AC1430" i="1" s="1"/>
  <c r="AD1555" i="1"/>
  <c r="AC1563" i="1"/>
  <c r="AC1551" i="1"/>
  <c r="AC1492" i="1"/>
  <c r="AB1424" i="1"/>
  <c r="AB1433" i="1"/>
  <c r="AC1571" i="1" l="1"/>
  <c r="AC1577" i="1"/>
  <c r="AD1566" i="1"/>
  <c r="AD1557" i="1"/>
  <c r="AD1558" i="1" s="1"/>
  <c r="AD1563" i="1" s="1"/>
  <c r="AD1306" i="1" l="1"/>
  <c r="AD1429" i="1"/>
  <c r="AD1430" i="1" s="1"/>
  <c r="AE1555" i="1"/>
  <c r="AD1224" i="1"/>
  <c r="AD1410" i="1"/>
  <c r="AD1491" i="1"/>
  <c r="AD1568" i="1"/>
  <c r="AD1569" i="1" s="1"/>
  <c r="AC1225" i="1"/>
  <c r="AC1412" i="1"/>
  <c r="AC1420" i="1" s="1"/>
  <c r="AC1573" i="1"/>
  <c r="AD1577" i="1" l="1"/>
  <c r="AD1571" i="1"/>
  <c r="AD1551" i="1"/>
  <c r="AD1492" i="1"/>
  <c r="AE1566" i="1"/>
  <c r="AE1557" i="1"/>
  <c r="AC1424" i="1"/>
  <c r="AC1433" i="1"/>
  <c r="AE1568" i="1" l="1"/>
  <c r="AE1569" i="1" s="1"/>
  <c r="G1569" i="1" s="1"/>
  <c r="AD1225" i="1"/>
  <c r="AD1412" i="1"/>
  <c r="AD1420" i="1" s="1"/>
  <c r="AD1573" i="1"/>
  <c r="AE1224" i="1"/>
  <c r="AE1410" i="1"/>
  <c r="AE1491" i="1"/>
  <c r="G1557" i="1"/>
  <c r="AE1558" i="1"/>
  <c r="AD1424" i="1" l="1"/>
  <c r="AD1433" i="1"/>
  <c r="AE1551" i="1"/>
  <c r="G1551" i="1" s="1"/>
  <c r="AE1492" i="1"/>
  <c r="AE1306" i="1"/>
  <c r="AE1429" i="1"/>
  <c r="AE1563" i="1"/>
  <c r="G1410" i="1"/>
  <c r="G1224" i="1"/>
  <c r="AE1430" i="1" l="1"/>
  <c r="T326" i="3"/>
  <c r="V326" i="3"/>
  <c r="R326" i="3"/>
  <c r="S326" i="3"/>
  <c r="O326" i="3"/>
  <c r="Q326" i="3"/>
  <c r="U326" i="3"/>
  <c r="P326" i="3"/>
  <c r="N326" i="3"/>
  <c r="G1492" i="1"/>
  <c r="D179" i="3"/>
  <c r="D106" i="3"/>
  <c r="AE1571" i="1"/>
  <c r="E1587" i="1" s="1" a="1"/>
  <c r="AE1577" i="1"/>
  <c r="G1577" i="1" s="1"/>
  <c r="G1563" i="1"/>
  <c r="E1589" i="1" l="1"/>
  <c r="E1588" i="1"/>
  <c r="E1587" i="1"/>
  <c r="E1590" i="1"/>
  <c r="E1591" i="1"/>
  <c r="E1592" i="1"/>
  <c r="E1593" i="1"/>
  <c r="E1594" i="1"/>
  <c r="E1595" i="1"/>
  <c r="E1596" i="1"/>
  <c r="E1597" i="1"/>
  <c r="E1598" i="1"/>
  <c r="E1599" i="1"/>
  <c r="E1600" i="1"/>
  <c r="E1601" i="1"/>
  <c r="E1602" i="1"/>
  <c r="F1602" i="1" s="1"/>
  <c r="E1603" i="1"/>
  <c r="E1604" i="1"/>
  <c r="E1605" i="1"/>
  <c r="E1606" i="1"/>
  <c r="F1606" i="1" s="1"/>
  <c r="E1607" i="1"/>
  <c r="E1608" i="1"/>
  <c r="R327" i="3"/>
  <c r="R347" i="3"/>
  <c r="R348" i="3" s="1"/>
  <c r="AE1225" i="1"/>
  <c r="AE1412" i="1"/>
  <c r="E1609" i="1"/>
  <c r="AE1573" i="1"/>
  <c r="E1573" i="1" s="1"/>
  <c r="Q347" i="3"/>
  <c r="Q348" i="3" s="1"/>
  <c r="Q327" i="3"/>
  <c r="V327" i="3"/>
  <c r="V347" i="3"/>
  <c r="V348" i="3" s="1"/>
  <c r="O347" i="3"/>
  <c r="O348" i="3" s="1"/>
  <c r="O327" i="3"/>
  <c r="T347" i="3"/>
  <c r="T348" i="3" s="1"/>
  <c r="T327" i="3"/>
  <c r="D178" i="3"/>
  <c r="D105" i="3"/>
  <c r="U347" i="3"/>
  <c r="U348" i="3" s="1"/>
  <c r="U327" i="3"/>
  <c r="N327" i="3"/>
  <c r="N347" i="3"/>
  <c r="N348" i="3" s="1"/>
  <c r="P347" i="3"/>
  <c r="P348" i="3" s="1"/>
  <c r="P327" i="3"/>
  <c r="S347" i="3"/>
  <c r="S348" i="3" s="1"/>
  <c r="S327" i="3"/>
  <c r="F1598" i="1" l="1"/>
  <c r="I1598" i="1" s="1"/>
  <c r="F1601" i="1"/>
  <c r="J1601" i="1" s="1"/>
  <c r="I1602" i="1"/>
  <c r="Y1602" i="1"/>
  <c r="R1602" i="1"/>
  <c r="K1602" i="1"/>
  <c r="AA1602" i="1"/>
  <c r="T1602" i="1"/>
  <c r="AB1602" i="1"/>
  <c r="U1602" i="1"/>
  <c r="W1602" i="1"/>
  <c r="P1602" i="1"/>
  <c r="M1602" i="1"/>
  <c r="AC1602" i="1"/>
  <c r="V1602" i="1"/>
  <c r="O1602" i="1"/>
  <c r="AE1602" i="1"/>
  <c r="X1602" i="1"/>
  <c r="N1602" i="1"/>
  <c r="Q1602" i="1"/>
  <c r="J1602" i="1"/>
  <c r="Z1602" i="1"/>
  <c r="S1602" i="1"/>
  <c r="L1602" i="1"/>
  <c r="AD1602" i="1"/>
  <c r="K1598" i="1"/>
  <c r="AC1598" i="1"/>
  <c r="X1598" i="1"/>
  <c r="S1598" i="1"/>
  <c r="N1598" i="1"/>
  <c r="Z1601" i="1"/>
  <c r="S1601" i="1"/>
  <c r="U1601" i="1"/>
  <c r="N1601" i="1"/>
  <c r="AD1601" i="1"/>
  <c r="P1601" i="1"/>
  <c r="I1601" i="1"/>
  <c r="Y1601" i="1"/>
  <c r="AA1601" i="1"/>
  <c r="T1601" i="1"/>
  <c r="AC1601" i="1"/>
  <c r="M1601" i="1"/>
  <c r="V1601" i="1"/>
  <c r="O1601" i="1"/>
  <c r="X1601" i="1"/>
  <c r="Q1601" i="1"/>
  <c r="F1597" i="1"/>
  <c r="F1590" i="1"/>
  <c r="F1589" i="1"/>
  <c r="F1588" i="1"/>
  <c r="F1587" i="1"/>
  <c r="F1591" i="1"/>
  <c r="F1592" i="1"/>
  <c r="F1593" i="1"/>
  <c r="F1594" i="1"/>
  <c r="F1595" i="1"/>
  <c r="I1606" i="1"/>
  <c r="Y1606" i="1"/>
  <c r="R1606" i="1"/>
  <c r="AB1606" i="1"/>
  <c r="W1606" i="1"/>
  <c r="L1606" i="1"/>
  <c r="P1606" i="1"/>
  <c r="T1606" i="1"/>
  <c r="AD1606" i="1"/>
  <c r="M1606" i="1"/>
  <c r="AC1606" i="1"/>
  <c r="V1606" i="1"/>
  <c r="K1606" i="1"/>
  <c r="AA1606" i="1"/>
  <c r="Q1606" i="1"/>
  <c r="J1606" i="1"/>
  <c r="Z1606" i="1"/>
  <c r="O1606" i="1"/>
  <c r="AE1606" i="1"/>
  <c r="X1606" i="1"/>
  <c r="U1606" i="1"/>
  <c r="N1606" i="1"/>
  <c r="S1606" i="1"/>
  <c r="F1609" i="1"/>
  <c r="N1609" i="1" s="1"/>
  <c r="F1608" i="1"/>
  <c r="F1604" i="1"/>
  <c r="F1600" i="1"/>
  <c r="F1596" i="1"/>
  <c r="F1605" i="1"/>
  <c r="F1607" i="1"/>
  <c r="F1603" i="1"/>
  <c r="F1599" i="1"/>
  <c r="G1412" i="1"/>
  <c r="AE1420" i="1"/>
  <c r="G1225" i="1"/>
  <c r="L1601" i="1" l="1"/>
  <c r="P1598" i="1"/>
  <c r="U1598" i="1"/>
  <c r="Z1598" i="1"/>
  <c r="AE1598" i="1"/>
  <c r="M1598" i="1"/>
  <c r="R1598" i="1"/>
  <c r="W1598" i="1"/>
  <c r="AB1598" i="1"/>
  <c r="J1598" i="1"/>
  <c r="O1598" i="1"/>
  <c r="T1598" i="1"/>
  <c r="Y1598" i="1"/>
  <c r="AD1598" i="1"/>
  <c r="L1598" i="1"/>
  <c r="Q1598" i="1"/>
  <c r="V1598" i="1"/>
  <c r="AA1598" i="1"/>
  <c r="AE1601" i="1"/>
  <c r="R1601" i="1"/>
  <c r="K1601" i="1"/>
  <c r="W1601" i="1"/>
  <c r="AB1601" i="1"/>
  <c r="J1609" i="1"/>
  <c r="F1610" i="1"/>
  <c r="I1609" i="1"/>
  <c r="T1609" i="1"/>
  <c r="AC1609" i="1"/>
  <c r="P1609" i="1"/>
  <c r="Q1609" i="1"/>
  <c r="U1609" i="1"/>
  <c r="M1609" i="1"/>
  <c r="W1609" i="1"/>
  <c r="Y1609" i="1"/>
  <c r="X1609" i="1"/>
  <c r="S1609" i="1"/>
  <c r="AD1609" i="1"/>
  <c r="AB1609" i="1"/>
  <c r="L1609" i="1"/>
  <c r="Z1609" i="1"/>
  <c r="AE1609" i="1"/>
  <c r="O1609" i="1"/>
  <c r="V1609" i="1"/>
  <c r="AA1609" i="1"/>
  <c r="K1609" i="1"/>
  <c r="R1609" i="1"/>
  <c r="J1605" i="1"/>
  <c r="Z1605" i="1"/>
  <c r="S1605" i="1"/>
  <c r="L1605" i="1"/>
  <c r="AB1605" i="1"/>
  <c r="U1605" i="1"/>
  <c r="AD1605" i="1"/>
  <c r="P1605" i="1"/>
  <c r="Y1605" i="1"/>
  <c r="K1605" i="1"/>
  <c r="T1605" i="1"/>
  <c r="O1605" i="1"/>
  <c r="X1605" i="1"/>
  <c r="N1605" i="1"/>
  <c r="W1605" i="1"/>
  <c r="I1605" i="1"/>
  <c r="R1605" i="1"/>
  <c r="AA1605" i="1"/>
  <c r="AC1605" i="1"/>
  <c r="AE1605" i="1"/>
  <c r="M1605" i="1"/>
  <c r="Q1605" i="1"/>
  <c r="V1605" i="1"/>
  <c r="W1608" i="1"/>
  <c r="V1608" i="1"/>
  <c r="X1608" i="1"/>
  <c r="I1608" i="1"/>
  <c r="Y1608" i="1"/>
  <c r="AE1608" i="1"/>
  <c r="Q1608" i="1"/>
  <c r="S1608" i="1"/>
  <c r="J1608" i="1"/>
  <c r="Z1608" i="1"/>
  <c r="AD1608" i="1"/>
  <c r="K1608" i="1"/>
  <c r="AA1608" i="1"/>
  <c r="L1608" i="1"/>
  <c r="AB1608" i="1"/>
  <c r="M1608" i="1"/>
  <c r="AC1608" i="1"/>
  <c r="O1608" i="1"/>
  <c r="P1608" i="1"/>
  <c r="R1608" i="1"/>
  <c r="T1608" i="1"/>
  <c r="U1608" i="1"/>
  <c r="N1608" i="1"/>
  <c r="W1592" i="1"/>
  <c r="P1592" i="1"/>
  <c r="I1592" i="1"/>
  <c r="Y1592" i="1"/>
  <c r="R1592" i="1"/>
  <c r="K1592" i="1"/>
  <c r="AA1592" i="1"/>
  <c r="T1592" i="1"/>
  <c r="M1592" i="1"/>
  <c r="AC1592" i="1"/>
  <c r="V1592" i="1"/>
  <c r="L1592" i="1"/>
  <c r="U1592" i="1"/>
  <c r="AD1592" i="1"/>
  <c r="O1592" i="1"/>
  <c r="AE1592" i="1"/>
  <c r="X1592" i="1"/>
  <c r="Q1592" i="1"/>
  <c r="J1592" i="1"/>
  <c r="Z1592" i="1"/>
  <c r="S1592" i="1"/>
  <c r="AB1592" i="1"/>
  <c r="N1592" i="1"/>
  <c r="Y1589" i="1"/>
  <c r="I1589" i="1"/>
  <c r="S1589" i="1"/>
  <c r="J1589" i="1"/>
  <c r="L1589" i="1"/>
  <c r="U1589" i="1"/>
  <c r="AE1589" i="1"/>
  <c r="O1589" i="1"/>
  <c r="Q1589" i="1"/>
  <c r="AA1589" i="1"/>
  <c r="AC1589" i="1"/>
  <c r="M1589" i="1"/>
  <c r="W1589" i="1"/>
  <c r="AB1589" i="1"/>
  <c r="X1589" i="1"/>
  <c r="T1589" i="1"/>
  <c r="P1589" i="1"/>
  <c r="AD1589" i="1"/>
  <c r="Z1589" i="1"/>
  <c r="V1589" i="1"/>
  <c r="R1589" i="1"/>
  <c r="N1589" i="1"/>
  <c r="K1589" i="1"/>
  <c r="L1599" i="1"/>
  <c r="AB1599" i="1"/>
  <c r="U1599" i="1"/>
  <c r="N1599" i="1"/>
  <c r="AD1599" i="1"/>
  <c r="W1599" i="1"/>
  <c r="P1599" i="1"/>
  <c r="I1599" i="1"/>
  <c r="Y1599" i="1"/>
  <c r="R1599" i="1"/>
  <c r="K1599" i="1"/>
  <c r="AA1599" i="1"/>
  <c r="Q1599" i="1"/>
  <c r="Z1599" i="1"/>
  <c r="T1599" i="1"/>
  <c r="M1599" i="1"/>
  <c r="AC1599" i="1"/>
  <c r="V1599" i="1"/>
  <c r="O1599" i="1"/>
  <c r="AE1599" i="1"/>
  <c r="X1599" i="1"/>
  <c r="J1599" i="1"/>
  <c r="S1599" i="1"/>
  <c r="W1596" i="1"/>
  <c r="P1596" i="1"/>
  <c r="I1596" i="1"/>
  <c r="Y1596" i="1"/>
  <c r="R1596" i="1"/>
  <c r="S1596" i="1"/>
  <c r="L1596" i="1"/>
  <c r="N1596" i="1"/>
  <c r="K1596" i="1"/>
  <c r="AA1596" i="1"/>
  <c r="T1596" i="1"/>
  <c r="M1596" i="1"/>
  <c r="AC1596" i="1"/>
  <c r="V1596" i="1"/>
  <c r="X1596" i="1"/>
  <c r="J1596" i="1"/>
  <c r="AB1596" i="1"/>
  <c r="AD1596" i="1"/>
  <c r="O1596" i="1"/>
  <c r="AE1596" i="1"/>
  <c r="Q1596" i="1"/>
  <c r="Z1596" i="1"/>
  <c r="U1596" i="1"/>
  <c r="L1595" i="1"/>
  <c r="AB1595" i="1"/>
  <c r="U1595" i="1"/>
  <c r="N1595" i="1"/>
  <c r="AD1595" i="1"/>
  <c r="W1595" i="1"/>
  <c r="AE1595" i="1"/>
  <c r="Q1595" i="1"/>
  <c r="S1595" i="1"/>
  <c r="P1595" i="1"/>
  <c r="I1595" i="1"/>
  <c r="Y1595" i="1"/>
  <c r="R1595" i="1"/>
  <c r="K1595" i="1"/>
  <c r="AA1595" i="1"/>
  <c r="X1595" i="1"/>
  <c r="T1595" i="1"/>
  <c r="M1595" i="1"/>
  <c r="AC1595" i="1"/>
  <c r="V1595" i="1"/>
  <c r="O1595" i="1"/>
  <c r="J1595" i="1"/>
  <c r="Z1595" i="1"/>
  <c r="L1591" i="1"/>
  <c r="AB1591" i="1"/>
  <c r="U1591" i="1"/>
  <c r="N1591" i="1"/>
  <c r="AD1591" i="1"/>
  <c r="W1591" i="1"/>
  <c r="P1591" i="1"/>
  <c r="I1591" i="1"/>
  <c r="Y1591" i="1"/>
  <c r="R1591" i="1"/>
  <c r="K1591" i="1"/>
  <c r="AA1591" i="1"/>
  <c r="T1591" i="1"/>
  <c r="M1591" i="1"/>
  <c r="AC1591" i="1"/>
  <c r="V1591" i="1"/>
  <c r="O1591" i="1"/>
  <c r="AE1591" i="1"/>
  <c r="X1591" i="1"/>
  <c r="Q1591" i="1"/>
  <c r="J1591" i="1"/>
  <c r="Z1591" i="1"/>
  <c r="S1591" i="1"/>
  <c r="P1590" i="1"/>
  <c r="Z1590" i="1"/>
  <c r="R1590" i="1"/>
  <c r="K1590" i="1"/>
  <c r="Y1590" i="1"/>
  <c r="I1590" i="1"/>
  <c r="S1590" i="1"/>
  <c r="J1590" i="1"/>
  <c r="L1590" i="1"/>
  <c r="U1590" i="1"/>
  <c r="AE1590" i="1"/>
  <c r="O1590" i="1"/>
  <c r="Q1590" i="1"/>
  <c r="AA1590" i="1"/>
  <c r="AC1590" i="1"/>
  <c r="M1590" i="1"/>
  <c r="W1590" i="1"/>
  <c r="AB1590" i="1"/>
  <c r="X1590" i="1"/>
  <c r="T1590" i="1"/>
  <c r="AD1590" i="1"/>
  <c r="V1590" i="1"/>
  <c r="N1590" i="1"/>
  <c r="T1603" i="1"/>
  <c r="M1603" i="1"/>
  <c r="AC1603" i="1"/>
  <c r="V1603" i="1"/>
  <c r="O1603" i="1"/>
  <c r="AE1603" i="1"/>
  <c r="AD1603" i="1"/>
  <c r="P1603" i="1"/>
  <c r="R1603" i="1"/>
  <c r="X1603" i="1"/>
  <c r="Q1603" i="1"/>
  <c r="J1603" i="1"/>
  <c r="Z1603" i="1"/>
  <c r="S1603" i="1"/>
  <c r="U1603" i="1"/>
  <c r="W1603" i="1"/>
  <c r="I1603" i="1"/>
  <c r="K1603" i="1"/>
  <c r="L1603" i="1"/>
  <c r="AB1603" i="1"/>
  <c r="N1603" i="1"/>
  <c r="Y1603" i="1"/>
  <c r="AA1603" i="1"/>
  <c r="S1600" i="1"/>
  <c r="L1600" i="1"/>
  <c r="AB1600" i="1"/>
  <c r="U1600" i="1"/>
  <c r="N1600" i="1"/>
  <c r="AD1600" i="1"/>
  <c r="AC1600" i="1"/>
  <c r="AE1600" i="1"/>
  <c r="X1600" i="1"/>
  <c r="Z1600" i="1"/>
  <c r="W1600" i="1"/>
  <c r="P1600" i="1"/>
  <c r="I1600" i="1"/>
  <c r="Y1600" i="1"/>
  <c r="R1600" i="1"/>
  <c r="T1600" i="1"/>
  <c r="V1600" i="1"/>
  <c r="O1600" i="1"/>
  <c r="Q1600" i="1"/>
  <c r="K1600" i="1"/>
  <c r="AA1600" i="1"/>
  <c r="M1600" i="1"/>
  <c r="J1600" i="1"/>
  <c r="Q1594" i="1"/>
  <c r="J1594" i="1"/>
  <c r="Z1594" i="1"/>
  <c r="S1594" i="1"/>
  <c r="L1594" i="1"/>
  <c r="AB1594" i="1"/>
  <c r="N1594" i="1"/>
  <c r="W1594" i="1"/>
  <c r="P1594" i="1"/>
  <c r="T1594" i="1"/>
  <c r="O1594" i="1"/>
  <c r="U1594" i="1"/>
  <c r="AD1594" i="1"/>
  <c r="AA1594" i="1"/>
  <c r="V1594" i="1"/>
  <c r="I1594" i="1"/>
  <c r="Y1594" i="1"/>
  <c r="R1594" i="1"/>
  <c r="K1594" i="1"/>
  <c r="AC1594" i="1"/>
  <c r="X1594" i="1"/>
  <c r="M1594" i="1"/>
  <c r="AE1594" i="1"/>
  <c r="K1587" i="1"/>
  <c r="X1587" i="1"/>
  <c r="AD1587" i="1"/>
  <c r="V1587" i="1"/>
  <c r="R1587" i="1"/>
  <c r="Y1587" i="1"/>
  <c r="I1587" i="1"/>
  <c r="S1587" i="1"/>
  <c r="J1587" i="1"/>
  <c r="L1587" i="1"/>
  <c r="U1587" i="1"/>
  <c r="AE1587" i="1"/>
  <c r="O1587" i="1"/>
  <c r="Q1587" i="1"/>
  <c r="AA1587" i="1"/>
  <c r="AC1587" i="1"/>
  <c r="M1587" i="1"/>
  <c r="W1587" i="1"/>
  <c r="AB1587" i="1"/>
  <c r="T1587" i="1"/>
  <c r="P1587" i="1"/>
  <c r="Z1587" i="1"/>
  <c r="N1587" i="1"/>
  <c r="R1597" i="1"/>
  <c r="K1597" i="1"/>
  <c r="AA1597" i="1"/>
  <c r="T1597" i="1"/>
  <c r="M1597" i="1"/>
  <c r="AC1597" i="1"/>
  <c r="Q1597" i="1"/>
  <c r="U1597" i="1"/>
  <c r="W1597" i="1"/>
  <c r="V1597" i="1"/>
  <c r="O1597" i="1"/>
  <c r="AE1597" i="1"/>
  <c r="X1597" i="1"/>
  <c r="AB1597" i="1"/>
  <c r="AD1597" i="1"/>
  <c r="Y1597" i="1"/>
  <c r="J1597" i="1"/>
  <c r="Z1597" i="1"/>
  <c r="S1597" i="1"/>
  <c r="L1597" i="1"/>
  <c r="N1597" i="1"/>
  <c r="I1597" i="1"/>
  <c r="P1597" i="1"/>
  <c r="T1607" i="1"/>
  <c r="M1607" i="1"/>
  <c r="AC1607" i="1"/>
  <c r="R1607" i="1"/>
  <c r="K1607" i="1"/>
  <c r="AE1607" i="1"/>
  <c r="Q1607" i="1"/>
  <c r="AA1607" i="1"/>
  <c r="V1607" i="1"/>
  <c r="O1607" i="1"/>
  <c r="S1607" i="1"/>
  <c r="P1607" i="1"/>
  <c r="I1607" i="1"/>
  <c r="Y1607" i="1"/>
  <c r="AD1607" i="1"/>
  <c r="X1607" i="1"/>
  <c r="W1607" i="1"/>
  <c r="L1607" i="1"/>
  <c r="AB1607" i="1"/>
  <c r="U1607" i="1"/>
  <c r="J1607" i="1"/>
  <c r="Z1607" i="1"/>
  <c r="N1607" i="1"/>
  <c r="K1604" i="1"/>
  <c r="AA1604" i="1"/>
  <c r="T1604" i="1"/>
  <c r="M1604" i="1"/>
  <c r="AC1604" i="1"/>
  <c r="V1604" i="1"/>
  <c r="R1604" i="1"/>
  <c r="O1604" i="1"/>
  <c r="AE1604" i="1"/>
  <c r="X1604" i="1"/>
  <c r="Q1604" i="1"/>
  <c r="J1604" i="1"/>
  <c r="Z1604" i="1"/>
  <c r="I1604" i="1"/>
  <c r="S1604" i="1"/>
  <c r="L1604" i="1"/>
  <c r="AB1604" i="1"/>
  <c r="U1604" i="1"/>
  <c r="N1604" i="1"/>
  <c r="AD1604" i="1"/>
  <c r="W1604" i="1"/>
  <c r="P1604" i="1"/>
  <c r="Y1604" i="1"/>
  <c r="J1593" i="1"/>
  <c r="Z1593" i="1"/>
  <c r="S1593" i="1"/>
  <c r="L1593" i="1"/>
  <c r="AB1593" i="1"/>
  <c r="U1593" i="1"/>
  <c r="W1593" i="1"/>
  <c r="I1593" i="1"/>
  <c r="AE1593" i="1"/>
  <c r="N1593" i="1"/>
  <c r="AD1593" i="1"/>
  <c r="P1593" i="1"/>
  <c r="Y1593" i="1"/>
  <c r="O1593" i="1"/>
  <c r="Q1593" i="1"/>
  <c r="R1593" i="1"/>
  <c r="K1593" i="1"/>
  <c r="AA1593" i="1"/>
  <c r="T1593" i="1"/>
  <c r="M1593" i="1"/>
  <c r="AC1593" i="1"/>
  <c r="V1593" i="1"/>
  <c r="X1593" i="1"/>
  <c r="W1588" i="1"/>
  <c r="AD1588" i="1"/>
  <c r="X1588" i="1"/>
  <c r="V1588" i="1"/>
  <c r="AB1588" i="1"/>
  <c r="Z1588" i="1"/>
  <c r="N1588" i="1"/>
  <c r="K1588" i="1"/>
  <c r="Y1588" i="1"/>
  <c r="I1588" i="1"/>
  <c r="S1588" i="1"/>
  <c r="J1588" i="1"/>
  <c r="L1588" i="1"/>
  <c r="U1588" i="1"/>
  <c r="AE1588" i="1"/>
  <c r="O1588" i="1"/>
  <c r="Q1588" i="1"/>
  <c r="AA1588" i="1"/>
  <c r="AC1588" i="1"/>
  <c r="M1588" i="1"/>
  <c r="T1588" i="1"/>
  <c r="P1588" i="1"/>
  <c r="R1588" i="1"/>
  <c r="G1422" i="1"/>
  <c r="G1420" i="1"/>
  <c r="G1423" i="1"/>
  <c r="AE1424" i="1"/>
  <c r="G1424" i="1" s="1"/>
  <c r="AE1433" i="1"/>
  <c r="O1610" i="1" l="1"/>
  <c r="O1578" i="1" s="1"/>
  <c r="O1260" i="1" s="1"/>
  <c r="J52" i="4" s="1"/>
  <c r="J52" i="49" s="1"/>
  <c r="N1610" i="1"/>
  <c r="N1578" i="1" s="1"/>
  <c r="N1260" i="1" s="1"/>
  <c r="N1261" i="1" s="1"/>
  <c r="N1267" i="1" s="1"/>
  <c r="R1610" i="1"/>
  <c r="R1578" i="1" s="1"/>
  <c r="R1260" i="1" s="1"/>
  <c r="R1261" i="1" s="1"/>
  <c r="R1267" i="1" s="1"/>
  <c r="R1275" i="1" s="1"/>
  <c r="AB1610" i="1"/>
  <c r="AB1578" i="1" s="1"/>
  <c r="AB1260" i="1" s="1"/>
  <c r="AB1261" i="1" s="1"/>
  <c r="AB1267" i="1" s="1"/>
  <c r="AB1283" i="1" s="1"/>
  <c r="AB1284" i="1" s="1"/>
  <c r="I1610" i="1"/>
  <c r="I1578" i="1" s="1"/>
  <c r="I1579" i="1" s="1"/>
  <c r="I1301" i="1" s="1"/>
  <c r="W1610" i="1"/>
  <c r="W1578" i="1" s="1"/>
  <c r="W1260" i="1" s="1"/>
  <c r="W1261" i="1" s="1"/>
  <c r="W1267" i="1" s="1"/>
  <c r="W1283" i="1" s="1"/>
  <c r="W1284" i="1" s="1"/>
  <c r="L1610" i="1"/>
  <c r="L1578" i="1" s="1"/>
  <c r="U1578" i="53" s="1"/>
  <c r="U1260" i="53" s="1"/>
  <c r="U1261" i="53" s="1"/>
  <c r="U1267" i="53" s="1"/>
  <c r="T1610" i="1"/>
  <c r="T1578" i="1" s="1"/>
  <c r="T1260" i="1" s="1"/>
  <c r="T1261" i="1" s="1"/>
  <c r="T1267" i="1" s="1"/>
  <c r="T1283" i="1" s="1"/>
  <c r="T1284" i="1" s="1"/>
  <c r="AE1610" i="1"/>
  <c r="AE1578" i="1" s="1"/>
  <c r="AE1260" i="1" s="1"/>
  <c r="AE1261" i="1" s="1"/>
  <c r="AE1267" i="1" s="1"/>
  <c r="AE1275" i="1" s="1"/>
  <c r="S1610" i="1"/>
  <c r="S1578" i="1" s="1"/>
  <c r="S1260" i="1" s="1"/>
  <c r="S1261" i="1" s="1"/>
  <c r="S1267" i="1" s="1"/>
  <c r="S1275" i="1" s="1"/>
  <c r="V1610" i="1"/>
  <c r="V1578" i="1" s="1"/>
  <c r="V1260" i="1" s="1"/>
  <c r="V1261" i="1" s="1"/>
  <c r="V1267" i="1" s="1"/>
  <c r="V1275" i="1" s="1"/>
  <c r="AD1610" i="1"/>
  <c r="AD1578" i="1" s="1"/>
  <c r="AD1260" i="1" s="1"/>
  <c r="AD1261" i="1" s="1"/>
  <c r="AD1267" i="1" s="1"/>
  <c r="AD1283" i="1" s="1"/>
  <c r="AD1284" i="1" s="1"/>
  <c r="X1610" i="1"/>
  <c r="X1578" i="1" s="1"/>
  <c r="X1260" i="1" s="1"/>
  <c r="X1261" i="1" s="1"/>
  <c r="X1267" i="1" s="1"/>
  <c r="X1275" i="1" s="1"/>
  <c r="Y1610" i="1"/>
  <c r="Y1578" i="1" s="1"/>
  <c r="Y1260" i="1" s="1"/>
  <c r="Y1261" i="1" s="1"/>
  <c r="Y1267" i="1" s="1"/>
  <c r="Y1275" i="1" s="1"/>
  <c r="Q1610" i="1"/>
  <c r="Q1578" i="1" s="1"/>
  <c r="Q1260" i="1" s="1"/>
  <c r="Q1261" i="1" s="1"/>
  <c r="Q1267" i="1" s="1"/>
  <c r="Q1275" i="1" s="1"/>
  <c r="P1610" i="1"/>
  <c r="P1578" i="1" s="1"/>
  <c r="P1260" i="1" s="1"/>
  <c r="P1261" i="1" s="1"/>
  <c r="P1267" i="1" s="1"/>
  <c r="P1283" i="1" s="1"/>
  <c r="P1284" i="1" s="1"/>
  <c r="AA1610" i="1"/>
  <c r="AA1578" i="1" s="1"/>
  <c r="AA1260" i="1" s="1"/>
  <c r="AA1261" i="1" s="1"/>
  <c r="AA1267" i="1" s="1"/>
  <c r="AA1275" i="1" s="1"/>
  <c r="U1610" i="1"/>
  <c r="U1578" i="1" s="1"/>
  <c r="U1260" i="1" s="1"/>
  <c r="U1261" i="1" s="1"/>
  <c r="U1267" i="1" s="1"/>
  <c r="U1275" i="1" s="1"/>
  <c r="Z1610" i="1"/>
  <c r="Z1578" i="1" s="1"/>
  <c r="Z1260" i="1" s="1"/>
  <c r="Z1261" i="1" s="1"/>
  <c r="Z1267" i="1" s="1"/>
  <c r="Z1275" i="1" s="1"/>
  <c r="AC1610" i="1"/>
  <c r="AC1578" i="1" s="1"/>
  <c r="AC1260" i="1" s="1"/>
  <c r="AC1261" i="1" s="1"/>
  <c r="AC1267" i="1" s="1"/>
  <c r="AC1283" i="1" s="1"/>
  <c r="AC1284" i="1" s="1"/>
  <c r="AC1287" i="1" s="1"/>
  <c r="K1610" i="1"/>
  <c r="K1578" i="1" s="1"/>
  <c r="T1578" i="53" s="1"/>
  <c r="T1260" i="53" s="1"/>
  <c r="T1261" i="53" s="1"/>
  <c r="T1267" i="53" s="1"/>
  <c r="T1275" i="53" s="1"/>
  <c r="M1610" i="1"/>
  <c r="M1578" i="1" s="1"/>
  <c r="M1260" i="1" s="1"/>
  <c r="M1261" i="1" s="1"/>
  <c r="J1610" i="1"/>
  <c r="J1578" i="1" s="1"/>
  <c r="N1578" i="53" s="1"/>
  <c r="N1260" i="53" s="1"/>
  <c r="N1261" i="53" s="1"/>
  <c r="N1267" i="53" s="1"/>
  <c r="N1283" i="53" s="1"/>
  <c r="N1284" i="53" s="1"/>
  <c r="G1433" i="1"/>
  <c r="G1436" i="1"/>
  <c r="G1435" i="1"/>
  <c r="R1578" i="53" l="1"/>
  <c r="R1260" i="53" s="1"/>
  <c r="R1261" i="53" s="1"/>
  <c r="R1267" i="53" s="1"/>
  <c r="R1283" i="53" s="1"/>
  <c r="R1284" i="53" s="1"/>
  <c r="AE1283" i="1"/>
  <c r="AE1284" i="1" s="1"/>
  <c r="AE1276" i="1" s="1"/>
  <c r="AE1278" i="1" s="1"/>
  <c r="AE1280" i="1" s="1"/>
  <c r="I52" i="4"/>
  <c r="I52" i="49" s="1"/>
  <c r="T1275" i="1"/>
  <c r="U1283" i="1"/>
  <c r="U1284" i="1" s="1"/>
  <c r="U1287" i="1" s="1"/>
  <c r="AA1283" i="1"/>
  <c r="AA1284" i="1" s="1"/>
  <c r="AA1276" i="1" s="1"/>
  <c r="AA1278" i="1" s="1"/>
  <c r="AA1280" i="1" s="1"/>
  <c r="O1261" i="1"/>
  <c r="J53" i="4" s="1"/>
  <c r="J53" i="49" s="1"/>
  <c r="J1576" i="1"/>
  <c r="J1579" i="1" s="1"/>
  <c r="AB1275" i="1"/>
  <c r="I53" i="4"/>
  <c r="I53" i="49" s="1"/>
  <c r="P1578" i="53"/>
  <c r="P1260" i="53" s="1"/>
  <c r="P1261" i="53" s="1"/>
  <c r="P1267" i="53" s="1"/>
  <c r="P1275" i="53" s="1"/>
  <c r="V1283" i="1"/>
  <c r="V1284" i="1" s="1"/>
  <c r="V1276" i="1" s="1"/>
  <c r="V1278" i="1" s="1"/>
  <c r="V1280" i="1" s="1"/>
  <c r="D75" i="4"/>
  <c r="D75" i="49" s="1"/>
  <c r="I1302" i="1"/>
  <c r="I1315" i="1" s="1"/>
  <c r="X1283" i="1"/>
  <c r="X1284" i="1" s="1"/>
  <c r="X1276" i="1" s="1"/>
  <c r="X1278" i="1" s="1"/>
  <c r="X1280" i="1" s="1"/>
  <c r="Q1578" i="53"/>
  <c r="Q1260" i="53" s="1"/>
  <c r="Q1261" i="53" s="1"/>
  <c r="Q1267" i="53" s="1"/>
  <c r="Q1283" i="53" s="1"/>
  <c r="Q1284" i="53" s="1"/>
  <c r="S1578" i="53"/>
  <c r="S1260" i="53" s="1"/>
  <c r="S1261" i="53" s="1"/>
  <c r="S1267" i="53" s="1"/>
  <c r="S1275" i="53" s="1"/>
  <c r="M1578" i="53"/>
  <c r="M1260" i="53" s="1"/>
  <c r="M1261" i="53" s="1"/>
  <c r="V1578" i="53"/>
  <c r="V1260" i="53" s="1"/>
  <c r="V1261" i="53" s="1"/>
  <c r="V1267" i="53" s="1"/>
  <c r="R1275" i="53"/>
  <c r="O1578" i="53"/>
  <c r="O1260" i="53" s="1"/>
  <c r="O1261" i="53" s="1"/>
  <c r="O1267" i="53" s="1"/>
  <c r="O1275" i="53" s="1"/>
  <c r="Q1283" i="1"/>
  <c r="Q1284" i="1" s="1"/>
  <c r="Q1287" i="1" s="1"/>
  <c r="R1283" i="1"/>
  <c r="R1284" i="1" s="1"/>
  <c r="R1276" i="1" s="1"/>
  <c r="R1278" i="1" s="1"/>
  <c r="R1280" i="1" s="1"/>
  <c r="T1283" i="53"/>
  <c r="T1284" i="53" s="1"/>
  <c r="T1276" i="53" s="1"/>
  <c r="T1278" i="53" s="1"/>
  <c r="T1280" i="53" s="1"/>
  <c r="AC1275" i="1"/>
  <c r="P1275" i="1"/>
  <c r="AD1275" i="1"/>
  <c r="AB1276" i="1"/>
  <c r="AB1287" i="1"/>
  <c r="P1276" i="1"/>
  <c r="P1287" i="1"/>
  <c r="Z1283" i="1"/>
  <c r="Z1284" i="1" s="1"/>
  <c r="H53" i="4"/>
  <c r="H53" i="49" s="1"/>
  <c r="M1267" i="1"/>
  <c r="M1283" i="1" s="1"/>
  <c r="M1284" i="1" s="1"/>
  <c r="W1276" i="1"/>
  <c r="W1287" i="1"/>
  <c r="AC1276" i="1"/>
  <c r="Y1283" i="1"/>
  <c r="Y1284" i="1" s="1"/>
  <c r="H52" i="4"/>
  <c r="H52" i="49" s="1"/>
  <c r="W1275" i="1"/>
  <c r="S1283" i="1"/>
  <c r="S1284" i="1" s="1"/>
  <c r="AD1276" i="1"/>
  <c r="AD1287" i="1"/>
  <c r="T1287" i="1"/>
  <c r="T1276" i="1"/>
  <c r="N1275" i="53"/>
  <c r="N1287" i="53"/>
  <c r="N1276" i="53"/>
  <c r="U1275" i="53"/>
  <c r="U1283" i="53"/>
  <c r="U1284" i="53" s="1"/>
  <c r="R1287" i="53"/>
  <c r="R1276" i="53"/>
  <c r="I59" i="4"/>
  <c r="I59" i="49" s="1"/>
  <c r="N1275" i="1"/>
  <c r="N1283" i="1"/>
  <c r="N1284" i="1" s="1"/>
  <c r="P328" i="3"/>
  <c r="P349" i="3" s="1"/>
  <c r="AA1287" i="1" l="1"/>
  <c r="AE1287" i="1"/>
  <c r="AE1289" i="1" s="1"/>
  <c r="T1278" i="1"/>
  <c r="T1280" i="1" s="1"/>
  <c r="U1276" i="1"/>
  <c r="U1278" i="1" s="1"/>
  <c r="U1280" i="1" s="1"/>
  <c r="U1289" i="1" s="1"/>
  <c r="U1358" i="1" s="1"/>
  <c r="Q1275" i="53"/>
  <c r="V1287" i="1"/>
  <c r="V1289" i="1" s="1"/>
  <c r="V1358" i="1" s="1"/>
  <c r="D76" i="4"/>
  <c r="D89" i="4" s="1"/>
  <c r="R1278" i="53"/>
  <c r="R1280" i="53" s="1"/>
  <c r="R1289" i="53" s="1"/>
  <c r="AA1289" i="1"/>
  <c r="AA1269" i="1" s="1"/>
  <c r="AA1270" i="1" s="1"/>
  <c r="AA1365" i="1" s="1"/>
  <c r="AB1278" i="1"/>
  <c r="AB1280" i="1" s="1"/>
  <c r="AB1289" i="1" s="1"/>
  <c r="AB1269" i="1" s="1"/>
  <c r="AB1270" i="1" s="1"/>
  <c r="AB1365" i="1" s="1"/>
  <c r="O1267" i="1"/>
  <c r="M1579" i="53"/>
  <c r="N1576" i="53" s="1"/>
  <c r="N1579" i="53" s="1"/>
  <c r="O1576" i="53" s="1"/>
  <c r="O1579" i="53" s="1"/>
  <c r="K1260" i="1"/>
  <c r="K1261" i="1" s="1"/>
  <c r="F53" i="4" s="1"/>
  <c r="F53" i="49" s="1"/>
  <c r="P1283" i="53"/>
  <c r="P1284" i="53" s="1"/>
  <c r="P1276" i="53" s="1"/>
  <c r="P1278" i="53" s="1"/>
  <c r="P1280" i="53" s="1"/>
  <c r="Q1276" i="1"/>
  <c r="Q1278" i="1" s="1"/>
  <c r="Q1280" i="1" s="1"/>
  <c r="Q1289" i="1" s="1"/>
  <c r="Q1358" i="1" s="1"/>
  <c r="S1283" i="53"/>
  <c r="S1284" i="53" s="1"/>
  <c r="P1278" i="1"/>
  <c r="P1280" i="1" s="1"/>
  <c r="P1289" i="1" s="1"/>
  <c r="P1358" i="1" s="1"/>
  <c r="X1287" i="1"/>
  <c r="X1289" i="1" s="1"/>
  <c r="L1260" i="1"/>
  <c r="L1261" i="1" s="1"/>
  <c r="G53" i="4" s="1"/>
  <c r="G53" i="49" s="1"/>
  <c r="AC1278" i="1"/>
  <c r="AC1280" i="1" s="1"/>
  <c r="AC1289" i="1" s="1"/>
  <c r="AC1358" i="1" s="1"/>
  <c r="H59" i="4"/>
  <c r="H59" i="49" s="1"/>
  <c r="T1287" i="53"/>
  <c r="T1289" i="53" s="1"/>
  <c r="V1275" i="53"/>
  <c r="V1283" i="53"/>
  <c r="V1284" i="53" s="1"/>
  <c r="J1260" i="1"/>
  <c r="J1261" i="1" s="1"/>
  <c r="AD1278" i="1"/>
  <c r="AD1280" i="1" s="1"/>
  <c r="AD1289" i="1" s="1"/>
  <c r="O1283" i="53"/>
  <c r="O1284" i="53" s="1"/>
  <c r="G1260" i="53"/>
  <c r="R1287" i="1"/>
  <c r="R1289" i="1" s="1"/>
  <c r="M1275" i="1"/>
  <c r="T1289" i="1"/>
  <c r="T1269" i="1" s="1"/>
  <c r="T1270" i="1" s="1"/>
  <c r="T1365" i="1" s="1"/>
  <c r="Z1276" i="1"/>
  <c r="Z1278" i="1" s="1"/>
  <c r="Z1280" i="1" s="1"/>
  <c r="Z1287" i="1"/>
  <c r="N1278" i="53"/>
  <c r="N1280" i="53" s="1"/>
  <c r="N1289" i="53" s="1"/>
  <c r="Y1287" i="1"/>
  <c r="Y1276" i="1"/>
  <c r="Y1278" i="1" s="1"/>
  <c r="Y1280" i="1" s="1"/>
  <c r="S1287" i="1"/>
  <c r="S1276" i="1"/>
  <c r="S1278" i="1" s="1"/>
  <c r="S1280" i="1" s="1"/>
  <c r="W1278" i="1"/>
  <c r="W1280" i="1" s="1"/>
  <c r="W1289" i="1" s="1"/>
  <c r="W1269" i="1" s="1"/>
  <c r="W1270" i="1" s="1"/>
  <c r="W1365" i="1" s="1"/>
  <c r="J1301" i="1"/>
  <c r="E75" i="4" s="1"/>
  <c r="E75" i="49" s="1"/>
  <c r="K1576" i="1"/>
  <c r="K1579" i="1" s="1"/>
  <c r="G1261" i="53"/>
  <c r="M1267" i="53"/>
  <c r="AA1358" i="1"/>
  <c r="N1276" i="1"/>
  <c r="N1278" i="1" s="1"/>
  <c r="N1280" i="1" s="1"/>
  <c r="N1287" i="1"/>
  <c r="Q1287" i="53"/>
  <c r="Q1276" i="53"/>
  <c r="Q1278" i="53" s="1"/>
  <c r="Q1280" i="53" s="1"/>
  <c r="M1287" i="1"/>
  <c r="M1276" i="1"/>
  <c r="U1287" i="53"/>
  <c r="U1276" i="53"/>
  <c r="U1278" i="53" s="1"/>
  <c r="U1280" i="53" s="1"/>
  <c r="U1269" i="1" l="1"/>
  <c r="U1270" i="1" s="1"/>
  <c r="U1365" i="1" s="1"/>
  <c r="AE1358" i="1"/>
  <c r="AE1269" i="1"/>
  <c r="AE1270" i="1" s="1"/>
  <c r="AE1365" i="1" s="1"/>
  <c r="D76" i="49"/>
  <c r="D89" i="49" s="1"/>
  <c r="M1278" i="1"/>
  <c r="M1280" i="1" s="1"/>
  <c r="M1289" i="1" s="1"/>
  <c r="M1358" i="1" s="1"/>
  <c r="N1301" i="53"/>
  <c r="L1267" i="1"/>
  <c r="G59" i="4" s="1"/>
  <c r="G59" i="49" s="1"/>
  <c r="K1267" i="1"/>
  <c r="F59" i="4" s="1"/>
  <c r="F59" i="49" s="1"/>
  <c r="F52" i="4"/>
  <c r="F52" i="49" s="1"/>
  <c r="M1301" i="53"/>
  <c r="J59" i="4"/>
  <c r="J59" i="49" s="1"/>
  <c r="O1275" i="1"/>
  <c r="O1283" i="1"/>
  <c r="O1284" i="1" s="1"/>
  <c r="P1287" i="53"/>
  <c r="P1289" i="53" s="1"/>
  <c r="AC1269" i="1"/>
  <c r="AC1270" i="1" s="1"/>
  <c r="AC1365" i="1" s="1"/>
  <c r="Q1269" i="1"/>
  <c r="Q1270" i="1" s="1"/>
  <c r="Q1365" i="1" s="1"/>
  <c r="G52" i="4"/>
  <c r="G52" i="49" s="1"/>
  <c r="S1287" i="53"/>
  <c r="S1276" i="53"/>
  <c r="S1278" i="53" s="1"/>
  <c r="S1280" i="53" s="1"/>
  <c r="X1269" i="1"/>
  <c r="X1270" i="1" s="1"/>
  <c r="X1365" i="1" s="1"/>
  <c r="X1358" i="1"/>
  <c r="G1260" i="1"/>
  <c r="G1843" i="1" s="1"/>
  <c r="V1269" i="1"/>
  <c r="V1270" i="1" s="1"/>
  <c r="V1365" i="1" s="1"/>
  <c r="E52" i="4"/>
  <c r="E52" i="49" s="1"/>
  <c r="V1287" i="53"/>
  <c r="V1276" i="53"/>
  <c r="V1278" i="53" s="1"/>
  <c r="V1280" i="53" s="1"/>
  <c r="P1269" i="1"/>
  <c r="P1270" i="1" s="1"/>
  <c r="P1365" i="1" s="1"/>
  <c r="O1276" i="53"/>
  <c r="O1278" i="53" s="1"/>
  <c r="O1280" i="53" s="1"/>
  <c r="O1287" i="53"/>
  <c r="R1358" i="1"/>
  <c r="R1269" i="1"/>
  <c r="R1270" i="1" s="1"/>
  <c r="R1365" i="1" s="1"/>
  <c r="T1358" i="1"/>
  <c r="AB1358" i="1"/>
  <c r="U1289" i="53"/>
  <c r="Q1289" i="53"/>
  <c r="W1358" i="1"/>
  <c r="Y1289" i="1"/>
  <c r="Y1269" i="1" s="1"/>
  <c r="Y1270" i="1" s="1"/>
  <c r="Y1365" i="1" s="1"/>
  <c r="Z1289" i="1"/>
  <c r="N1289" i="1"/>
  <c r="N1358" i="1" s="1"/>
  <c r="S1289" i="1"/>
  <c r="S1269" i="1" s="1"/>
  <c r="S1270" i="1" s="1"/>
  <c r="S1365" i="1" s="1"/>
  <c r="AD1269" i="1"/>
  <c r="AD1270" i="1" s="1"/>
  <c r="AD1365" i="1" s="1"/>
  <c r="AD1358" i="1"/>
  <c r="K1301" i="1"/>
  <c r="F75" i="4" s="1"/>
  <c r="F75" i="49" s="1"/>
  <c r="L1576" i="1"/>
  <c r="L1579" i="1" s="1"/>
  <c r="E53" i="4"/>
  <c r="E53" i="49" s="1"/>
  <c r="J1267" i="1"/>
  <c r="G1261" i="1"/>
  <c r="P1576" i="53"/>
  <c r="P1579" i="53" s="1"/>
  <c r="O1301" i="53"/>
  <c r="G1267" i="53"/>
  <c r="M1275" i="53"/>
  <c r="M1283" i="53"/>
  <c r="L1283" i="1" l="1"/>
  <c r="L1284" i="1" s="1"/>
  <c r="L1287" i="1" s="1"/>
  <c r="L1275" i="1"/>
  <c r="K1275" i="1"/>
  <c r="K1283" i="1"/>
  <c r="K1284" i="1" s="1"/>
  <c r="K1287" i="1" s="1"/>
  <c r="G1843" i="53"/>
  <c r="G1850" i="53" s="1"/>
  <c r="S1289" i="53"/>
  <c r="O1287" i="1"/>
  <c r="O1276" i="1"/>
  <c r="O1278" i="1" s="1"/>
  <c r="O1280" i="1" s="1"/>
  <c r="V1289" i="53"/>
  <c r="O1289" i="53"/>
  <c r="M1269" i="1"/>
  <c r="M1270" i="1" s="1"/>
  <c r="N1269" i="1"/>
  <c r="N1270" i="1" s="1"/>
  <c r="Y1358" i="1"/>
  <c r="S1358" i="1"/>
  <c r="Z1269" i="1"/>
  <c r="Z1270" i="1" s="1"/>
  <c r="Z1365" i="1" s="1"/>
  <c r="Z1358" i="1"/>
  <c r="L1301" i="1"/>
  <c r="G75" i="4" s="1"/>
  <c r="G75" i="49" s="1"/>
  <c r="M1576" i="1"/>
  <c r="M1579" i="1" s="1"/>
  <c r="E59" i="4"/>
  <c r="E59" i="49" s="1"/>
  <c r="G1267" i="1"/>
  <c r="J1275" i="1"/>
  <c r="J1283" i="1"/>
  <c r="G1845" i="1"/>
  <c r="G1850" i="1"/>
  <c r="G1854" i="1"/>
  <c r="G1849" i="1"/>
  <c r="G1853" i="1"/>
  <c r="G1848" i="1"/>
  <c r="G1852" i="1"/>
  <c r="G1856" i="1"/>
  <c r="G1855" i="1"/>
  <c r="G1851" i="1"/>
  <c r="G1275" i="53"/>
  <c r="G1283" i="53"/>
  <c r="M1284" i="53"/>
  <c r="Q1576" i="53"/>
  <c r="Q1579" i="53" s="1"/>
  <c r="P1301" i="53"/>
  <c r="H61" i="4" l="1"/>
  <c r="H61" i="49" s="1"/>
  <c r="G1849" i="53"/>
  <c r="L1276" i="1"/>
  <c r="L1278" i="1" s="1"/>
  <c r="L1280" i="1" s="1"/>
  <c r="L1289" i="1" s="1"/>
  <c r="L1269" i="1" s="1"/>
  <c r="K1276" i="1"/>
  <c r="K1278" i="1" s="1"/>
  <c r="K1280" i="1" s="1"/>
  <c r="K1289" i="1" s="1"/>
  <c r="K1269" i="1" s="1"/>
  <c r="G1856" i="53"/>
  <c r="C1856" i="53" s="1"/>
  <c r="G1855" i="53"/>
  <c r="C1855" i="53" s="1"/>
  <c r="G1853" i="53"/>
  <c r="C1853" i="53" s="1"/>
  <c r="G1845" i="53"/>
  <c r="G1854" i="53"/>
  <c r="C1854" i="53" s="1"/>
  <c r="G1852" i="53"/>
  <c r="C1852" i="53" s="1"/>
  <c r="G1851" i="53"/>
  <c r="C1851" i="53" s="1"/>
  <c r="G1848" i="53"/>
  <c r="C1848" i="53" s="1"/>
  <c r="I61" i="4"/>
  <c r="I61" i="49" s="1"/>
  <c r="O1289" i="1"/>
  <c r="N1576" i="1"/>
  <c r="N1579" i="1" s="1"/>
  <c r="M1301" i="1"/>
  <c r="H75" i="4" s="1"/>
  <c r="H75" i="49" s="1"/>
  <c r="C1849" i="53"/>
  <c r="D55" i="3"/>
  <c r="D63" i="3" s="1"/>
  <c r="C1855" i="1"/>
  <c r="B55" i="3" s="1"/>
  <c r="B63" i="3" s="1"/>
  <c r="D24" i="3"/>
  <c r="D53" i="3"/>
  <c r="C1853" i="1"/>
  <c r="B53" i="3" s="1"/>
  <c r="D56" i="3"/>
  <c r="D64" i="3" s="1"/>
  <c r="C1856" i="1"/>
  <c r="B56" i="3" s="1"/>
  <c r="B64" i="3" s="1"/>
  <c r="D49" i="3"/>
  <c r="D60" i="3" s="1"/>
  <c r="C1849" i="1"/>
  <c r="B49" i="3" s="1"/>
  <c r="B60" i="3" s="1"/>
  <c r="H62" i="4"/>
  <c r="H62" i="49" s="1"/>
  <c r="M1365" i="1"/>
  <c r="C1850" i="53"/>
  <c r="D52" i="3"/>
  <c r="D62" i="3" s="1"/>
  <c r="C1852" i="1"/>
  <c r="B52" i="3" s="1"/>
  <c r="B62" i="3" s="1"/>
  <c r="D54" i="3"/>
  <c r="D25" i="3"/>
  <c r="C1854" i="1"/>
  <c r="B54" i="3" s="1"/>
  <c r="G1283" i="1"/>
  <c r="J1284" i="1"/>
  <c r="I62" i="4"/>
  <c r="I62" i="49" s="1"/>
  <c r="N1365" i="1"/>
  <c r="R1576" i="53"/>
  <c r="R1579" i="53" s="1"/>
  <c r="Q1301" i="53"/>
  <c r="G1284" i="53"/>
  <c r="M1287" i="53"/>
  <c r="G1287" i="53" s="1"/>
  <c r="M1276" i="53"/>
  <c r="D51" i="3"/>
  <c r="D61" i="3" s="1"/>
  <c r="C1851" i="1"/>
  <c r="B51" i="3" s="1"/>
  <c r="B61" i="3" s="1"/>
  <c r="D48" i="3"/>
  <c r="G1857" i="1"/>
  <c r="H1855" i="1" s="1"/>
  <c r="C1848" i="1"/>
  <c r="B48" i="3" s="1"/>
  <c r="B59" i="3" s="1"/>
  <c r="D23" i="3"/>
  <c r="D50" i="3"/>
  <c r="C1850" i="1"/>
  <c r="B50" i="3" s="1"/>
  <c r="G1275" i="1"/>
  <c r="G1857" i="53" l="1"/>
  <c r="H1849" i="53" s="1"/>
  <c r="L1358" i="1"/>
  <c r="K1358" i="1"/>
  <c r="S1358" i="53" s="1"/>
  <c r="O1269" i="1"/>
  <c r="O1358" i="1"/>
  <c r="H1848" i="1"/>
  <c r="H1850" i="1"/>
  <c r="H1851" i="1"/>
  <c r="N1301" i="1"/>
  <c r="I75" i="4" s="1"/>
  <c r="I75" i="49" s="1"/>
  <c r="O1576" i="1"/>
  <c r="O1579" i="1" s="1"/>
  <c r="H1854" i="1"/>
  <c r="J1276" i="1"/>
  <c r="G1284" i="1"/>
  <c r="J1287" i="1"/>
  <c r="G1287" i="1" s="1"/>
  <c r="D26" i="3"/>
  <c r="D59" i="3"/>
  <c r="D65" i="3" s="1"/>
  <c r="D57" i="3"/>
  <c r="G1276" i="53"/>
  <c r="M1278" i="53"/>
  <c r="H1852" i="1"/>
  <c r="H1856" i="1"/>
  <c r="F61" i="4"/>
  <c r="F61" i="49" s="1"/>
  <c r="Q1269" i="53"/>
  <c r="Q1270" i="53" s="1"/>
  <c r="Q1365" i="53" s="1"/>
  <c r="R1269" i="53"/>
  <c r="R1270" i="53" s="1"/>
  <c r="R1365" i="53" s="1"/>
  <c r="S1269" i="53"/>
  <c r="S1270" i="53" s="1"/>
  <c r="S1365" i="53" s="1"/>
  <c r="T1269" i="53"/>
  <c r="T1270" i="53" s="1"/>
  <c r="T1365" i="53" s="1"/>
  <c r="K1270" i="1"/>
  <c r="U1358" i="53"/>
  <c r="V1358" i="53"/>
  <c r="H1849" i="1"/>
  <c r="H1853" i="1"/>
  <c r="G61" i="4"/>
  <c r="G61" i="49" s="1"/>
  <c r="U1269" i="53"/>
  <c r="U1270" i="53" s="1"/>
  <c r="U1365" i="53" s="1"/>
  <c r="V1269" i="53"/>
  <c r="V1270" i="53" s="1"/>
  <c r="V1365" i="53" s="1"/>
  <c r="L1270" i="1"/>
  <c r="R1301" i="53"/>
  <c r="S1576" i="53"/>
  <c r="S1579" i="53" s="1"/>
  <c r="R1358" i="53" l="1"/>
  <c r="Q1358" i="53"/>
  <c r="H1850" i="53"/>
  <c r="H1852" i="53"/>
  <c r="H1848" i="53"/>
  <c r="H1853" i="53"/>
  <c r="H1855" i="53"/>
  <c r="H1856" i="53"/>
  <c r="H1854" i="53"/>
  <c r="H1851" i="53"/>
  <c r="T1358" i="53"/>
  <c r="O1270" i="1"/>
  <c r="O1365" i="1" s="1"/>
  <c r="J61" i="4"/>
  <c r="J61" i="49" s="1"/>
  <c r="H1857" i="1"/>
  <c r="P1576" i="1"/>
  <c r="P1579" i="1" s="1"/>
  <c r="O1301" i="1"/>
  <c r="J75" i="4" s="1"/>
  <c r="J75" i="49" s="1"/>
  <c r="M1280" i="53"/>
  <c r="G1278" i="53"/>
  <c r="G62" i="4"/>
  <c r="G62" i="49" s="1"/>
  <c r="L1365" i="1"/>
  <c r="F62" i="4"/>
  <c r="F62" i="49" s="1"/>
  <c r="K1365" i="1"/>
  <c r="G1276" i="1"/>
  <c r="J1278" i="1"/>
  <c r="T1576" i="53"/>
  <c r="T1579" i="53" s="1"/>
  <c r="S1301" i="53"/>
  <c r="H1857" i="53" l="1"/>
  <c r="J62" i="4"/>
  <c r="J62" i="49" s="1"/>
  <c r="P1301" i="1"/>
  <c r="Q1576" i="1"/>
  <c r="Q1579" i="1" s="1"/>
  <c r="U1576" i="53"/>
  <c r="U1579" i="53" s="1"/>
  <c r="T1301" i="53"/>
  <c r="G1278" i="1"/>
  <c r="J1280" i="1"/>
  <c r="G1280" i="53"/>
  <c r="M1289" i="53"/>
  <c r="G1289" i="53" s="1"/>
  <c r="R1576" i="1" l="1"/>
  <c r="R1579" i="1" s="1"/>
  <c r="Q1301" i="1"/>
  <c r="V1576" i="53"/>
  <c r="V1579" i="53" s="1"/>
  <c r="V1301" i="53" s="1"/>
  <c r="U1301" i="53"/>
  <c r="G1280" i="1"/>
  <c r="J1289" i="1"/>
  <c r="S1576" i="1" l="1"/>
  <c r="S1579" i="1" s="1"/>
  <c r="R1301" i="1"/>
  <c r="J1358" i="1"/>
  <c r="G1289" i="1"/>
  <c r="J1269" i="1"/>
  <c r="T1576" i="1" l="1"/>
  <c r="T1579" i="1" s="1"/>
  <c r="S1301" i="1"/>
  <c r="J1359" i="1"/>
  <c r="P1358" i="53"/>
  <c r="M1358" i="53"/>
  <c r="M1359" i="53" s="1"/>
  <c r="N1358" i="53"/>
  <c r="O1358" i="53"/>
  <c r="E61" i="4"/>
  <c r="E61" i="49" s="1"/>
  <c r="G1269" i="1"/>
  <c r="M1269" i="53"/>
  <c r="N1269" i="53"/>
  <c r="N1270" i="53" s="1"/>
  <c r="N1365" i="53" s="1"/>
  <c r="O1269" i="53"/>
  <c r="O1270" i="53" s="1"/>
  <c r="O1365" i="53" s="1"/>
  <c r="P1269" i="53"/>
  <c r="P1270" i="53" s="1"/>
  <c r="P1365" i="53" s="1"/>
  <c r="J1270" i="1"/>
  <c r="T1301" i="1" l="1"/>
  <c r="U1576" i="1"/>
  <c r="U1579" i="1" s="1"/>
  <c r="K1356" i="1"/>
  <c r="K1359" i="1" s="1"/>
  <c r="J1310" i="1"/>
  <c r="J1300" i="1"/>
  <c r="E62" i="4"/>
  <c r="E62" i="49" s="1"/>
  <c r="J1365" i="1"/>
  <c r="J1367" i="1" s="1"/>
  <c r="G1270" i="1"/>
  <c r="G1269" i="53"/>
  <c r="M1270" i="53"/>
  <c r="N1356" i="53"/>
  <c r="N1359" i="53" s="1"/>
  <c r="M1300" i="53"/>
  <c r="M1302" i="53" s="1"/>
  <c r="M1310" i="53"/>
  <c r="M1311" i="53" s="1"/>
  <c r="U1301" i="1" l="1"/>
  <c r="V1576" i="1"/>
  <c r="V1579" i="1" s="1"/>
  <c r="N1310" i="53"/>
  <c r="N1311" i="53" s="1"/>
  <c r="O1356" i="53"/>
  <c r="O1359" i="53" s="1"/>
  <c r="N1300" i="53"/>
  <c r="N1302" i="53" s="1"/>
  <c r="G1270" i="53"/>
  <c r="M1365" i="53"/>
  <c r="M1367" i="53" s="1"/>
  <c r="E84" i="4"/>
  <c r="E84" i="49" s="1"/>
  <c r="J1311" i="1"/>
  <c r="E85" i="4" s="1"/>
  <c r="E85" i="49" s="1"/>
  <c r="E74" i="4"/>
  <c r="E74" i="49" s="1"/>
  <c r="J1302" i="1"/>
  <c r="E76" i="4" s="1"/>
  <c r="K1363" i="1"/>
  <c r="K1367" i="1" s="1"/>
  <c r="J1313" i="1"/>
  <c r="K1300" i="1"/>
  <c r="K1310" i="1"/>
  <c r="L1356" i="1"/>
  <c r="L1359" i="1" s="1"/>
  <c r="V1301" i="1" l="1"/>
  <c r="W1576" i="1"/>
  <c r="W1579" i="1" s="1"/>
  <c r="K1313" i="1"/>
  <c r="L1363" i="1"/>
  <c r="L1367" i="1" s="1"/>
  <c r="E76" i="49"/>
  <c r="F74" i="4"/>
  <c r="F74" i="49" s="1"/>
  <c r="K1302" i="1"/>
  <c r="F76" i="4" s="1"/>
  <c r="O1310" i="53"/>
  <c r="O1311" i="53" s="1"/>
  <c r="P1356" i="53"/>
  <c r="P1359" i="53" s="1"/>
  <c r="O1300" i="53"/>
  <c r="O1302" i="53" s="1"/>
  <c r="L1310" i="1"/>
  <c r="L1300" i="1"/>
  <c r="M1356" i="1"/>
  <c r="M1359" i="1" s="1"/>
  <c r="F84" i="4"/>
  <c r="F84" i="49" s="1"/>
  <c r="K1311" i="1"/>
  <c r="F85" i="4" s="1"/>
  <c r="F85" i="49" s="1"/>
  <c r="E87" i="4"/>
  <c r="E87" i="49" s="1"/>
  <c r="J1315" i="1"/>
  <c r="N1363" i="53"/>
  <c r="N1367" i="53" s="1"/>
  <c r="M1313" i="53"/>
  <c r="M1315" i="53" s="1"/>
  <c r="X1576" i="1" l="1"/>
  <c r="X1579" i="1" s="1"/>
  <c r="W1301" i="1"/>
  <c r="E89" i="49"/>
  <c r="G84" i="4"/>
  <c r="G84" i="49" s="1"/>
  <c r="L1311" i="1"/>
  <c r="G85" i="4" s="1"/>
  <c r="G85" i="49" s="1"/>
  <c r="F87" i="4"/>
  <c r="F87" i="49" s="1"/>
  <c r="K1315" i="1"/>
  <c r="L1313" i="1"/>
  <c r="M1363" i="1"/>
  <c r="F76" i="49"/>
  <c r="N1313" i="53"/>
  <c r="N1315" i="53" s="1"/>
  <c r="O1363" i="53"/>
  <c r="O1367" i="53" s="1"/>
  <c r="M1310" i="1"/>
  <c r="M1300" i="1"/>
  <c r="H74" i="4" s="1"/>
  <c r="H74" i="49" s="1"/>
  <c r="N1356" i="1"/>
  <c r="N1359" i="1" s="1"/>
  <c r="P1300" i="53"/>
  <c r="P1302" i="53" s="1"/>
  <c r="P1310" i="53"/>
  <c r="P1311" i="53" s="1"/>
  <c r="Q1356" i="53"/>
  <c r="Q1359" i="53" s="1"/>
  <c r="G74" i="4"/>
  <c r="G74" i="49" s="1"/>
  <c r="L1302" i="1"/>
  <c r="G76" i="4" s="1"/>
  <c r="E89" i="4"/>
  <c r="Y1576" i="1" l="1"/>
  <c r="Y1579" i="1" s="1"/>
  <c r="X1301" i="1"/>
  <c r="F89" i="4"/>
  <c r="H84" i="4"/>
  <c r="H84" i="49" s="1"/>
  <c r="M1311" i="1"/>
  <c r="H85" i="4" s="1"/>
  <c r="H85" i="49" s="1"/>
  <c r="R1356" i="53"/>
  <c r="R1359" i="53" s="1"/>
  <c r="Q1300" i="53"/>
  <c r="Q1302" i="53" s="1"/>
  <c r="Q1310" i="53"/>
  <c r="Q1311" i="53" s="1"/>
  <c r="G76" i="49"/>
  <c r="G87" i="4"/>
  <c r="G87" i="49" s="1"/>
  <c r="L1315" i="1"/>
  <c r="F89" i="49"/>
  <c r="O1356" i="1"/>
  <c r="O1359" i="1" s="1"/>
  <c r="N1310" i="1"/>
  <c r="N1300" i="1"/>
  <c r="I74" i="4" s="1"/>
  <c r="I74" i="49" s="1"/>
  <c r="O1313" i="53"/>
  <c r="O1315" i="53" s="1"/>
  <c r="P1363" i="53"/>
  <c r="P1367" i="53" s="1"/>
  <c r="Y1301" i="1" l="1"/>
  <c r="Z1576" i="1"/>
  <c r="Z1579" i="1" s="1"/>
  <c r="Q1363" i="53"/>
  <c r="Q1367" i="53" s="1"/>
  <c r="P1313" i="53"/>
  <c r="P1315" i="53" s="1"/>
  <c r="G89" i="49"/>
  <c r="R1310" i="53"/>
  <c r="R1311" i="53" s="1"/>
  <c r="S1356" i="53"/>
  <c r="S1359" i="53" s="1"/>
  <c r="R1300" i="53"/>
  <c r="R1302" i="53" s="1"/>
  <c r="I84" i="4"/>
  <c r="I84" i="49" s="1"/>
  <c r="N1311" i="1"/>
  <c r="I85" i="4" s="1"/>
  <c r="I85" i="49" s="1"/>
  <c r="O1300" i="1"/>
  <c r="J74" i="4" s="1"/>
  <c r="J74" i="49" s="1"/>
  <c r="O1310" i="1"/>
  <c r="P1356" i="1"/>
  <c r="P1359" i="1" s="1"/>
  <c r="G89" i="4"/>
  <c r="Z1301" i="1" l="1"/>
  <c r="AA1576" i="1"/>
  <c r="AA1579" i="1" s="1"/>
  <c r="P1310" i="1"/>
  <c r="P1311" i="1" s="1"/>
  <c r="P1300" i="1"/>
  <c r="Q1356" i="1"/>
  <c r="Q1359" i="1" s="1"/>
  <c r="S1310" i="53"/>
  <c r="S1311" i="53" s="1"/>
  <c r="T1356" i="53"/>
  <c r="T1359" i="53" s="1"/>
  <c r="S1300" i="53"/>
  <c r="S1302" i="53" s="1"/>
  <c r="R1363" i="53"/>
  <c r="R1367" i="53" s="1"/>
  <c r="Q1313" i="53"/>
  <c r="Q1315" i="53" s="1"/>
  <c r="J84" i="4"/>
  <c r="J84" i="49" s="1"/>
  <c r="O1311" i="1"/>
  <c r="J85" i="4" s="1"/>
  <c r="J85" i="49" s="1"/>
  <c r="AA1301" i="1" l="1"/>
  <c r="AB1576" i="1"/>
  <c r="AB1579" i="1" s="1"/>
  <c r="R1313" i="53"/>
  <c r="R1315" i="53" s="1"/>
  <c r="S1363" i="53"/>
  <c r="S1367" i="53" s="1"/>
  <c r="Q1310" i="1"/>
  <c r="Q1311" i="1" s="1"/>
  <c r="Q1300" i="1"/>
  <c r="R1356" i="1"/>
  <c r="R1359" i="1" s="1"/>
  <c r="T1300" i="53"/>
  <c r="T1302" i="53" s="1"/>
  <c r="T1310" i="53"/>
  <c r="T1311" i="53" s="1"/>
  <c r="U1356" i="53"/>
  <c r="U1359" i="53" s="1"/>
  <c r="AB1301" i="1" l="1"/>
  <c r="AC1576" i="1"/>
  <c r="AC1579" i="1" s="1"/>
  <c r="V1356" i="53"/>
  <c r="V1359" i="53" s="1"/>
  <c r="U1300" i="53"/>
  <c r="U1302" i="53" s="1"/>
  <c r="U1310" i="53"/>
  <c r="U1311" i="53" s="1"/>
  <c r="S1313" i="53"/>
  <c r="S1315" i="53" s="1"/>
  <c r="T1363" i="53"/>
  <c r="T1367" i="53" s="1"/>
  <c r="S1356" i="1"/>
  <c r="S1359" i="1" s="1"/>
  <c r="R1310" i="1"/>
  <c r="R1311" i="1" s="1"/>
  <c r="R1300" i="1"/>
  <c r="AD1576" i="1" l="1"/>
  <c r="AD1579" i="1" s="1"/>
  <c r="AC1301" i="1"/>
  <c r="S1300" i="1"/>
  <c r="S1310" i="1"/>
  <c r="S1311" i="1" s="1"/>
  <c r="T1356" i="1"/>
  <c r="T1359" i="1" s="1"/>
  <c r="U1363" i="53"/>
  <c r="U1367" i="53" s="1"/>
  <c r="T1313" i="53"/>
  <c r="T1315" i="53" s="1"/>
  <c r="V1310" i="53"/>
  <c r="V1311" i="53" s="1"/>
  <c r="V1300" i="53"/>
  <c r="V1302" i="53" s="1"/>
  <c r="AD1301" i="1" l="1"/>
  <c r="AE1576" i="1"/>
  <c r="AE1579" i="1" s="1"/>
  <c r="AE1301" i="1" s="1"/>
  <c r="T1310" i="1"/>
  <c r="T1311" i="1" s="1"/>
  <c r="T1300" i="1"/>
  <c r="U1356" i="1"/>
  <c r="U1359" i="1" s="1"/>
  <c r="V1363" i="53"/>
  <c r="V1367" i="53" s="1"/>
  <c r="V1313" i="53" s="1"/>
  <c r="V1315" i="53" s="1"/>
  <c r="U1313" i="53"/>
  <c r="U1315" i="53" s="1"/>
  <c r="G1315" i="53" l="1"/>
  <c r="U1310" i="1"/>
  <c r="U1311" i="1" s="1"/>
  <c r="U1300" i="1"/>
  <c r="V1356" i="1"/>
  <c r="V1359" i="1" s="1"/>
  <c r="W1356" i="1" l="1"/>
  <c r="W1359" i="1" s="1"/>
  <c r="V1310" i="1"/>
  <c r="V1311" i="1" s="1"/>
  <c r="V1300" i="1"/>
  <c r="W1300" i="1" l="1"/>
  <c r="W1310" i="1"/>
  <c r="W1311" i="1" s="1"/>
  <c r="X1356" i="1"/>
  <c r="X1359" i="1" s="1"/>
  <c r="X1310" i="1" l="1"/>
  <c r="X1311" i="1" s="1"/>
  <c r="X1300" i="1"/>
  <c r="Y1356" i="1"/>
  <c r="Y1359" i="1" s="1"/>
  <c r="Y1310" i="1" l="1"/>
  <c r="Y1311" i="1" s="1"/>
  <c r="Y1300" i="1"/>
  <c r="Z1356" i="1"/>
  <c r="Z1359" i="1" s="1"/>
  <c r="AA1356" i="1" l="1"/>
  <c r="AA1359" i="1" s="1"/>
  <c r="Z1310" i="1"/>
  <c r="Z1311" i="1" s="1"/>
  <c r="Z1300" i="1"/>
  <c r="AA1300" i="1" l="1"/>
  <c r="AA1310" i="1"/>
  <c r="AA1311" i="1" s="1"/>
  <c r="AB1356" i="1"/>
  <c r="AB1359" i="1" s="1"/>
  <c r="AB1310" i="1" l="1"/>
  <c r="AB1311" i="1" s="1"/>
  <c r="AB1300" i="1"/>
  <c r="AC1356" i="1"/>
  <c r="AC1359" i="1" s="1"/>
  <c r="AC1310" i="1" l="1"/>
  <c r="AC1311" i="1" s="1"/>
  <c r="AC1300" i="1"/>
  <c r="AD1356" i="1"/>
  <c r="AD1359" i="1" s="1"/>
  <c r="AE1356" i="1" l="1"/>
  <c r="AE1359" i="1" s="1"/>
  <c r="AD1310" i="1"/>
  <c r="AD1311" i="1" s="1"/>
  <c r="AD1300" i="1"/>
  <c r="AE1300" i="1" l="1"/>
  <c r="AE1310" i="1"/>
  <c r="AE1311" i="1" s="1"/>
  <c r="Q14" i="2" l="1"/>
  <c r="F28" i="2" l="1"/>
  <c r="P28" i="2" s="1"/>
  <c r="F36" i="2"/>
  <c r="P36" i="2"/>
  <c r="F14" i="2"/>
  <c r="P14" i="2" s="1"/>
  <c r="F29" i="2"/>
  <c r="P29" i="2" s="1"/>
  <c r="F10" i="2"/>
  <c r="P10" i="2" s="1"/>
  <c r="F21" i="2"/>
  <c r="P21" i="2"/>
  <c r="F35" i="2"/>
  <c r="P35" i="2" s="1"/>
  <c r="F24" i="2"/>
  <c r="P24" i="2" s="1"/>
  <c r="F40" i="2"/>
  <c r="F16" i="2"/>
  <c r="P16" i="2"/>
  <c r="F25" i="2"/>
  <c r="P25" i="2"/>
  <c r="F19" i="2"/>
  <c r="P19" i="2"/>
  <c r="F42" i="2"/>
  <c r="P42" i="2"/>
  <c r="F37" i="2"/>
  <c r="P37" i="2" s="1"/>
  <c r="F32" i="2"/>
  <c r="F33" i="2" s="1"/>
  <c r="F26" i="2"/>
  <c r="P26" i="2"/>
  <c r="F27" i="2"/>
  <c r="P27" i="2" s="1"/>
  <c r="P20" i="2"/>
  <c r="F20" i="2"/>
  <c r="F18" i="2"/>
  <c r="P18" i="2" s="1"/>
  <c r="F41" i="2"/>
  <c r="P41" i="2" s="1"/>
  <c r="F12" i="2"/>
  <c r="P12" i="2" s="1"/>
  <c r="F34" i="2" l="1"/>
  <c r="P34" i="2" s="1"/>
  <c r="P33" i="2"/>
  <c r="P32" i="2"/>
  <c r="I66" i="46"/>
  <c r="F220" i="3"/>
  <c r="Q32" i="46"/>
  <c r="I43" i="46"/>
  <c r="O40" i="46"/>
  <c r="Q35" i="46"/>
  <c r="O16" i="46"/>
  <c r="I27" i="46"/>
  <c r="Q11" i="46"/>
  <c r="E223" i="3"/>
  <c r="I62" i="46"/>
  <c r="Q23" i="46"/>
  <c r="O1247" i="1"/>
  <c r="P263" i="3"/>
  <c r="E263" i="3"/>
  <c r="E229" i="3"/>
  <c r="W1247" i="1"/>
  <c r="W1243" i="1"/>
  <c r="W1239" i="1"/>
  <c r="P28" i="46"/>
  <c r="N29" i="46"/>
  <c r="I13" i="46"/>
  <c r="F257" i="3"/>
  <c r="Q257" i="3"/>
  <c r="O13" i="46"/>
  <c r="N58" i="46"/>
  <c r="W1315" i="1"/>
  <c r="W1313" i="1"/>
  <c r="N57" i="46"/>
  <c r="O328" i="3"/>
  <c r="O349" i="3"/>
  <c r="I10" i="46"/>
  <c r="N25" i="46"/>
  <c r="G29" i="2"/>
  <c r="Q29" i="2"/>
  <c r="G42" i="2"/>
  <c r="Q42" i="2"/>
  <c r="Q21" i="2"/>
  <c r="G21" i="2"/>
  <c r="O261" i="3"/>
  <c r="D261" i="3"/>
  <c r="D227" i="3"/>
  <c r="P22" i="46"/>
  <c r="N11" i="46"/>
  <c r="I55" i="46"/>
  <c r="O38" i="46"/>
  <c r="N8" i="46"/>
  <c r="E222" i="3"/>
  <c r="Q259" i="3"/>
  <c r="F259" i="3"/>
  <c r="F225" i="3"/>
  <c r="I39" i="46"/>
  <c r="Q34" i="46"/>
  <c r="D221" i="3"/>
  <c r="N65" i="46"/>
  <c r="G27" i="2"/>
  <c r="Q27" i="2"/>
  <c r="Y1315" i="1"/>
  <c r="Y1313" i="1"/>
  <c r="N38" i="46"/>
  <c r="O1243" i="1"/>
  <c r="J39" i="4"/>
  <c r="J39" i="49"/>
  <c r="Q28" i="2"/>
  <c r="G28" i="2"/>
  <c r="N21" i="46"/>
  <c r="N49" i="46"/>
  <c r="F253" i="3"/>
  <c r="Q253" i="3"/>
  <c r="P31" i="46"/>
  <c r="G10" i="2"/>
  <c r="Q10" i="2"/>
  <c r="G26" i="2"/>
  <c r="Q26" i="2"/>
  <c r="Q16" i="2"/>
  <c r="G16" i="2"/>
  <c r="G20" i="2"/>
  <c r="Q20" i="2"/>
  <c r="I36" i="46"/>
  <c r="J223" i="3"/>
  <c r="S261" i="3"/>
  <c r="H261" i="3"/>
  <c r="H227" i="3"/>
  <c r="P51" i="46"/>
  <c r="I57" i="46"/>
  <c r="P53" i="46"/>
  <c r="H219" i="3"/>
  <c r="H220" i="3"/>
  <c r="I16" i="46"/>
  <c r="P14" i="46"/>
  <c r="O41" i="46"/>
  <c r="V349" i="3"/>
  <c r="V328" i="3"/>
  <c r="Q53" i="46"/>
  <c r="Q19" i="46"/>
  <c r="E220" i="3"/>
  <c r="F223" i="3"/>
  <c r="P56" i="46"/>
  <c r="N48" i="46"/>
  <c r="I38" i="46"/>
  <c r="P30" i="46"/>
  <c r="J89" i="4"/>
  <c r="I37" i="46"/>
  <c r="J222" i="3"/>
  <c r="I14" i="46"/>
  <c r="I34" i="49"/>
  <c r="I34" i="4"/>
  <c r="P13" i="46"/>
  <c r="Q62" i="46"/>
  <c r="AA1247" i="1"/>
  <c r="AA1243" i="1"/>
  <c r="AA1239" i="1"/>
  <c r="Q36" i="46"/>
  <c r="O57" i="46"/>
  <c r="N17" i="46"/>
  <c r="Q46" i="46"/>
  <c r="T259" i="3"/>
  <c r="I259" i="3"/>
  <c r="I225" i="3"/>
  <c r="H70" i="49"/>
  <c r="H70" i="4"/>
  <c r="T1302" i="1"/>
  <c r="T1296" i="1"/>
  <c r="T263" i="3"/>
  <c r="I263" i="3"/>
  <c r="I229" i="3"/>
  <c r="I23" i="46"/>
  <c r="N64" i="46"/>
  <c r="I58" i="46"/>
  <c r="E221" i="3"/>
  <c r="N40" i="46"/>
  <c r="O66" i="46"/>
  <c r="P40" i="46"/>
  <c r="Q8" i="46"/>
  <c r="N46" i="46"/>
  <c r="I87" i="49"/>
  <c r="I87" i="4"/>
  <c r="P18" i="46"/>
  <c r="I21" i="46"/>
  <c r="P65" i="46"/>
  <c r="I89" i="4"/>
  <c r="Q52" i="46"/>
  <c r="O61" i="46"/>
  <c r="Q57" i="46"/>
  <c r="O14" i="46"/>
  <c r="P60" i="46"/>
  <c r="Q1315" i="1"/>
  <c r="Q1313" i="1"/>
  <c r="AD1247" i="1"/>
  <c r="AD1243" i="1"/>
  <c r="AD1239" i="1"/>
  <c r="Q28" i="46"/>
  <c r="P10" i="46"/>
  <c r="O48" i="46"/>
  <c r="P48" i="46"/>
  <c r="P17" i="46"/>
  <c r="X1247" i="1"/>
  <c r="X1243" i="1"/>
  <c r="X1239" i="1"/>
  <c r="T261" i="3"/>
  <c r="I261" i="3"/>
  <c r="I227" i="3"/>
  <c r="O32" i="46"/>
  <c r="I222" i="3"/>
  <c r="O43" i="46"/>
  <c r="Q25" i="46"/>
  <c r="U253" i="3"/>
  <c r="J253" i="3"/>
  <c r="Q49" i="46"/>
  <c r="P63" i="46"/>
  <c r="AB1247" i="1"/>
  <c r="AB1243" i="1"/>
  <c r="AB1239" i="1"/>
  <c r="O52" i="46"/>
  <c r="I39" i="49"/>
  <c r="I39" i="4"/>
  <c r="P1247" i="1"/>
  <c r="P1243" i="1"/>
  <c r="P1239" i="1"/>
  <c r="N1364" i="1"/>
  <c r="H188" i="3"/>
  <c r="S188" i="3"/>
  <c r="J70" i="49"/>
  <c r="J70" i="4"/>
  <c r="V1315" i="1"/>
  <c r="V1313" i="1"/>
  <c r="T1239" i="1"/>
  <c r="T1243" i="1"/>
  <c r="T1247" i="1"/>
  <c r="P15" i="46"/>
  <c r="P193" i="3"/>
  <c r="S186" i="3"/>
  <c r="H186" i="3"/>
  <c r="Q56" i="46"/>
  <c r="P59" i="46"/>
  <c r="I12" i="46"/>
  <c r="T253" i="3"/>
  <c r="I253" i="3"/>
  <c r="H189" i="3"/>
  <c r="S189" i="3"/>
  <c r="I33" i="46"/>
  <c r="U256" i="3"/>
  <c r="J256" i="3"/>
  <c r="I35" i="46"/>
  <c r="Q1247" i="1"/>
  <c r="Q1243" i="1"/>
  <c r="Q1239" i="1"/>
  <c r="P6" i="46"/>
  <c r="F226" i="3"/>
  <c r="F260" i="3"/>
  <c r="Q260" i="3"/>
  <c r="F221" i="3"/>
  <c r="O9" i="46"/>
  <c r="Q60" i="46"/>
  <c r="P190" i="3"/>
  <c r="E190" i="3"/>
  <c r="N1302" i="1"/>
  <c r="I76" i="4"/>
  <c r="I76" i="49"/>
  <c r="I89" i="49"/>
  <c r="I18" i="46"/>
  <c r="R1315" i="1"/>
  <c r="R1313" i="1"/>
  <c r="H222" i="3"/>
  <c r="N15" i="46"/>
  <c r="I63" i="46"/>
  <c r="V338" i="3"/>
  <c r="V359" i="3"/>
  <c r="H256" i="3"/>
  <c r="S256" i="3"/>
  <c r="O19" i="46"/>
  <c r="J229" i="3"/>
  <c r="J263" i="3"/>
  <c r="U263" i="3"/>
  <c r="Q194" i="3"/>
  <c r="I31" i="46"/>
  <c r="N44" i="46"/>
  <c r="T262" i="3"/>
  <c r="I262" i="3"/>
  <c r="I228" i="3"/>
  <c r="AB1313" i="1"/>
  <c r="AB1315" i="1"/>
  <c r="N349" i="3"/>
  <c r="N328" i="3"/>
  <c r="U192" i="3"/>
  <c r="U261" i="3"/>
  <c r="J261" i="3"/>
  <c r="J227" i="3"/>
  <c r="P192" i="3"/>
  <c r="O31" i="46"/>
  <c r="H221" i="3"/>
  <c r="G35" i="2"/>
  <c r="Q35" i="2"/>
  <c r="Q25" i="2"/>
  <c r="G25" i="2"/>
  <c r="Q19" i="2"/>
  <c r="G19" i="2"/>
  <c r="Q59" i="46"/>
  <c r="N66" i="46"/>
  <c r="Q39" i="46"/>
  <c r="I51" i="46"/>
  <c r="I219" i="3"/>
  <c r="O21" i="46"/>
  <c r="Q34" i="2"/>
  <c r="G34" i="2"/>
  <c r="Q42" i="46"/>
  <c r="N1243" i="1"/>
  <c r="N1247" i="1"/>
  <c r="G40" i="2"/>
  <c r="N45" i="46"/>
  <c r="U255" i="3"/>
  <c r="J255" i="3"/>
  <c r="Q30" i="46"/>
  <c r="P1313" i="1"/>
  <c r="P1315" i="1"/>
  <c r="N53" i="46"/>
  <c r="I196" i="3"/>
  <c r="T196" i="3"/>
  <c r="N50" i="46"/>
  <c r="O23" i="46"/>
  <c r="Q6" i="46"/>
  <c r="P11" i="46"/>
  <c r="N33" i="46"/>
  <c r="Q186" i="3"/>
  <c r="F186" i="3"/>
  <c r="U190" i="3"/>
  <c r="J190" i="3"/>
  <c r="D225" i="3"/>
  <c r="D259" i="3"/>
  <c r="O259" i="3"/>
  <c r="I52" i="46"/>
  <c r="O28" i="46"/>
  <c r="O34" i="46"/>
  <c r="I59" i="46"/>
  <c r="O27" i="46"/>
  <c r="Q44" i="46"/>
  <c r="J221" i="3"/>
  <c r="U1302" i="1"/>
  <c r="U1296" i="1"/>
  <c r="AC1302" i="1"/>
  <c r="AC1296" i="1"/>
  <c r="Q66" i="46"/>
  <c r="O20" i="46"/>
  <c r="N43" i="46"/>
  <c r="O18" i="46"/>
  <c r="Q255" i="3"/>
  <c r="F255" i="3"/>
  <c r="E189" i="3"/>
  <c r="P189" i="3"/>
  <c r="H34" i="49"/>
  <c r="H34" i="4"/>
  <c r="E219" i="3"/>
  <c r="AD1238" i="1"/>
  <c r="AD1364" i="1"/>
  <c r="I44" i="46"/>
  <c r="V1302" i="1"/>
  <c r="V1296" i="1"/>
  <c r="O62" i="46"/>
  <c r="AE1302" i="1"/>
  <c r="AE1246" i="1"/>
  <c r="AE1248" i="1"/>
  <c r="AE1296" i="1"/>
  <c r="P254" i="3"/>
  <c r="E254" i="3"/>
  <c r="I7" i="46"/>
  <c r="Q10" i="46"/>
  <c r="W1302" i="1"/>
  <c r="W1296" i="1"/>
  <c r="T338" i="3"/>
  <c r="T359" i="3"/>
  <c r="F13" i="2"/>
  <c r="P13" i="2"/>
  <c r="Q36" i="2"/>
  <c r="G36" i="2"/>
  <c r="Q18" i="2"/>
  <c r="G18" i="2"/>
  <c r="H194" i="3"/>
  <c r="S194" i="3"/>
  <c r="I54" i="46"/>
  <c r="D194" i="3"/>
  <c r="O194" i="3"/>
  <c r="Q37" i="46"/>
  <c r="S257" i="3"/>
  <c r="H257" i="3"/>
  <c r="AA1238" i="1"/>
  <c r="AA1364" i="1"/>
  <c r="Q17" i="2"/>
  <c r="G17" i="2"/>
  <c r="E186" i="3"/>
  <c r="P186" i="3"/>
  <c r="I256" i="3"/>
  <c r="T256" i="3"/>
  <c r="I255" i="3"/>
  <c r="T255" i="3"/>
  <c r="D192" i="3"/>
  <c r="O192" i="3"/>
  <c r="T1313" i="1"/>
  <c r="T1315" i="1"/>
  <c r="O1296" i="1"/>
  <c r="O1302" i="1"/>
  <c r="J76" i="4"/>
  <c r="J76" i="49"/>
  <c r="J89" i="49"/>
  <c r="G37" i="2"/>
  <c r="Q37" i="2"/>
  <c r="F192" i="3"/>
  <c r="Q192" i="3"/>
  <c r="T186" i="3"/>
  <c r="I186" i="3"/>
  <c r="W1238" i="1"/>
  <c r="W1364" i="1"/>
  <c r="I192" i="3"/>
  <c r="T192" i="3"/>
  <c r="Q1302" i="1"/>
  <c r="Q1296" i="1"/>
  <c r="Z1364" i="1"/>
  <c r="Q40" i="46"/>
  <c r="Q24" i="2"/>
  <c r="G24" i="2"/>
  <c r="G41" i="2"/>
  <c r="Q41" i="2"/>
  <c r="Q32" i="2"/>
  <c r="Q26" i="46"/>
  <c r="O24" i="46"/>
  <c r="Q45" i="46"/>
  <c r="Q24" i="46"/>
  <c r="P42" i="46"/>
  <c r="I48" i="46"/>
  <c r="P39" i="46"/>
  <c r="G32" i="2"/>
  <c r="G33" i="2"/>
  <c r="Q33" i="2"/>
  <c r="AB1238" i="1"/>
  <c r="AB1364" i="1"/>
  <c r="O26" i="46"/>
  <c r="O65" i="46"/>
  <c r="P1238" i="1"/>
  <c r="P1364" i="1"/>
  <c r="Q12" i="2"/>
  <c r="G12" i="2"/>
  <c r="Q254" i="3"/>
  <c r="F254" i="3"/>
  <c r="P49" i="46"/>
  <c r="N6" i="46"/>
  <c r="Z1313" i="1"/>
  <c r="Z1315" i="1"/>
  <c r="T1238" i="1"/>
  <c r="T1364" i="1"/>
  <c r="O25" i="46"/>
  <c r="J254" i="3"/>
  <c r="U254" i="3"/>
  <c r="J187" i="3"/>
  <c r="U187" i="3"/>
  <c r="E193" i="3"/>
  <c r="E226" i="3"/>
  <c r="E260" i="3"/>
  <c r="P260" i="3"/>
  <c r="P50" i="46"/>
  <c r="U359" i="3"/>
  <c r="U338" i="3"/>
  <c r="N47" i="46"/>
  <c r="Q48" i="46"/>
  <c r="N30" i="46"/>
  <c r="O63" i="46"/>
  <c r="E196" i="3"/>
  <c r="P196" i="3"/>
  <c r="E255" i="3"/>
  <c r="P255" i="3"/>
  <c r="I22" i="46"/>
  <c r="N36" i="46"/>
  <c r="H190" i="3"/>
  <c r="S190" i="3"/>
  <c r="P38" i="46"/>
  <c r="O189" i="3"/>
  <c r="D189" i="3"/>
  <c r="D257" i="3"/>
  <c r="O257" i="3"/>
  <c r="O190" i="3"/>
  <c r="D190" i="3"/>
  <c r="Q58" i="46"/>
  <c r="F189" i="3"/>
  <c r="Q189" i="3"/>
  <c r="Q1238" i="1"/>
  <c r="Q1364" i="1"/>
  <c r="U328" i="3"/>
  <c r="U349" i="3"/>
  <c r="T349" i="3"/>
  <c r="T328" i="3"/>
  <c r="P24" i="46"/>
  <c r="F256" i="3"/>
  <c r="Q256" i="3"/>
  <c r="F193" i="3"/>
  <c r="Q193" i="3"/>
  <c r="I194" i="3"/>
  <c r="T194" i="3"/>
  <c r="Q63" i="46"/>
  <c r="O35" i="46"/>
  <c r="Q31" i="46"/>
  <c r="I30" i="46"/>
  <c r="Q38" i="46"/>
  <c r="N63" i="46"/>
  <c r="Z1238" i="1"/>
  <c r="Z1239" i="1"/>
  <c r="Z1243" i="1"/>
  <c r="Z1247" i="1"/>
  <c r="N20" i="46"/>
  <c r="Q17" i="46"/>
  <c r="N1313" i="1"/>
  <c r="N1315" i="1"/>
  <c r="H254" i="3"/>
  <c r="S254" i="3"/>
  <c r="AE1363" i="1"/>
  <c r="AE1367" i="1"/>
  <c r="AE1313" i="1"/>
  <c r="AE1315" i="1"/>
  <c r="O10" i="46"/>
  <c r="I49" i="46"/>
  <c r="T190" i="3"/>
  <c r="I190" i="3"/>
  <c r="AC1313" i="1"/>
  <c r="AC1315" i="1"/>
  <c r="I11" i="46"/>
  <c r="AC1246" i="1"/>
  <c r="AC1248" i="1"/>
  <c r="AD1246" i="1"/>
  <c r="AD1248" i="1"/>
  <c r="AD1296" i="1"/>
  <c r="AD1302" i="1"/>
  <c r="O64" i="46"/>
  <c r="P44" i="46"/>
  <c r="H253" i="3"/>
  <c r="S253" i="3"/>
  <c r="I221" i="3"/>
  <c r="X1313" i="1"/>
  <c r="X1315" i="1"/>
  <c r="J196" i="3"/>
  <c r="U196" i="3"/>
  <c r="N27" i="46"/>
  <c r="P16" i="46"/>
  <c r="F194" i="3"/>
  <c r="F227" i="3"/>
  <c r="F261" i="3"/>
  <c r="Q261" i="3"/>
  <c r="R338" i="3"/>
  <c r="R359" i="3"/>
  <c r="O256" i="3"/>
  <c r="D256" i="3"/>
  <c r="Q14" i="46"/>
  <c r="N31" i="46"/>
  <c r="S349" i="3"/>
  <c r="S328" i="3"/>
  <c r="I53" i="46"/>
  <c r="I64" i="46"/>
  <c r="N52" i="46"/>
  <c r="J219" i="3"/>
  <c r="P35" i="46"/>
  <c r="Y1302" i="1"/>
  <c r="Y1296" i="1"/>
  <c r="Q21" i="46"/>
  <c r="I47" i="46"/>
  <c r="I70" i="49"/>
  <c r="N1296" i="1"/>
  <c r="I70" i="4"/>
  <c r="AD1315" i="1"/>
  <c r="AB1363" i="1"/>
  <c r="AB1367" i="1"/>
  <c r="AC1363" i="1"/>
  <c r="AC1367" i="1"/>
  <c r="AD1363" i="1"/>
  <c r="AD1367" i="1"/>
  <c r="AD1313" i="1"/>
  <c r="O12" i="46"/>
  <c r="O37" i="46"/>
  <c r="N28" i="46"/>
  <c r="S196" i="3"/>
  <c r="N9" i="46"/>
  <c r="N62" i="46"/>
  <c r="O33" i="46"/>
  <c r="I9" i="46"/>
  <c r="S1364" i="1"/>
  <c r="P262" i="3"/>
  <c r="E262" i="3"/>
  <c r="E228" i="3"/>
  <c r="P20" i="46"/>
  <c r="Y1364" i="1"/>
  <c r="D220" i="3"/>
  <c r="P19" i="46"/>
  <c r="N24" i="46"/>
  <c r="R1302" i="1"/>
  <c r="R1296" i="1"/>
  <c r="O51" i="46"/>
  <c r="Q262" i="3"/>
  <c r="F262" i="3"/>
  <c r="F228" i="3"/>
  <c r="I223" i="3"/>
  <c r="N12" i="46"/>
  <c r="P37" i="46"/>
  <c r="N39" i="46"/>
  <c r="I42" i="46"/>
  <c r="Q47" i="46"/>
  <c r="D219" i="3"/>
  <c r="I32" i="46"/>
  <c r="N16" i="46"/>
  <c r="O1239" i="1"/>
  <c r="J35" i="4"/>
  <c r="J35" i="49"/>
  <c r="U1247" i="1"/>
  <c r="U1243" i="1"/>
  <c r="U1239" i="1"/>
  <c r="R349" i="3"/>
  <c r="R328" i="3"/>
  <c r="J220" i="3"/>
  <c r="AE1247" i="1"/>
  <c r="AE1243" i="1"/>
  <c r="AE1239" i="1"/>
  <c r="Q328" i="3"/>
  <c r="Q349" i="3"/>
  <c r="P43" i="46"/>
  <c r="R1239" i="1"/>
  <c r="R1243" i="1"/>
  <c r="R1247" i="1"/>
  <c r="H187" i="3"/>
  <c r="S187" i="3"/>
  <c r="Q188" i="3"/>
  <c r="F188" i="3"/>
  <c r="O39" i="46"/>
  <c r="U1315" i="1"/>
  <c r="U1313" i="1"/>
  <c r="AB1246" i="1"/>
  <c r="AB1248" i="1"/>
  <c r="AB1296" i="1"/>
  <c r="AB1302" i="1"/>
  <c r="O11" i="46"/>
  <c r="Q13" i="2"/>
  <c r="G13" i="2"/>
  <c r="T187" i="3"/>
  <c r="I187" i="3"/>
  <c r="E256" i="3"/>
  <c r="P256" i="3"/>
  <c r="P55" i="46"/>
  <c r="I8" i="46"/>
  <c r="S259" i="3"/>
  <c r="H259" i="3"/>
  <c r="H225" i="3"/>
  <c r="O188" i="3"/>
  <c r="D188" i="3"/>
  <c r="P34" i="46"/>
  <c r="Q338" i="3"/>
  <c r="Q359" i="3"/>
  <c r="O45" i="46"/>
  <c r="P12" i="46"/>
  <c r="O187" i="3"/>
  <c r="D187" i="3"/>
  <c r="S1302" i="1"/>
  <c r="S1296" i="1"/>
  <c r="P45" i="46"/>
  <c r="U257" i="3"/>
  <c r="J257" i="3"/>
  <c r="P61" i="46"/>
  <c r="F219" i="3"/>
  <c r="U189" i="3"/>
  <c r="J189" i="3"/>
  <c r="N14" i="46"/>
  <c r="O359" i="3"/>
  <c r="O338" i="3"/>
  <c r="E192" i="3"/>
  <c r="E225" i="3"/>
  <c r="E259" i="3"/>
  <c r="P259" i="3"/>
  <c r="N23" i="46"/>
  <c r="I19" i="46"/>
  <c r="Q18" i="46"/>
  <c r="P46" i="46"/>
  <c r="N13" i="46"/>
  <c r="P47" i="46"/>
  <c r="H196" i="3"/>
  <c r="H229" i="3"/>
  <c r="H263" i="3"/>
  <c r="S263" i="3"/>
  <c r="Q29" i="46"/>
  <c r="G1238" i="1"/>
  <c r="I20" i="46"/>
  <c r="I195" i="3"/>
  <c r="T195" i="3"/>
  <c r="O58" i="46"/>
  <c r="S1247" i="1"/>
  <c r="S1238" i="1"/>
  <c r="S1239" i="1"/>
  <c r="S1243" i="1"/>
  <c r="P62" i="46"/>
  <c r="P41" i="46"/>
  <c r="E195" i="3"/>
  <c r="P195" i="3"/>
  <c r="P7" i="46"/>
  <c r="Y1238" i="1"/>
  <c r="Y1239" i="1"/>
  <c r="Y1243" i="1"/>
  <c r="Y1247" i="1"/>
  <c r="O29" i="46"/>
  <c r="T254" i="3"/>
  <c r="I254" i="3"/>
  <c r="H255" i="3"/>
  <c r="S255" i="3"/>
  <c r="Q64" i="46"/>
  <c r="J194" i="3"/>
  <c r="U194" i="3"/>
  <c r="S359" i="3"/>
  <c r="S338" i="3"/>
  <c r="J192" i="3"/>
  <c r="J225" i="3"/>
  <c r="J259" i="3"/>
  <c r="U259" i="3"/>
  <c r="I34" i="46"/>
  <c r="P9" i="46"/>
  <c r="AA1246" i="1"/>
  <c r="AA1248" i="1"/>
  <c r="AA1296" i="1"/>
  <c r="AA1302" i="1"/>
  <c r="N61" i="46"/>
  <c r="O7" i="46"/>
  <c r="X1238" i="1"/>
  <c r="X1364" i="1"/>
  <c r="P23" i="46"/>
  <c r="F17" i="2"/>
  <c r="P17" i="2"/>
  <c r="I41" i="46"/>
  <c r="N359" i="3"/>
  <c r="N338" i="3"/>
  <c r="O186" i="3"/>
  <c r="D186" i="3"/>
  <c r="U1238" i="1"/>
  <c r="U1364" i="1"/>
  <c r="I40" i="46"/>
  <c r="I15" i="46"/>
  <c r="N34" i="46"/>
  <c r="P27" i="46"/>
  <c r="N10" i="46"/>
  <c r="AE1238" i="1"/>
  <c r="AE1364" i="1"/>
  <c r="Q61" i="46"/>
  <c r="R1238" i="1"/>
  <c r="R1364" i="1"/>
  <c r="I257" i="3"/>
  <c r="T257" i="3"/>
  <c r="D222" i="3"/>
  <c r="E188" i="3"/>
  <c r="P188" i="3"/>
  <c r="N37" i="46"/>
  <c r="I189" i="3"/>
  <c r="T189" i="3"/>
  <c r="Q190" i="3"/>
  <c r="F190" i="3"/>
  <c r="Q50" i="46"/>
  <c r="N7" i="46"/>
  <c r="P21" i="46"/>
  <c r="O49" i="46"/>
  <c r="H192" i="3"/>
  <c r="S192" i="3"/>
  <c r="D254" i="3"/>
  <c r="O254" i="3"/>
  <c r="U186" i="3"/>
  <c r="J186" i="3"/>
  <c r="N59" i="46"/>
  <c r="O30" i="46"/>
  <c r="Q187" i="3"/>
  <c r="F187" i="3"/>
  <c r="I28" i="46"/>
  <c r="D223" i="3"/>
  <c r="N60" i="46"/>
  <c r="Q55" i="46"/>
  <c r="O260" i="3"/>
  <c r="D260" i="3"/>
  <c r="D226" i="3"/>
  <c r="P8" i="46"/>
  <c r="O59" i="46"/>
  <c r="O1364" i="1"/>
  <c r="S195" i="3"/>
  <c r="I45" i="46"/>
  <c r="I35" i="49"/>
  <c r="N1238" i="1"/>
  <c r="N1239" i="1"/>
  <c r="I35" i="4"/>
  <c r="H39" i="49"/>
  <c r="H39" i="4"/>
  <c r="I6" i="46"/>
  <c r="I29" i="46"/>
  <c r="I65" i="46"/>
  <c r="Q13" i="46"/>
  <c r="I226" i="3"/>
  <c r="I260" i="3"/>
  <c r="T260" i="3"/>
  <c r="Q27" i="46"/>
  <c r="O46" i="46"/>
  <c r="N51" i="46"/>
  <c r="P64" i="46"/>
  <c r="P54" i="46"/>
  <c r="O1238" i="1"/>
  <c r="J34" i="4"/>
  <c r="J34" i="49"/>
  <c r="I50" i="46"/>
  <c r="Q196" i="3"/>
  <c r="O17" i="46"/>
  <c r="U193" i="3"/>
  <c r="O42" i="46"/>
  <c r="P25" i="46"/>
  <c r="Q9" i="46"/>
  <c r="S260" i="3"/>
  <c r="H260" i="3"/>
  <c r="H226" i="3"/>
  <c r="N54" i="46"/>
  <c r="P194" i="3"/>
  <c r="O36" i="46"/>
  <c r="O8" i="46"/>
  <c r="J87" i="49"/>
  <c r="J87" i="4"/>
  <c r="H223" i="3"/>
  <c r="P52" i="46"/>
  <c r="Q7" i="46"/>
  <c r="P33" i="46"/>
  <c r="Q65" i="46"/>
  <c r="D193" i="3"/>
  <c r="O193" i="3"/>
  <c r="P32" i="46"/>
  <c r="I60" i="46"/>
  <c r="P58" i="46"/>
  <c r="D255" i="3"/>
  <c r="O255" i="3"/>
  <c r="F195" i="3"/>
  <c r="Q195" i="3"/>
  <c r="O55" i="46"/>
  <c r="H195" i="3"/>
  <c r="H228" i="3"/>
  <c r="H262" i="3"/>
  <c r="S262" i="3"/>
  <c r="P1296" i="1"/>
  <c r="P1302" i="1"/>
  <c r="J188" i="3"/>
  <c r="U188" i="3"/>
  <c r="Q33" i="46"/>
  <c r="O60" i="46"/>
  <c r="I17" i="46"/>
  <c r="G1315" i="1"/>
  <c r="M1315" i="1"/>
  <c r="Q51" i="46"/>
  <c r="N22" i="46"/>
  <c r="I24" i="46"/>
  <c r="P66" i="46"/>
  <c r="I193" i="3"/>
  <c r="T193" i="3"/>
  <c r="P36" i="46"/>
  <c r="E257" i="3"/>
  <c r="P257" i="3"/>
  <c r="X1296" i="1"/>
  <c r="X1302" i="1"/>
  <c r="F222" i="3"/>
  <c r="P57" i="46"/>
  <c r="D253" i="3"/>
  <c r="O253" i="3"/>
  <c r="O53" i="46"/>
  <c r="Q22" i="46"/>
  <c r="F196" i="3"/>
  <c r="F229" i="3"/>
  <c r="F263" i="3"/>
  <c r="Q263" i="3"/>
  <c r="G1243" i="1"/>
  <c r="J193" i="3"/>
  <c r="J226" i="3"/>
  <c r="J260" i="3"/>
  <c r="U260" i="3"/>
  <c r="O6" i="46"/>
  <c r="T188" i="3"/>
  <c r="I188" i="3"/>
  <c r="H193" i="3"/>
  <c r="S193" i="3"/>
  <c r="E194" i="3"/>
  <c r="E227" i="3"/>
  <c r="E261" i="3"/>
  <c r="P261" i="3"/>
  <c r="I220" i="3"/>
  <c r="P26" i="46"/>
  <c r="N26" i="46"/>
  <c r="O47" i="46"/>
  <c r="I61" i="46"/>
  <c r="Q41" i="46"/>
  <c r="Q54" i="46"/>
  <c r="Q20" i="46"/>
  <c r="I25" i="46"/>
  <c r="O54" i="46"/>
  <c r="O15" i="46"/>
  <c r="I46" i="46"/>
  <c r="N32" i="46"/>
  <c r="M1313" i="1"/>
  <c r="H87" i="4"/>
  <c r="H87" i="49"/>
  <c r="N55" i="46"/>
  <c r="I56" i="46"/>
  <c r="U262" i="3"/>
  <c r="J262" i="3"/>
  <c r="J228" i="3"/>
  <c r="O1313" i="1"/>
  <c r="O1315" i="1"/>
  <c r="V1247" i="1"/>
  <c r="V1243" i="1"/>
  <c r="V1239" i="1"/>
  <c r="P253" i="3"/>
  <c r="E253" i="3"/>
  <c r="N18" i="46"/>
  <c r="E187" i="3"/>
  <c r="P187" i="3"/>
  <c r="P29" i="46"/>
  <c r="O22" i="46"/>
  <c r="J195" i="3"/>
  <c r="U195" i="3"/>
  <c r="Q12" i="46"/>
  <c r="O50" i="46"/>
  <c r="O195" i="3"/>
  <c r="N56" i="46"/>
  <c r="N42" i="46"/>
  <c r="Q16" i="46"/>
  <c r="D229" i="3"/>
  <c r="D263" i="3"/>
  <c r="O263" i="3"/>
  <c r="AC1364" i="1"/>
  <c r="G1239" i="1"/>
  <c r="Q15" i="46"/>
  <c r="O56" i="46"/>
  <c r="V1238" i="1"/>
  <c r="V1364" i="1"/>
  <c r="H89" i="49"/>
  <c r="H76" i="49"/>
  <c r="O44" i="46"/>
  <c r="S1313" i="1"/>
  <c r="S1315" i="1"/>
  <c r="N35" i="46"/>
  <c r="D195" i="3"/>
  <c r="D228" i="3"/>
  <c r="D262" i="3"/>
  <c r="O262" i="3"/>
  <c r="H35" i="4"/>
  <c r="H35" i="49"/>
  <c r="N1246" i="1"/>
  <c r="N1248" i="1"/>
  <c r="O1246" i="1"/>
  <c r="O1248" i="1"/>
  <c r="P1246" i="1"/>
  <c r="P1248" i="1"/>
  <c r="Q1246" i="1"/>
  <c r="Q1248" i="1"/>
  <c r="R1246" i="1"/>
  <c r="R1248" i="1"/>
  <c r="S1246" i="1"/>
  <c r="S1248" i="1"/>
  <c r="T1246" i="1"/>
  <c r="T1248" i="1"/>
  <c r="U1246" i="1"/>
  <c r="U1248" i="1"/>
  <c r="V1246" i="1"/>
  <c r="V1248" i="1"/>
  <c r="W1246" i="1"/>
  <c r="W1248" i="1"/>
  <c r="X1246" i="1"/>
  <c r="X1248" i="1"/>
  <c r="Y1246" i="1"/>
  <c r="Y1248" i="1"/>
  <c r="Z1246" i="1"/>
  <c r="Z1248" i="1"/>
  <c r="Z1296" i="1"/>
  <c r="Z1302" i="1"/>
  <c r="Q43" i="46"/>
  <c r="M1239" i="1"/>
  <c r="M1243" i="1"/>
  <c r="M1247" i="1"/>
  <c r="M1248" i="1"/>
  <c r="M1296" i="1"/>
  <c r="M1302" i="1"/>
  <c r="H76" i="4"/>
  <c r="H89" i="4"/>
  <c r="D196" i="3"/>
  <c r="O196" i="3"/>
  <c r="N41" i="46"/>
  <c r="N19" i="46"/>
  <c r="AC1238" i="1"/>
  <c r="AC1239" i="1"/>
  <c r="AC1243" i="1"/>
  <c r="AC1247" i="1"/>
  <c r="M1238" i="1"/>
  <c r="M1364" i="1"/>
  <c r="M1367" i="1"/>
  <c r="N1363" i="1"/>
  <c r="N1367" i="1"/>
  <c r="O1363" i="1"/>
  <c r="O1367" i="1"/>
  <c r="P1363" i="1"/>
  <c r="P1367" i="1"/>
  <c r="Q1363" i="1"/>
  <c r="Q1367" i="1"/>
  <c r="R1363" i="1"/>
  <c r="R1367" i="1"/>
  <c r="S1363" i="1"/>
  <c r="S1367" i="1"/>
  <c r="T1363" i="1"/>
  <c r="T1367" i="1"/>
  <c r="U1363" i="1"/>
  <c r="U1367" i="1"/>
  <c r="V1363" i="1"/>
  <c r="V1367" i="1"/>
  <c r="W1363" i="1"/>
  <c r="W1367" i="1"/>
  <c r="X1363" i="1"/>
  <c r="X1367" i="1"/>
  <c r="Y1363" i="1"/>
  <c r="Y1367" i="1"/>
  <c r="Z1363" i="1"/>
  <c r="Z1367" i="1"/>
  <c r="AA1363" i="1"/>
  <c r="AA1367" i="1"/>
  <c r="AA1313" i="1"/>
  <c r="AA1315" i="1"/>
  <c r="I26"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kemper</author>
  </authors>
  <commentList>
    <comment ref="D16" authorId="0" shapeId="0" xr:uid="{00000000-0006-0000-0100-000001000000}">
      <text>
        <r>
          <rPr>
            <b/>
            <sz val="9"/>
            <color indexed="81"/>
            <rFont val="Tahoma"/>
            <family val="2"/>
          </rPr>
          <t>kevin kemper:</t>
        </r>
        <r>
          <rPr>
            <sz val="9"/>
            <color indexed="81"/>
            <rFont val="Tahoma"/>
            <family val="2"/>
          </rPr>
          <t xml:space="preserve">
Feasibility Number</t>
        </r>
      </text>
    </comment>
    <comment ref="C893" authorId="0" shapeId="0" xr:uid="{00000000-0006-0000-0100-000003000000}">
      <text>
        <r>
          <rPr>
            <b/>
            <sz val="9"/>
            <color indexed="81"/>
            <rFont val="Tahoma"/>
            <family val="2"/>
          </rPr>
          <t>kevin kemper:</t>
        </r>
        <r>
          <rPr>
            <sz val="9"/>
            <color indexed="81"/>
            <rFont val="Tahoma"/>
            <family val="2"/>
          </rPr>
          <t xml:space="preserve">
Ongoing maintenance currently covered in OPEX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tc={EEE704ED-387B-42EB-9BE1-5B850FD72EAE}</author>
    <author>kevin kemper</author>
  </authors>
  <commentList>
    <comment ref="E10" authorId="0" shapeId="0" xr:uid="{EEE704ED-387B-42EB-9BE1-5B850FD72EAE}">
      <text>
        <t>[Threaded comment]
Your version of Excel allows you to read this threaded comment; however, any edits to it will get removed if the file is opened in a newer version of Excel. Learn more: https://go.microsoft.com/fwlink/?linkid=870924
Comment:
    This cell mus stay a link to the Plant Model tab cell e10.</t>
      </text>
    </comment>
    <comment ref="D16" authorId="1" shapeId="0" xr:uid="{459291C5-D8EF-480B-919D-C71635E26499}">
      <text>
        <r>
          <rPr>
            <b/>
            <sz val="9"/>
            <color indexed="81"/>
            <rFont val="Tahoma"/>
            <family val="2"/>
          </rPr>
          <t>kevin kemper:</t>
        </r>
        <r>
          <rPr>
            <sz val="9"/>
            <color indexed="81"/>
            <rFont val="Tahoma"/>
            <family val="2"/>
          </rPr>
          <t xml:space="preserve">
Feasibility Number</t>
        </r>
      </text>
    </comment>
    <comment ref="C893" authorId="1" shapeId="0" xr:uid="{9055687F-7616-437D-9BD4-AD048D49F30F}">
      <text>
        <r>
          <rPr>
            <b/>
            <sz val="9"/>
            <color indexed="81"/>
            <rFont val="Tahoma"/>
            <family val="2"/>
          </rPr>
          <t>kevin kemper:</t>
        </r>
        <r>
          <rPr>
            <sz val="9"/>
            <color indexed="81"/>
            <rFont val="Tahoma"/>
            <family val="2"/>
          </rPr>
          <t xml:space="preserve">
Ongoing maintenance currently covered in OPEX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Maxime Alexandre</author>
  </authors>
  <commentList>
    <comment ref="A13" authorId="0" shapeId="0" xr:uid="{4F1BFBFE-13F3-417F-B040-2808B42DAC83}">
      <text>
        <r>
          <rPr>
            <b/>
            <sz val="9"/>
            <color indexed="81"/>
            <rFont val="Tahoma"/>
            <family val="2"/>
          </rPr>
          <t>Maxime Alexandre:</t>
        </r>
        <r>
          <rPr>
            <sz val="9"/>
            <color indexed="81"/>
            <rFont val="Tahoma"/>
            <family val="2"/>
          </rPr>
          <t xml:space="preserve">
Dans le contexte d'un nouveau projet industriel tel que NAIC, les valeurs Cmin et Cmoy ne s'appliqueront pas. 
Il s'agira des intensités (de procédé fixe et de combustion) obtenu lors de l'année qui suivra la première année où les GES &gt; 25kt.</t>
        </r>
      </text>
    </comment>
    <comment ref="K13" authorId="0" shapeId="0" xr:uid="{091DF287-69EC-4473-AC55-3314172C6DA2}">
      <text>
        <r>
          <rPr>
            <b/>
            <sz val="9"/>
            <color indexed="81"/>
            <rFont val="Tahoma"/>
            <family val="2"/>
          </rPr>
          <t>Maxime Alexandre:</t>
        </r>
        <r>
          <rPr>
            <sz val="9"/>
            <color indexed="81"/>
            <rFont val="Tahoma"/>
            <family val="2"/>
          </rPr>
          <t xml:space="preserve">
La valeur du R devra être confirmée par le MDDELCC.
La principale (voire la seule) variable pouvant l'affecter est liée à la cellule B17</t>
        </r>
      </text>
    </comment>
    <comment ref="B19" authorId="0" shapeId="0" xr:uid="{083D234F-E037-4384-A661-25191DF9D4CC}">
      <text>
        <r>
          <rPr>
            <b/>
            <sz val="9"/>
            <color indexed="81"/>
            <rFont val="Tahoma"/>
            <family val="2"/>
          </rPr>
          <t>Maxime Alexandre:</t>
        </r>
        <r>
          <rPr>
            <sz val="9"/>
            <color indexed="81"/>
            <rFont val="Tahoma"/>
            <family val="2"/>
          </rPr>
          <t xml:space="preserve">
Le four de préchauffe est alimenté par deux sources de combustible : 
- du gaz naturel "vierge" 
- du gaz de procédé (GP) composé de H2, CO et CH4
Les émissions de GES de ces deux sources sont respectivement de :
- 12 046 kg CO2eq / heure (gaz naturel "vierge")
- 1980 kg CO2eq / heure (gaz de procédé) 
</t>
        </r>
        <r>
          <rPr>
            <b/>
            <sz val="9"/>
            <color indexed="81"/>
            <rFont val="Tahoma"/>
            <family val="2"/>
          </rPr>
          <t xml:space="preserve">(NOTE pour Lina : le 1980 inclut-il le CO2 créé dans le réacteur et déjà présent dans le GP à l'entrée du four de préchauffe ? Cela semble une valeur faible si c'est le cas, non ?)
Le MDDELCC devra statuer sur les questions suivantes à propos des émissions provenant du gaz de procédé utilisé comme combustible dans le four de préchauffe : 
-sont-elle considérées comme des émissiosn de procédé fixe ? J'ai considéré que non ici. Si oui, alors modifier la cellule B17 en conséquence, ce qui réduira la facture (analyse de sensibilité possible à effectuer au besoin).
-comment seront-elle considérées dans le calcul du facteur R, le faisant possiblement augmenter ? J'ai considéré que non ici. Si oui, alors modifier la valeur R en conséquence. </t>
        </r>
      </text>
    </comment>
    <comment ref="H19" authorId="0" shapeId="0" xr:uid="{D73F91B7-685D-44E3-A08C-A7F09BF48CB3}">
      <text>
        <r>
          <rPr>
            <b/>
            <sz val="9"/>
            <color indexed="81"/>
            <rFont val="Tahoma"/>
            <family val="2"/>
          </rPr>
          <t>Maxime Alexandre:</t>
        </r>
        <r>
          <rPr>
            <sz val="9"/>
            <color indexed="81"/>
            <rFont val="Tahoma"/>
            <family val="2"/>
          </rPr>
          <t xml:space="preserve">
Basé sur les équations 7-5 et 7-7 du RDOCECA</t>
        </r>
      </text>
    </comment>
    <comment ref="C20" authorId="0" shapeId="0" xr:uid="{D814D1BF-AAB9-4DAF-871C-EDF9BE1B49BE}">
      <text>
        <r>
          <rPr>
            <b/>
            <sz val="9"/>
            <color indexed="81"/>
            <rFont val="Tahoma"/>
            <family val="2"/>
          </rPr>
          <t>Maxime Alexandre:</t>
        </r>
        <r>
          <rPr>
            <sz val="9"/>
            <color indexed="81"/>
            <rFont val="Tahoma"/>
            <family val="2"/>
          </rPr>
          <t xml:space="preserve">
Le gaz naturel utilisé pour oxyder le H2S en SO2 résulte en des émissions de CO2eq de 141 kg/heure, donc x 8760h/an= 1235 tonnes de CO2eq / an
</t>
        </r>
      </text>
    </comment>
    <comment ref="A32" authorId="0" shapeId="0" xr:uid="{700DBB70-0B90-49A3-969C-BA25B21904EE}">
      <text>
        <r>
          <rPr>
            <b/>
            <sz val="9"/>
            <color indexed="81"/>
            <rFont val="Tahoma"/>
            <family val="2"/>
          </rPr>
          <t>Maxime Alexandre:</t>
        </r>
        <r>
          <rPr>
            <sz val="9"/>
            <color indexed="81"/>
            <rFont val="Tahoma"/>
            <family val="2"/>
          </rPr>
          <t xml:space="preserve">
Variable impossible à déterminer avec exactitude.
Sujet à analyse de sensibilité
</t>
        </r>
      </text>
    </comment>
    <comment ref="A33" authorId="0" shapeId="0" xr:uid="{B21C8CAE-FA35-4ADF-B823-CD828CFA3DDC}">
      <text>
        <r>
          <rPr>
            <b/>
            <sz val="9"/>
            <color indexed="81"/>
            <rFont val="Tahoma"/>
            <family val="2"/>
          </rPr>
          <t>Maxime Alexandre:</t>
        </r>
        <r>
          <rPr>
            <sz val="9"/>
            <color indexed="81"/>
            <rFont val="Tahoma"/>
            <family val="2"/>
          </rPr>
          <t xml:space="preserve">
Basée sur une inflation de 2% , ajoutée à l'augmentation de 5% fixé par règlement.
Le taux de change USD-CAD de la dernière enchère est implicitement maintenu.</t>
        </r>
      </text>
    </comment>
  </commentList>
</comments>
</file>

<file path=xl/sharedStrings.xml><?xml version="1.0" encoding="utf-8"?>
<sst xmlns="http://schemas.openxmlformats.org/spreadsheetml/2006/main" count="4220" uniqueCount="977">
  <si>
    <t>Units</t>
  </si>
  <si>
    <t>Sum/avg</t>
  </si>
  <si>
    <t>GENERAL</t>
  </si>
  <si>
    <t>$/t</t>
  </si>
  <si>
    <t>Conversion factors / assumptions</t>
  </si>
  <si>
    <t>Days per operating year</t>
  </si>
  <si>
    <t>d</t>
  </si>
  <si>
    <t>Plant utilization</t>
  </si>
  <si>
    <t>%</t>
  </si>
  <si>
    <t>Fuel</t>
  </si>
  <si>
    <t>MJ/Nm3</t>
  </si>
  <si>
    <t>factor</t>
  </si>
  <si>
    <t>btu/MJ</t>
  </si>
  <si>
    <t>btu/Nm3</t>
  </si>
  <si>
    <t>PLANT SPECIFIC OPERATING ASSUMPTIONS</t>
  </si>
  <si>
    <t>mt</t>
  </si>
  <si>
    <t>Tonnes of slag / tonne pig iron</t>
  </si>
  <si>
    <t>Tonnes slag</t>
  </si>
  <si>
    <t>Raw Material Requirements</t>
  </si>
  <si>
    <t xml:space="preserve">Virgin iron ore </t>
  </si>
  <si>
    <t>Plant Operations ex-Labor</t>
  </si>
  <si>
    <t>Electricity</t>
  </si>
  <si>
    <t>Water</t>
  </si>
  <si>
    <t>Natural Gas</t>
  </si>
  <si>
    <t>$/mmbtu</t>
  </si>
  <si>
    <t>OPERATING INPUT COSTS</t>
  </si>
  <si>
    <t>Iron Ore</t>
  </si>
  <si>
    <t>Resource to processing site</t>
  </si>
  <si>
    <t>Stevedoring</t>
  </si>
  <si>
    <t>Total IOC cost</t>
  </si>
  <si>
    <t>Resource to Processing Site</t>
  </si>
  <si>
    <t>Transfer costs</t>
  </si>
  <si>
    <t>Transit leg 2 (if required)</t>
  </si>
  <si>
    <t>Transit Leg 3 (if required)</t>
  </si>
  <si>
    <t>Transfer Costs</t>
  </si>
  <si>
    <t>Inventory days</t>
  </si>
  <si>
    <t>Number of shipments per year</t>
  </si>
  <si>
    <t>#</t>
  </si>
  <si>
    <t>Cost per inventory day</t>
  </si>
  <si>
    <t>$/d</t>
  </si>
  <si>
    <t>Insurance</t>
  </si>
  <si>
    <t>Cost per day insured</t>
  </si>
  <si>
    <t>Insurance cost</t>
  </si>
  <si>
    <t xml:space="preserve">Total </t>
  </si>
  <si>
    <t>Transfer to site</t>
  </si>
  <si>
    <t>Total</t>
  </si>
  <si>
    <t>Delivery cost</t>
  </si>
  <si>
    <t>Labor</t>
  </si>
  <si>
    <t>Number of Employees</t>
  </si>
  <si>
    <t>Total Plant Staff</t>
  </si>
  <si>
    <t>Salaries (before benefits and other costs)</t>
  </si>
  <si>
    <t>$</t>
  </si>
  <si>
    <t>Benefits and other costs (inc. employment tax, social security etc)</t>
  </si>
  <si>
    <t>Value as % of base salary</t>
  </si>
  <si>
    <t>Total Labor Cost</t>
  </si>
  <si>
    <t>$m</t>
  </si>
  <si>
    <t>Total Plant Staff Cost</t>
  </si>
  <si>
    <t>Total Plant Staff Cost - Benefits and other costs</t>
  </si>
  <si>
    <t>Average plant staff cost</t>
  </si>
  <si>
    <t>Average plant staff cost - salary</t>
  </si>
  <si>
    <t>Average plant staff cost - benefits and other costs</t>
  </si>
  <si>
    <t>Other input costs</t>
  </si>
  <si>
    <t>$/kWh</t>
  </si>
  <si>
    <t>$/m3</t>
  </si>
  <si>
    <t>$/kg</t>
  </si>
  <si>
    <t>Raw Material Costs</t>
  </si>
  <si>
    <t>SITE SPECIFIC OPERATING COSTS</t>
  </si>
  <si>
    <t>Finished Goods to Market</t>
  </si>
  <si>
    <t>Other Costs</t>
  </si>
  <si>
    <t>Incentives</t>
  </si>
  <si>
    <t>Net Other Costs</t>
  </si>
  <si>
    <t>Summary of Site Specific Operating Costs</t>
  </si>
  <si>
    <t>Shipping cost</t>
  </si>
  <si>
    <t>Per tonne Pig Iron</t>
  </si>
  <si>
    <t>TOTAL OPERATING COSTS</t>
  </si>
  <si>
    <t>Pig Iron cost to market</t>
  </si>
  <si>
    <t>Other site specific costs</t>
  </si>
  <si>
    <t>Total operating cost</t>
  </si>
  <si>
    <t>CAPEX</t>
  </si>
  <si>
    <t>Plant Capex</t>
  </si>
  <si>
    <t>Total plant cost</t>
  </si>
  <si>
    <t>Site specific capex</t>
  </si>
  <si>
    <t>Land</t>
  </si>
  <si>
    <t>Land Development</t>
  </si>
  <si>
    <t>Treatment Facilities</t>
  </si>
  <si>
    <t>Sewage</t>
  </si>
  <si>
    <t>Waste Water</t>
  </si>
  <si>
    <t>Electrical transmission</t>
  </si>
  <si>
    <t>Electrical Sub Station</t>
  </si>
  <si>
    <t>Rail</t>
  </si>
  <si>
    <t>Road</t>
  </si>
  <si>
    <t>Other Infrastructure</t>
  </si>
  <si>
    <t>Total site specific capex</t>
  </si>
  <si>
    <t>Sustaining capex</t>
  </si>
  <si>
    <t>Total sustaining capex</t>
  </si>
  <si>
    <t>Total Capex</t>
  </si>
  <si>
    <t>Total plant site capex</t>
  </si>
  <si>
    <t>WORKING CAPITAL</t>
  </si>
  <si>
    <t>Assumptions</t>
  </si>
  <si>
    <t>Receivables</t>
  </si>
  <si>
    <t>days</t>
  </si>
  <si>
    <t>Payables - onsite costs</t>
  </si>
  <si>
    <t>Payables - capex</t>
  </si>
  <si>
    <t>Lime inventory</t>
  </si>
  <si>
    <t>Revenue</t>
  </si>
  <si>
    <t>Lime tonnage per year</t>
  </si>
  <si>
    <t>Lime inventory tonnage</t>
  </si>
  <si>
    <t>Lime value per tonne</t>
  </si>
  <si>
    <t>Lime inventory value</t>
  </si>
  <si>
    <t>Operating cost</t>
  </si>
  <si>
    <t>Payables</t>
  </si>
  <si>
    <t>Capex</t>
  </si>
  <si>
    <t>Working capital</t>
  </si>
  <si>
    <t>Increase in working capital</t>
  </si>
  <si>
    <t>Federal</t>
  </si>
  <si>
    <t>Federal tax rate</t>
  </si>
  <si>
    <t>yrs</t>
  </si>
  <si>
    <t>Beginning NOL balance</t>
  </si>
  <si>
    <t>Local</t>
  </si>
  <si>
    <t>Slag</t>
  </si>
  <si>
    <t>Operating costs</t>
  </si>
  <si>
    <t>Taxable income before depreciation</t>
  </si>
  <si>
    <t>Depreciation rate</t>
  </si>
  <si>
    <t>Year</t>
  </si>
  <si>
    <t>Depreciable</t>
  </si>
  <si>
    <t>Beginning balance</t>
  </si>
  <si>
    <t>Additions</t>
  </si>
  <si>
    <t>Ending balance</t>
  </si>
  <si>
    <t>Depreciation</t>
  </si>
  <si>
    <t>State taxes</t>
  </si>
  <si>
    <t>Local taxes</t>
  </si>
  <si>
    <t>Taxable income</t>
  </si>
  <si>
    <t>Federal income tax paid</t>
  </si>
  <si>
    <t>CASH FLOW STATEMENT</t>
  </si>
  <si>
    <t>Change in working capital</t>
  </si>
  <si>
    <t>Cash taxes</t>
  </si>
  <si>
    <t>Operating cash flow</t>
  </si>
  <si>
    <t>Financing cash flows</t>
  </si>
  <si>
    <t>Dividends</t>
  </si>
  <si>
    <t>Total cash flows</t>
  </si>
  <si>
    <t>Cash balance</t>
  </si>
  <si>
    <t>Change</t>
  </si>
  <si>
    <t>INCOME STATEMENT</t>
  </si>
  <si>
    <t>EBITDA</t>
  </si>
  <si>
    <t>EBIT</t>
  </si>
  <si>
    <t>Interest</t>
  </si>
  <si>
    <t>EBT</t>
  </si>
  <si>
    <t>Accounting Taxes</t>
  </si>
  <si>
    <t>Net income</t>
  </si>
  <si>
    <t>Accounting taxes</t>
  </si>
  <si>
    <t>Federal taxes</t>
  </si>
  <si>
    <t>State &amp; Local</t>
  </si>
  <si>
    <t>Total accounting taxes</t>
  </si>
  <si>
    <t>BALANCE SHEET</t>
  </si>
  <si>
    <t>Assets</t>
  </si>
  <si>
    <t>Cash</t>
  </si>
  <si>
    <t>PPE</t>
  </si>
  <si>
    <t>Inventory</t>
  </si>
  <si>
    <t>Deferred tax asset</t>
  </si>
  <si>
    <t>Total assets</t>
  </si>
  <si>
    <t>Liabilities</t>
  </si>
  <si>
    <t>Senior debt</t>
  </si>
  <si>
    <t>Deferred tax liability</t>
  </si>
  <si>
    <t>Total liabilities</t>
  </si>
  <si>
    <t>Shareholders equity</t>
  </si>
  <si>
    <t>Check</t>
  </si>
  <si>
    <t>PPE -Opening balance</t>
  </si>
  <si>
    <t>Capital Costs</t>
  </si>
  <si>
    <t>Useful life</t>
  </si>
  <si>
    <t>Deferred tax liability beginning of period</t>
  </si>
  <si>
    <t>Cash tax</t>
  </si>
  <si>
    <t>Accounting tax</t>
  </si>
  <si>
    <t>Deferred tax liability end of period</t>
  </si>
  <si>
    <t>Equity investments</t>
  </si>
  <si>
    <t>VALUATION &amp; IRR</t>
  </si>
  <si>
    <t>Pre-finance post tax cash flow</t>
  </si>
  <si>
    <t>NPV</t>
  </si>
  <si>
    <t>IRR</t>
  </si>
  <si>
    <t>Cash flows</t>
  </si>
  <si>
    <t>Cash flows flag</t>
  </si>
  <si>
    <t>Terminal Year Flag</t>
  </si>
  <si>
    <t>Terminal Value (EBITDA Multiple)</t>
  </si>
  <si>
    <t>FINANCING</t>
  </si>
  <si>
    <t>Financing Requirement</t>
  </si>
  <si>
    <t>Interest during construction</t>
  </si>
  <si>
    <t>Debt financing fees</t>
  </si>
  <si>
    <t>Total financing requirement</t>
  </si>
  <si>
    <t>Debt capacity</t>
  </si>
  <si>
    <t>Repayment periods</t>
  </si>
  <si>
    <t>First repayment year</t>
  </si>
  <si>
    <t>year</t>
  </si>
  <si>
    <t>Tenor</t>
  </si>
  <si>
    <t>years</t>
  </si>
  <si>
    <t>CF for debt service</t>
  </si>
  <si>
    <t>LLCR requirement</t>
  </si>
  <si>
    <t>ratio</t>
  </si>
  <si>
    <t>Borrowing costs</t>
  </si>
  <si>
    <t>CF available for debt service</t>
  </si>
  <si>
    <t>Debt service</t>
  </si>
  <si>
    <t>ADSCR</t>
  </si>
  <si>
    <t>x</t>
  </si>
  <si>
    <t>Equity requirement</t>
  </si>
  <si>
    <t>Equity spent</t>
  </si>
  <si>
    <t>Senior Borrowing</t>
  </si>
  <si>
    <t>Quantum</t>
  </si>
  <si>
    <t>Repayment period</t>
  </si>
  <si>
    <t>Senior borrow outstanding</t>
  </si>
  <si>
    <t>Drawdown</t>
  </si>
  <si>
    <t>Repayment</t>
  </si>
  <si>
    <t>During construction</t>
  </si>
  <si>
    <t>Arrangement fee</t>
  </si>
  <si>
    <t>Undrawn balance</t>
  </si>
  <si>
    <t>Beginning</t>
  </si>
  <si>
    <t>Drawn</t>
  </si>
  <si>
    <t>Ending</t>
  </si>
  <si>
    <t>Commitment fee</t>
  </si>
  <si>
    <t>Total fees</t>
  </si>
  <si>
    <t>Lender IRR</t>
  </si>
  <si>
    <t>Capitalized financing fees</t>
  </si>
  <si>
    <t>Opening balance</t>
  </si>
  <si>
    <t>Amortization</t>
  </si>
  <si>
    <t>First year of Amortization</t>
  </si>
  <si>
    <t>Fees</t>
  </si>
  <si>
    <t>Amortizable</t>
  </si>
  <si>
    <t>Year #</t>
  </si>
  <si>
    <t>Sources and Uses</t>
  </si>
  <si>
    <t>Uses</t>
  </si>
  <si>
    <t>WC</t>
  </si>
  <si>
    <t>Total before cost overrun</t>
  </si>
  <si>
    <t>Sources</t>
  </si>
  <si>
    <t>Debt</t>
  </si>
  <si>
    <t>Equity before cost overrun</t>
  </si>
  <si>
    <t>Total equity</t>
  </si>
  <si>
    <t>Total sources</t>
  </si>
  <si>
    <t>Reset switch</t>
  </si>
  <si>
    <t>Unlevered</t>
  </si>
  <si>
    <t>Levered</t>
  </si>
  <si>
    <t>Cash flow to equity</t>
  </si>
  <si>
    <t>Terminal Enterprise Value (EBITDA Multiple)</t>
  </si>
  <si>
    <t>Debt Outstanding</t>
  </si>
  <si>
    <t>Terminal Value</t>
  </si>
  <si>
    <t>Location</t>
  </si>
  <si>
    <t>fx rate</t>
  </si>
  <si>
    <t>Quebec (C$)</t>
  </si>
  <si>
    <t>Provincial</t>
  </si>
  <si>
    <t>CCA</t>
  </si>
  <si>
    <t>CCA - straight line</t>
  </si>
  <si>
    <t>Claim rates &amp; thresholds</t>
  </si>
  <si>
    <t>Claim in the year of expenditure</t>
  </si>
  <si>
    <t>switch</t>
  </si>
  <si>
    <t>ITC</t>
  </si>
  <si>
    <t>Quebec tax rate</t>
  </si>
  <si>
    <t>ITC - basic rate</t>
  </si>
  <si>
    <t>ITC - enhanced rate</t>
  </si>
  <si>
    <t>Plant</t>
  </si>
  <si>
    <t>Federal Taxable Income</t>
  </si>
  <si>
    <t>Quebec taxes</t>
  </si>
  <si>
    <t>Quebec Taxable Income</t>
  </si>
  <si>
    <t>Capital costs</t>
  </si>
  <si>
    <t>Federal CCA Tax Depreciation</t>
  </si>
  <si>
    <t>Beginning CCA balance</t>
  </si>
  <si>
    <t>CCA claimed</t>
  </si>
  <si>
    <t>Straight Line</t>
  </si>
  <si>
    <t>Beginning balances</t>
  </si>
  <si>
    <t>Declining Balance</t>
  </si>
  <si>
    <t>Federal ITC</t>
  </si>
  <si>
    <t>Claimed</t>
  </si>
  <si>
    <t>Closing balance</t>
  </si>
  <si>
    <t>Quebec CCA Tax Depreciation</t>
  </si>
  <si>
    <t>Quebec ITC</t>
  </si>
  <si>
    <t>Enhanced rate</t>
  </si>
  <si>
    <t>Capital expenditure towards max threshold</t>
  </si>
  <si>
    <t>Max threshold</t>
  </si>
  <si>
    <t>Total remaining</t>
  </si>
  <si>
    <t>Basic rate</t>
  </si>
  <si>
    <t>Federal NOLs</t>
  </si>
  <si>
    <t>Income Tax Summary</t>
  </si>
  <si>
    <t>Less: Quebec tax</t>
  </si>
  <si>
    <t>Quebec Taxes paid</t>
  </si>
  <si>
    <t>Tax depreciation</t>
  </si>
  <si>
    <t>Claims</t>
  </si>
  <si>
    <t>Quebec income tax paid</t>
  </si>
  <si>
    <t>Less: CCA</t>
  </si>
  <si>
    <t>Less: NOLS</t>
  </si>
  <si>
    <t>Profit before NOLS</t>
  </si>
  <si>
    <t>Federal income tax</t>
  </si>
  <si>
    <t>Less: ITCs utilized</t>
  </si>
  <si>
    <t>Quebec taxes paid</t>
  </si>
  <si>
    <t>Total taxes paid</t>
  </si>
  <si>
    <t>TAXES</t>
  </si>
  <si>
    <t>Tax Summary</t>
  </si>
  <si>
    <t>Total state / provincial and local</t>
  </si>
  <si>
    <t>State / provincial taxes</t>
  </si>
  <si>
    <t>Equity issued</t>
  </si>
  <si>
    <t>Capitalized financing costs</t>
  </si>
  <si>
    <t>Equity</t>
  </si>
  <si>
    <t>Total debt</t>
  </si>
  <si>
    <t>OPERATING COST REVIEW</t>
  </si>
  <si>
    <t>ECONOMIC IMPACT</t>
  </si>
  <si>
    <t>Direct Investment</t>
  </si>
  <si>
    <t>Initial Capex</t>
  </si>
  <si>
    <t>Ongoing capex</t>
  </si>
  <si>
    <t>Total capex</t>
  </si>
  <si>
    <t>Total local operating expenditures</t>
  </si>
  <si>
    <t>Taxes</t>
  </si>
  <si>
    <t>State / Provincial</t>
  </si>
  <si>
    <t>Local operating costs</t>
  </si>
  <si>
    <t>Total direct benefits</t>
  </si>
  <si>
    <t>Pay back</t>
  </si>
  <si>
    <t>Current</t>
  </si>
  <si>
    <t>Current FOB Eastern Canada</t>
  </si>
  <si>
    <t>Purchase price IOC FOB Port</t>
  </si>
  <si>
    <t>EBITDA - average p.a.</t>
  </si>
  <si>
    <t>Natural gas</t>
  </si>
  <si>
    <t>Iron ore</t>
  </si>
  <si>
    <t>Upfront</t>
  </si>
  <si>
    <t>Payback</t>
  </si>
  <si>
    <t>Avg. Commodity Prices - FOB Plant</t>
  </si>
  <si>
    <t>Operating cost - 20 yr avg</t>
  </si>
  <si>
    <t>Summary Economics</t>
  </si>
  <si>
    <t>Total Pig Iron production cost</t>
  </si>
  <si>
    <t>LLC at Financial Completion</t>
  </si>
  <si>
    <t>Sensitivities</t>
  </si>
  <si>
    <t>Opex</t>
  </si>
  <si>
    <t>FX Rate</t>
  </si>
  <si>
    <t>Iron ore price</t>
  </si>
  <si>
    <t>Property tax</t>
  </si>
  <si>
    <t>FX rate</t>
  </si>
  <si>
    <t>Initial Capex % spend</t>
  </si>
  <si>
    <t>Ramp-up Factor</t>
  </si>
  <si>
    <t>Cash Flow Statement</t>
  </si>
  <si>
    <t>Pre-finance cash flow</t>
  </si>
  <si>
    <t>Income Statement</t>
  </si>
  <si>
    <t>Balance Sheet</t>
  </si>
  <si>
    <t>Credit Metrics</t>
  </si>
  <si>
    <t>mtpa</t>
  </si>
  <si>
    <t>Contingency</t>
  </si>
  <si>
    <t xml:space="preserve">  </t>
  </si>
  <si>
    <t>Cumulative CCA deduction allowance</t>
  </si>
  <si>
    <t>US$m</t>
  </si>
  <si>
    <t>US$/t</t>
  </si>
  <si>
    <t>US$/kwh</t>
  </si>
  <si>
    <t>US$/mm btu</t>
  </si>
  <si>
    <t>USD $m</t>
  </si>
  <si>
    <t>Project name:</t>
  </si>
  <si>
    <t>File name:</t>
  </si>
  <si>
    <t>Current case:</t>
  </si>
  <si>
    <t>Model author:</t>
  </si>
  <si>
    <t>e-mail:</t>
  </si>
  <si>
    <t>Color legend:</t>
  </si>
  <si>
    <t>Input call-up</t>
  </si>
  <si>
    <t>Calculation</t>
  </si>
  <si>
    <t>Link to another sheet</t>
  </si>
  <si>
    <t>Disclaimer</t>
  </si>
  <si>
    <t>Sponsors:</t>
  </si>
  <si>
    <t>Grand River Ironsands</t>
  </si>
  <si>
    <t>Price Case Iron Ore</t>
  </si>
  <si>
    <t>cell:</t>
  </si>
  <si>
    <t>Hard code assumption within model</t>
  </si>
  <si>
    <t>Formula change within row</t>
  </si>
  <si>
    <t>Capital expenditures</t>
  </si>
  <si>
    <t>Hard code input Cell</t>
  </si>
  <si>
    <t>Product Production</t>
  </si>
  <si>
    <t xml:space="preserve">Inventory cost </t>
  </si>
  <si>
    <t>Total Pig Iron Plant Production Cost</t>
  </si>
  <si>
    <t>Total Pig Iron Production Cost</t>
  </si>
  <si>
    <t>Total Pig Iron plant production cost</t>
  </si>
  <si>
    <t>Pig iron plant production cost</t>
  </si>
  <si>
    <t>CCA - depreciating balance</t>
  </si>
  <si>
    <t>0 = straight line; 1 = depreciating balance</t>
  </si>
  <si>
    <t>ITC - enhanced rate threshold</t>
  </si>
  <si>
    <t>Depreciation Year</t>
  </si>
  <si>
    <t>Max CCA deduction allowance</t>
  </si>
  <si>
    <t>PPE ending balance</t>
  </si>
  <si>
    <t>Deferred taxes</t>
  </si>
  <si>
    <t>Repayment  period</t>
  </si>
  <si>
    <t>Annual debt service coverage ratio</t>
  </si>
  <si>
    <t>Amortization Period</t>
  </si>
  <si>
    <t>Amortization Schedule</t>
  </si>
  <si>
    <t>Lime</t>
  </si>
  <si>
    <t xml:space="preserve">Lime required </t>
  </si>
  <si>
    <t>Cost FOB kiln</t>
  </si>
  <si>
    <t>Total / Average</t>
  </si>
  <si>
    <t>Number</t>
  </si>
  <si>
    <t>Date</t>
  </si>
  <si>
    <t>Nodular</t>
  </si>
  <si>
    <t>Steel Making</t>
  </si>
  <si>
    <t>Offspec</t>
  </si>
  <si>
    <t>Scrap Grade Recycled From Pig Caster</t>
  </si>
  <si>
    <t>EAF</t>
  </si>
  <si>
    <t>Nodular off-spec</t>
  </si>
  <si>
    <t>Scrap Grade</t>
  </si>
  <si>
    <t>Storage &amp; Cold Processing</t>
  </si>
  <si>
    <t>mmbtu/t mpi</t>
  </si>
  <si>
    <t>kwh/t mpi</t>
  </si>
  <si>
    <t>Maintenance &amp; Supplies</t>
  </si>
  <si>
    <t>Refractories</t>
  </si>
  <si>
    <t>Maintenance</t>
  </si>
  <si>
    <t>kg/t mpi</t>
  </si>
  <si>
    <t>Electrodes</t>
  </si>
  <si>
    <t>Electricity operations</t>
  </si>
  <si>
    <t>Electricity conversion</t>
  </si>
  <si>
    <t>Slag processing</t>
  </si>
  <si>
    <t>Maintenance supplies</t>
  </si>
  <si>
    <t>Mold spray coating</t>
  </si>
  <si>
    <t>$/t mpi</t>
  </si>
  <si>
    <t>Melting</t>
  </si>
  <si>
    <t>Supervisor/team Leader of Melting &amp; Casting</t>
  </si>
  <si>
    <t>Senior Operator - De-S</t>
  </si>
  <si>
    <t>Operator - Ladle Crane</t>
  </si>
  <si>
    <t>Operator</t>
  </si>
  <si>
    <t>Team Leader - Refractory</t>
  </si>
  <si>
    <t>Operator - Refractory</t>
  </si>
  <si>
    <t>Manager of Melting/Casting Production</t>
  </si>
  <si>
    <t>Casting</t>
  </si>
  <si>
    <t xml:space="preserve">Senior Casting Operator </t>
  </si>
  <si>
    <t>Operator - Casting bay</t>
  </si>
  <si>
    <t>Senior Operator - Mechanical</t>
  </si>
  <si>
    <t>Cold Processing</t>
  </si>
  <si>
    <t>Manager of Cold Processing Production</t>
  </si>
  <si>
    <t xml:space="preserve">Senior Operator </t>
  </si>
  <si>
    <t>Shared Personnel</t>
  </si>
  <si>
    <t>Maintenance Manager</t>
  </si>
  <si>
    <t>Mechanical Engineer</t>
  </si>
  <si>
    <t>Electrical Engineer</t>
  </si>
  <si>
    <t>Information Systems Technician</t>
  </si>
  <si>
    <t>Craft Maintenance - Electrical</t>
  </si>
  <si>
    <t>Craft Maintenance - Mechanical</t>
  </si>
  <si>
    <t>Quality Control Engineer</t>
  </si>
  <si>
    <t>Selling, General &amp; Administrative</t>
  </si>
  <si>
    <t>CEO, CFO, COO</t>
  </si>
  <si>
    <t>Administrator</t>
  </si>
  <si>
    <t xml:space="preserve">Accounting </t>
  </si>
  <si>
    <t>Purchasing - Buyer</t>
  </si>
  <si>
    <t>Purchasing - Receiving</t>
  </si>
  <si>
    <t>Human Resources/Safety Manager/Training</t>
  </si>
  <si>
    <t>Sales Administrator</t>
  </si>
  <si>
    <t>Inside Sales</t>
  </si>
  <si>
    <t>Shipping Manager</t>
  </si>
  <si>
    <t>Bonus</t>
  </si>
  <si>
    <t>Total Salary + Bonus</t>
  </si>
  <si>
    <t>Canadian dollar costs</t>
  </si>
  <si>
    <t>US dollar costs</t>
  </si>
  <si>
    <t>Labor - ex SGA</t>
  </si>
  <si>
    <t>SG&amp;A</t>
  </si>
  <si>
    <t>Other expenses (% of net sales)</t>
  </si>
  <si>
    <t>Total SG&amp;A expense</t>
  </si>
  <si>
    <t>Freight</t>
  </si>
  <si>
    <t>Average sales price MPI</t>
  </si>
  <si>
    <t>Value subject to property tax - Buildings and Facilities</t>
  </si>
  <si>
    <t>Total Plant Staff Cost - Salary + Bonus</t>
  </si>
  <si>
    <t>Total Cash Costs inc. SG&amp;A</t>
  </si>
  <si>
    <t>Model Summary - Port Saguenay</t>
  </si>
  <si>
    <t>Debt Capacity - Sensitivity</t>
  </si>
  <si>
    <t>0 = Current FOB Eastern Canada; 1 = LT Project Price</t>
  </si>
  <si>
    <t>% Financed</t>
  </si>
  <si>
    <t>Working Capital Borrowing Base</t>
  </si>
  <si>
    <t>Beginning Balance</t>
  </si>
  <si>
    <t>Ending Balance</t>
  </si>
  <si>
    <t>Interest Expense</t>
  </si>
  <si>
    <t>Working capital requirement (inventory &amp; receivables)</t>
  </si>
  <si>
    <t>Working Capital Financing (subordinated to senior borrowing)</t>
  </si>
  <si>
    <t>Senior Debt Interest</t>
  </si>
  <si>
    <t>Senior debt drawdown</t>
  </si>
  <si>
    <t>Senior debt repayment</t>
  </si>
  <si>
    <t>Senior debt Financing fees</t>
  </si>
  <si>
    <t>Senior debt Interest</t>
  </si>
  <si>
    <t>Working capital drawdown</t>
  </si>
  <si>
    <t>Working capital repayment</t>
  </si>
  <si>
    <t>Working capital interest</t>
  </si>
  <si>
    <t>Working capital financing</t>
  </si>
  <si>
    <t>Senior debt interest expense</t>
  </si>
  <si>
    <t>Working capital interest expense</t>
  </si>
  <si>
    <t>Senior debt Interest expense</t>
  </si>
  <si>
    <t>Senior debt interest</t>
  </si>
  <si>
    <t>Senior debt fees</t>
  </si>
  <si>
    <t>Working capital financing drawdown</t>
  </si>
  <si>
    <t>Working capital financing repayment</t>
  </si>
  <si>
    <t>Working capital financing interest</t>
  </si>
  <si>
    <t>Port Saguneay Quebec</t>
  </si>
  <si>
    <t>Pig Iron Price</t>
  </si>
  <si>
    <t>Plant operating cost (inc. SG&amp;A)</t>
  </si>
  <si>
    <r>
      <t>Sustaining p.a.</t>
    </r>
    <r>
      <rPr>
        <vertAlign val="superscript"/>
        <sz val="11"/>
        <color theme="1"/>
        <rFont val="Calibri"/>
        <family val="2"/>
        <scheme val="minor"/>
      </rPr>
      <t>1</t>
    </r>
  </si>
  <si>
    <t>Plant production cost (ex SG&amp;A)</t>
  </si>
  <si>
    <t>Financing - CAD millions</t>
  </si>
  <si>
    <t>Financing - USD millions</t>
  </si>
  <si>
    <t>Minimum DSCR - Senior debt</t>
  </si>
  <si>
    <t>Average DSCR - Senior debt</t>
  </si>
  <si>
    <t xml:space="preserve">NPV Sensitivity </t>
  </si>
  <si>
    <t>LLCRs</t>
  </si>
  <si>
    <t>NPI - FOB Port Saguenay</t>
  </si>
  <si>
    <t>BPI - FOB Port Saguenay</t>
  </si>
  <si>
    <t>Exit multiple</t>
  </si>
  <si>
    <t>Enterprise value</t>
  </si>
  <si>
    <t>Less debt</t>
  </si>
  <si>
    <t>Equity Value</t>
  </si>
  <si>
    <t>IRR to Investors</t>
  </si>
  <si>
    <t>Fe</t>
  </si>
  <si>
    <t>MPI</t>
  </si>
  <si>
    <t>NPI Premium</t>
  </si>
  <si>
    <t xml:space="preserve">NPI </t>
  </si>
  <si>
    <t>Delivery</t>
  </si>
  <si>
    <t xml:space="preserve">Fe Price </t>
  </si>
  <si>
    <t>NPI Premium - $100/t</t>
  </si>
  <si>
    <t>NPI Premium - $80/t</t>
  </si>
  <si>
    <t>NPI Premium - $60/t</t>
  </si>
  <si>
    <t>NPI Premium - $0/t</t>
  </si>
  <si>
    <t>Plant operating cost (inc. SG&amp;A, D&amp;A &amp; Int)</t>
  </si>
  <si>
    <t>D&amp;A</t>
  </si>
  <si>
    <t>Int</t>
  </si>
  <si>
    <t>Total Pig Iron Production Costs</t>
  </si>
  <si>
    <t>Salary (C$)</t>
  </si>
  <si>
    <t>Bonus (C$)</t>
  </si>
  <si>
    <t>Total (C$)</t>
  </si>
  <si>
    <t>Total Cash Production Cost</t>
  </si>
  <si>
    <t>HYL</t>
  </si>
  <si>
    <t>O2, N2, H2O, others</t>
  </si>
  <si>
    <t>Industrial Water</t>
  </si>
  <si>
    <t>Production Capacity</t>
  </si>
  <si>
    <t>t/t mpi</t>
  </si>
  <si>
    <t>Production Case</t>
  </si>
  <si>
    <t>C$/mmbtu</t>
  </si>
  <si>
    <t>Iron ore pellets</t>
  </si>
  <si>
    <t>LT Projection FOB Eastern Canada</t>
  </si>
  <si>
    <t>Current Prices</t>
  </si>
  <si>
    <t>Price Scenario</t>
  </si>
  <si>
    <t xml:space="preserve">LT Projections </t>
  </si>
  <si>
    <t>MPI Production</t>
  </si>
  <si>
    <t>Shaft Furnace</t>
  </si>
  <si>
    <t>Initial capex</t>
  </si>
  <si>
    <t>Gas Based Shaft Furnace + EAF</t>
  </si>
  <si>
    <t>CAD:USD</t>
  </si>
  <si>
    <t>Price Projections</t>
  </si>
  <si>
    <t>Flat Current</t>
  </si>
  <si>
    <t>Fe pellets tonnage per year</t>
  </si>
  <si>
    <t>Fe pellets inventory tonnage</t>
  </si>
  <si>
    <t>Fe pellet value per tonne</t>
  </si>
  <si>
    <t>Fe pellet inventory value</t>
  </si>
  <si>
    <t>Opex USD</t>
  </si>
  <si>
    <t>CAD $m</t>
  </si>
  <si>
    <t>Capex (C$m)</t>
  </si>
  <si>
    <t>Pig Iron Price (C$/t)</t>
  </si>
  <si>
    <t>Opex (C$/t)</t>
  </si>
  <si>
    <t>Iron ore price (C$/t)</t>
  </si>
  <si>
    <t>FX Rate (C$:US$)</t>
  </si>
  <si>
    <t>C$m</t>
  </si>
  <si>
    <t>C$/t</t>
  </si>
  <si>
    <t>C$/kwh</t>
  </si>
  <si>
    <t>C$/mm btu</t>
  </si>
  <si>
    <t>Working Capital</t>
  </si>
  <si>
    <t>Senior Debt</t>
  </si>
  <si>
    <t>IQ-FDE / Loan</t>
  </si>
  <si>
    <t>ECA Financing</t>
  </si>
  <si>
    <t>ECA Calculation</t>
  </si>
  <si>
    <t xml:space="preserve">% Financed under ECA </t>
  </si>
  <si>
    <t>Total ECA Financing</t>
  </si>
  <si>
    <t>Tenova Contract Value (C$)</t>
  </si>
  <si>
    <t>Other (EDC, etc.)</t>
  </si>
  <si>
    <t>Total Senior Debt</t>
  </si>
  <si>
    <t>IQ- FDE / Equity</t>
  </si>
  <si>
    <t>Total Equity</t>
  </si>
  <si>
    <t>Total Sources</t>
  </si>
  <si>
    <t>Other (Current Shareholders, IPO, Private Equity)</t>
  </si>
  <si>
    <t>Total Uses</t>
  </si>
  <si>
    <t>Min ADSCR</t>
  </si>
  <si>
    <t>Max Debt Service</t>
  </si>
  <si>
    <t>Debt Service</t>
  </si>
  <si>
    <t>Sculpted Payments</t>
  </si>
  <si>
    <t>Straight Line Payments</t>
  </si>
  <si>
    <t>Annual principle payments</t>
  </si>
  <si>
    <t>Sraight line or Sculpted payments (Straight = 0; Sculpted = 1)</t>
  </si>
  <si>
    <t>flag</t>
  </si>
  <si>
    <t>Manager of HYL Production</t>
  </si>
  <si>
    <t>Supervisor/Team Leader of HYL</t>
  </si>
  <si>
    <t>C$/hr (based on 2,000 hrs per year)</t>
  </si>
  <si>
    <t>Briquettes</t>
  </si>
  <si>
    <t>Cost of Briquettes</t>
  </si>
  <si>
    <t>Production Capacity (nominal gauranteed)</t>
  </si>
  <si>
    <t>Production Capacity (Max change +10%)</t>
  </si>
  <si>
    <t>General Services &amp; Mobile Equipment</t>
  </si>
  <si>
    <t>Iron Ore Pellets</t>
  </si>
  <si>
    <t>Description</t>
  </si>
  <si>
    <t>Direct Labour Hours</t>
  </si>
  <si>
    <t>Labour</t>
  </si>
  <si>
    <t>Permanent Equipment</t>
  </si>
  <si>
    <t>Permanent Material</t>
  </si>
  <si>
    <t>Permanent Fabrication</t>
  </si>
  <si>
    <t>Sub-Contract</t>
  </si>
  <si>
    <t>TOTAL
(CAD)</t>
  </si>
  <si>
    <t>TOTAL
(USD)</t>
  </si>
  <si>
    <t>Civil</t>
  </si>
  <si>
    <t>Dome technology</t>
  </si>
  <si>
    <t>Concrete</t>
  </si>
  <si>
    <t>Structural Steel</t>
  </si>
  <si>
    <t>Technological Steel (supplied by Tenova)</t>
  </si>
  <si>
    <t>Architectural</t>
  </si>
  <si>
    <t>Mechanical</t>
  </si>
  <si>
    <t>Piping</t>
  </si>
  <si>
    <t>Electrical</t>
  </si>
  <si>
    <t>Automation</t>
  </si>
  <si>
    <t>TOTAL DIRECT COSTS</t>
  </si>
  <si>
    <t>Construction Field Indirects</t>
  </si>
  <si>
    <t>% of direct costs</t>
  </si>
  <si>
    <t>warranty management- 1 person 1 year @ $150/hour</t>
  </si>
  <si>
    <t>included in EPCM</t>
  </si>
  <si>
    <t>Heavy Lift &amp; Heavy Haul from Port</t>
  </si>
  <si>
    <t>Engineering, Procurement &amp; Construction Management</t>
  </si>
  <si>
    <t>of direct costs</t>
  </si>
  <si>
    <t>Norda Stelo Engineering &amp; Construction Management</t>
  </si>
  <si>
    <t>included in Construction Field Directs</t>
  </si>
  <si>
    <t>Geotechnical Survey</t>
  </si>
  <si>
    <t>Survey subcontract</t>
  </si>
  <si>
    <t>External Laboratory Testing</t>
  </si>
  <si>
    <t>Freight's Insurance</t>
  </si>
  <si>
    <t>Vendor's Representative</t>
  </si>
  <si>
    <t>Initial First Fills and Oils</t>
  </si>
  <si>
    <t>Commissionning Spares</t>
  </si>
  <si>
    <t>Capital Spares</t>
  </si>
  <si>
    <t>Operating Spares (2 years)</t>
  </si>
  <si>
    <t>Included in OPEX</t>
  </si>
  <si>
    <t>Pre-Commissioning Support (Trades assistance by sub-cont.)</t>
  </si>
  <si>
    <t>of mechanical and electrical hours ( 15 men x 6 months x 4.3 weeks/month x 40 hrs/wk x $115)</t>
  </si>
  <si>
    <t>of directs + indirects excluding escalation</t>
  </si>
  <si>
    <t xml:space="preserve">TOTAL INDIRECT COSTS
</t>
  </si>
  <si>
    <t>Avg. Crew Rate (C$)</t>
  </si>
  <si>
    <t>Direct Costs</t>
  </si>
  <si>
    <t>Total Direct Costs</t>
  </si>
  <si>
    <t>Indirect Costs</t>
  </si>
  <si>
    <t>TOTAL DIRECTS + INDIRECT COSTS</t>
  </si>
  <si>
    <t>CAD</t>
  </si>
  <si>
    <t>FX Assumptions</t>
  </si>
  <si>
    <t>Currency</t>
  </si>
  <si>
    <t>Base Case</t>
  </si>
  <si>
    <t>% Capex</t>
  </si>
  <si>
    <t>EUR</t>
  </si>
  <si>
    <t>USD</t>
  </si>
  <si>
    <t>Current Model</t>
  </si>
  <si>
    <t>Currency Affect ($m)</t>
  </si>
  <si>
    <t>CAD Currency Adjustment</t>
  </si>
  <si>
    <t>Indirects</t>
  </si>
  <si>
    <t>Scrap Based Steel Makers</t>
  </si>
  <si>
    <t>EV / EBITDA</t>
  </si>
  <si>
    <t>MV</t>
  </si>
  <si>
    <t>EV</t>
  </si>
  <si>
    <t>TTM EBITDA Margin</t>
  </si>
  <si>
    <t>TTM</t>
  </si>
  <si>
    <t>NUE</t>
  </si>
  <si>
    <t>Nucor</t>
  </si>
  <si>
    <t>STLD</t>
  </si>
  <si>
    <t>Steel Dynamics</t>
  </si>
  <si>
    <t>CMC</t>
  </si>
  <si>
    <t>Commerical Metals</t>
  </si>
  <si>
    <t>SMSMY</t>
  </si>
  <si>
    <t>Sims Metal Management Limited</t>
  </si>
  <si>
    <t>TMST</t>
  </si>
  <si>
    <t>Timkensteel Corp</t>
  </si>
  <si>
    <t>nm</t>
  </si>
  <si>
    <t>SHCN</t>
  </si>
  <si>
    <t>Schnitzer Steel</t>
  </si>
  <si>
    <t>Average</t>
  </si>
  <si>
    <t>Blast Furnace Steel Makers</t>
  </si>
  <si>
    <t>AKS</t>
  </si>
  <si>
    <t>AK Steel</t>
  </si>
  <si>
    <t>X</t>
  </si>
  <si>
    <t>US Steel</t>
  </si>
  <si>
    <t>MT</t>
  </si>
  <si>
    <t>ArcelorMittal SA</t>
  </si>
  <si>
    <t>VOE</t>
  </si>
  <si>
    <t>Voestalpine</t>
  </si>
  <si>
    <t>Specialty Metals Companies</t>
  </si>
  <si>
    <t>CRS</t>
  </si>
  <si>
    <t>Carpenter Technology Corporation</t>
  </si>
  <si>
    <t>ATI</t>
  </si>
  <si>
    <t>Allegheny Technologies Incorporated</t>
  </si>
  <si>
    <t>GSM</t>
  </si>
  <si>
    <t>Ferroglobe</t>
  </si>
  <si>
    <t>Total Average</t>
  </si>
  <si>
    <t>Debt Capacity - 11 yr tenor</t>
  </si>
  <si>
    <t>Exit Multiple Analysis - Leveraged (US$m)</t>
  </si>
  <si>
    <t>Exit Multiple Analysis - Unleveraged (US$m)</t>
  </si>
  <si>
    <t>Exit Multiple Analysis - Leveraged (C$m)</t>
  </si>
  <si>
    <t>Exit Multiple Analysis - Unleveraged (C$m)</t>
  </si>
  <si>
    <t>General services and mobile equipment</t>
  </si>
  <si>
    <t>O2, N2, others</t>
  </si>
  <si>
    <t>m3/t mpi</t>
  </si>
  <si>
    <t>C$</t>
  </si>
  <si>
    <t>Refractories (EAF)</t>
  </si>
  <si>
    <t>Refractories (ladles)</t>
  </si>
  <si>
    <t>Refractory (EAF)</t>
  </si>
  <si>
    <t>Refractory (ladles)</t>
  </si>
  <si>
    <t>Refractory (castings)</t>
  </si>
  <si>
    <t>Refractories (casting)</t>
  </si>
  <si>
    <t>Auxiliaries</t>
  </si>
  <si>
    <t>Other gases and supplies</t>
  </si>
  <si>
    <t>Briquetting Plant (Installed)</t>
  </si>
  <si>
    <t>Briquetting Plant (estimated by Tenova post SNC  capex calculation of Direct Costs)</t>
  </si>
  <si>
    <t>Senior Operator - EAF</t>
  </si>
  <si>
    <t>Tax Holiday Large Investment Projects</t>
  </si>
  <si>
    <t>Total benefit</t>
  </si>
  <si>
    <t>Term of Credit</t>
  </si>
  <si>
    <t>ITC = 0, Tax Holiday Large Investment Projects = 1</t>
  </si>
  <si>
    <t>LT Estimates</t>
  </si>
  <si>
    <t>LT</t>
  </si>
  <si>
    <t>Flat Current Prices (=0) or LT Estimates (=1)</t>
  </si>
  <si>
    <t>US$</t>
  </si>
  <si>
    <t>Storage</t>
  </si>
  <si>
    <t xml:space="preserve">Carry forward - from start of production </t>
  </si>
  <si>
    <t>Quebec income tax before ITCs or Tax Holiday</t>
  </si>
  <si>
    <t>Current shipping cost Eastern Canada to China</t>
  </si>
  <si>
    <t>LT cfr China</t>
  </si>
  <si>
    <t>LT shipping cost Eastern Canada to China</t>
  </si>
  <si>
    <t xml:space="preserve">Transit Leg 1 </t>
  </si>
  <si>
    <t>Dollar per day charter</t>
  </si>
  <si>
    <t>Days charter</t>
  </si>
  <si>
    <t>Tonnes per ship</t>
  </si>
  <si>
    <t>t</t>
  </si>
  <si>
    <t>MPI inventory tonnage</t>
  </si>
  <si>
    <t>MPI value per tonne</t>
  </si>
  <si>
    <t>MPI inventory value</t>
  </si>
  <si>
    <t>MPI tonnage per year</t>
  </si>
  <si>
    <t>Fe pellet inventory</t>
  </si>
  <si>
    <t>MPI inventory</t>
  </si>
  <si>
    <t>Month</t>
  </si>
  <si>
    <t>MPI Predicted</t>
  </si>
  <si>
    <t>% Diff</t>
  </si>
  <si>
    <t>Correlation</t>
  </si>
  <si>
    <t>R2</t>
  </si>
  <si>
    <t>Intercept</t>
  </si>
  <si>
    <t>Slope</t>
  </si>
  <si>
    <t>LT Fe Price</t>
  </si>
  <si>
    <t>Predicted MPI</t>
  </si>
  <si>
    <t>62% fines cfr China</t>
  </si>
  <si>
    <t>Current 65% pellet cfr China</t>
  </si>
  <si>
    <t>65% pellet premium</t>
  </si>
  <si>
    <t>LT 62% fines cfr China</t>
  </si>
  <si>
    <t>LT 65% pellet premium</t>
  </si>
  <si>
    <t>Steel Making (midwest)</t>
  </si>
  <si>
    <t>Steel Making (NOLA)</t>
  </si>
  <si>
    <t>Transporation, NOLA to Midwest</t>
  </si>
  <si>
    <t>Nodular premium to Steel Making</t>
  </si>
  <si>
    <t>Nodular (midwest)</t>
  </si>
  <si>
    <t>Offspec discount</t>
  </si>
  <si>
    <t>Offspec (midwest)</t>
  </si>
  <si>
    <t>Scrap Grade Recycled From Pig Caster - % of Steel Making Price</t>
  </si>
  <si>
    <t xml:space="preserve">Steel Making (NOLA) - calculated from line of best fit relationship to Fe </t>
  </si>
  <si>
    <t>Nodular (Midwest)</t>
  </si>
  <si>
    <t>Steel Making (Midwest)</t>
  </si>
  <si>
    <t>Slag Price</t>
  </si>
  <si>
    <t>$/C$</t>
  </si>
  <si>
    <t>LT Projections Case</t>
  </si>
  <si>
    <t>Current Prices Case</t>
  </si>
  <si>
    <t>Fe Price</t>
  </si>
  <si>
    <t>MPI Price</t>
  </si>
  <si>
    <t>Total MPI % Price Change</t>
  </si>
  <si>
    <t>% Change From Previous Decile</t>
  </si>
  <si>
    <t>% MPI Change per % Change Fe</t>
  </si>
  <si>
    <t xml:space="preserve">Unlevered IRR Sensitivity - No Exit </t>
  </si>
  <si>
    <t>Cost Overrun</t>
  </si>
  <si>
    <t>Base Case feasibility capex estimate</t>
  </si>
  <si>
    <t>Current Case capex estimate</t>
  </si>
  <si>
    <t>Cost overrun (savings)</t>
  </si>
  <si>
    <t>Equity Spent</t>
  </si>
  <si>
    <t>Overrun funding required</t>
  </si>
  <si>
    <t>Cost Overrun available and required</t>
  </si>
  <si>
    <t>Cost overrun debt as % of base case capex</t>
  </si>
  <si>
    <t>Max cost overrun debt available</t>
  </si>
  <si>
    <t>Cast overrun funding ratio</t>
  </si>
  <si>
    <t xml:space="preserve">Cost overrun debt </t>
  </si>
  <si>
    <t>Cost overrun equity</t>
  </si>
  <si>
    <t>Cost overrun debt drawdown</t>
  </si>
  <si>
    <t>Cost overrun debt repayment</t>
  </si>
  <si>
    <t>Cost overrun debt interest</t>
  </si>
  <si>
    <t>Cost overrun debt fees</t>
  </si>
  <si>
    <t>Capex cost overrun required</t>
  </si>
  <si>
    <t>Cost overrun debt</t>
  </si>
  <si>
    <t>Cost overrun interest</t>
  </si>
  <si>
    <t>Cost overrun interest expense</t>
  </si>
  <si>
    <t>ABS % Diff</t>
  </si>
  <si>
    <t>Median</t>
  </si>
  <si>
    <t>STD</t>
  </si>
  <si>
    <t>Stevedoring &amp; Port</t>
  </si>
  <si>
    <t>Wharfage</t>
  </si>
  <si>
    <t xml:space="preserve">NAIC site to port, stockpile and Loading </t>
  </si>
  <si>
    <t>Cost overrun required</t>
  </si>
  <si>
    <t>Days at Sea</t>
  </si>
  <si>
    <t>Days Unloading</t>
  </si>
  <si>
    <t>Charter Cost</t>
  </si>
  <si>
    <t>Seaway Toll Charges</t>
  </si>
  <si>
    <t>Ship Charter Cost</t>
  </si>
  <si>
    <t>Port Saguenay Costs</t>
  </si>
  <si>
    <t>Lockage charge Welland Canal - Lake Ontario to Lake Erie</t>
  </si>
  <si>
    <t>$/t ship</t>
  </si>
  <si>
    <t>Cargo Toll - Montreal to Lake Ontario</t>
  </si>
  <si>
    <t>Cargo Toll - Welland Canal - Lake Ontario to Lake Erie</t>
  </si>
  <si>
    <t>Ship Toll - Montreal to Lake Ontario</t>
  </si>
  <si>
    <t>Ship Toll - Welland Canal - Lake Ontario to Lake Erie</t>
  </si>
  <si>
    <t>$/t cargo</t>
  </si>
  <si>
    <t>Gross registed tonnes (for seaway fees)</t>
  </si>
  <si>
    <t xml:space="preserve">Costs at Destination </t>
  </si>
  <si>
    <t>Total per tonne MPI</t>
  </si>
  <si>
    <t>Total Shipping Costs to US Lake Erie Port</t>
  </si>
  <si>
    <t>Total MPI Finished Good to Market</t>
  </si>
  <si>
    <t xml:space="preserve">Total MPI Finished Good to Market </t>
  </si>
  <si>
    <t>Stevedoring &amp; dock costs (cranes, material handling on dock etc.)</t>
  </si>
  <si>
    <t>NPI - ex-works</t>
  </si>
  <si>
    <t>BPI - ex-works</t>
  </si>
  <si>
    <t>Shareholder equity</t>
  </si>
  <si>
    <t>L-rate</t>
  </si>
  <si>
    <t>Economic development rate reduction</t>
  </si>
  <si>
    <t>Loan life coverage ratio</t>
  </si>
  <si>
    <t>Borrowing</t>
  </si>
  <si>
    <t>LLCR</t>
  </si>
  <si>
    <t>2017E</t>
  </si>
  <si>
    <t>% DE RÉDUCTION PROPOSÉS PAR LE MDDELCC POUR LE POST 2020</t>
  </si>
  <si>
    <t>Années, I</t>
  </si>
  <si>
    <t>R=</t>
  </si>
  <si>
    <t>(jusqu'en 2020)</t>
  </si>
  <si>
    <t>Production considérée : 518 600 tonnes de fonte en gueuse / an</t>
  </si>
  <si>
    <t xml:space="preserve">ÉMISSIONS ATMOSPHÉRIQUE DE L'USINE DE FONTE </t>
  </si>
  <si>
    <t>Four de préchauffe</t>
  </si>
  <si>
    <t>Unité oxidation thermique</t>
  </si>
  <si>
    <t>Chaudière auxiliaire</t>
  </si>
  <si>
    <t>Émissions des évents</t>
  </si>
  <si>
    <t>Émissions des évènements</t>
  </si>
  <si>
    <t>Pilote de la torchère</t>
  </si>
  <si>
    <t>Bâtiment fusion et coulé (FAE)</t>
  </si>
  <si>
    <t>Préchauffage des poches</t>
  </si>
  <si>
    <t>Séchoir des boues</t>
  </si>
  <si>
    <t>Séchoir des briquettes</t>
  </si>
  <si>
    <t>Génératrice diesel d'urgence</t>
  </si>
  <si>
    <t>Total des sources fixes</t>
  </si>
  <si>
    <t>Sources mobiles dans l'usine</t>
  </si>
  <si>
    <t>Grand total</t>
  </si>
  <si>
    <t>S/O</t>
  </si>
  <si>
    <t>GES totaux</t>
  </si>
  <si>
    <t>CALCUL DES COÛTS DE CONFORMITÉ</t>
  </si>
  <si>
    <t>Allocations gratuites</t>
  </si>
  <si>
    <t>procédé fixe</t>
  </si>
  <si>
    <t>combustion</t>
  </si>
  <si>
    <t>Totales</t>
  </si>
  <si>
    <t>Émissions GES estimées</t>
  </si>
  <si>
    <t>Droits d'émission à acheter</t>
  </si>
  <si>
    <t>Prix d'un droit d'émission</t>
  </si>
  <si>
    <t>scénario prix plancher</t>
  </si>
  <si>
    <t>TOTAL</t>
  </si>
  <si>
    <t>Coût annuel</t>
  </si>
  <si>
    <t>scénario prix fédéral</t>
  </si>
  <si>
    <t>Coût annuel (100% CO2)</t>
  </si>
  <si>
    <t>CO2 Tax</t>
  </si>
  <si>
    <t>CO2 capped amount</t>
  </si>
  <si>
    <t>Subsidy</t>
  </si>
  <si>
    <r>
      <t>a</t>
    </r>
    <r>
      <rPr>
        <vertAlign val="subscript"/>
        <sz val="10"/>
        <color theme="1"/>
        <rFont val="Arial"/>
        <family val="2"/>
      </rPr>
      <t>ci</t>
    </r>
  </si>
  <si>
    <r>
      <t>b</t>
    </r>
    <r>
      <rPr>
        <vertAlign val="subscript"/>
        <sz val="10"/>
        <color theme="1"/>
        <rFont val="Arial"/>
        <family val="2"/>
      </rPr>
      <t>pi</t>
    </r>
  </si>
  <si>
    <r>
      <t>c</t>
    </r>
    <r>
      <rPr>
        <vertAlign val="subscript"/>
        <sz val="10"/>
        <color theme="1"/>
        <rFont val="Arial"/>
        <family val="2"/>
      </rPr>
      <t>ai</t>
    </r>
  </si>
  <si>
    <r>
      <t>a</t>
    </r>
    <r>
      <rPr>
        <vertAlign val="subscript"/>
        <sz val="10"/>
        <color theme="1"/>
        <rFont val="Arial"/>
        <family val="2"/>
      </rPr>
      <t>ci</t>
    </r>
    <r>
      <rPr>
        <sz val="10"/>
        <color theme="1"/>
        <rFont val="Arial"/>
        <family val="2"/>
      </rPr>
      <t xml:space="preserve"> = Combustion</t>
    </r>
  </si>
  <si>
    <r>
      <t>b</t>
    </r>
    <r>
      <rPr>
        <vertAlign val="subscript"/>
        <sz val="10"/>
        <color theme="1"/>
        <rFont val="Arial"/>
        <family val="2"/>
      </rPr>
      <t>pi</t>
    </r>
    <r>
      <rPr>
        <sz val="10"/>
        <color theme="1"/>
        <rFont val="Arial"/>
        <family val="2"/>
      </rPr>
      <t xml:space="preserve"> = Procédé</t>
    </r>
  </si>
  <si>
    <r>
      <t>c</t>
    </r>
    <r>
      <rPr>
        <vertAlign val="subscript"/>
        <sz val="10"/>
        <color theme="1"/>
        <rFont val="Arial"/>
        <family val="2"/>
      </rPr>
      <t>ai</t>
    </r>
    <r>
      <rPr>
        <sz val="10"/>
        <color theme="1"/>
        <rFont val="Arial"/>
        <family val="2"/>
      </rPr>
      <t xml:space="preserve"> = Autre</t>
    </r>
  </si>
  <si>
    <r>
      <t>I</t>
    </r>
    <r>
      <rPr>
        <i/>
        <vertAlign val="subscript"/>
        <sz val="10"/>
        <color theme="1"/>
        <rFont val="Arial"/>
        <family val="2"/>
      </rPr>
      <t>2030</t>
    </r>
    <r>
      <rPr>
        <i/>
        <sz val="10"/>
        <color theme="1"/>
        <rFont val="Arial"/>
        <family val="2"/>
      </rPr>
      <t xml:space="preserve"> =</t>
    </r>
    <r>
      <rPr>
        <i/>
        <sz val="10"/>
        <color rgb="FFE36C0A"/>
        <rFont val="Arial"/>
        <family val="2"/>
      </rPr>
      <t>b</t>
    </r>
    <r>
      <rPr>
        <i/>
        <vertAlign val="subscript"/>
        <sz val="10"/>
        <color rgb="FFE36C0A"/>
        <rFont val="Arial"/>
        <family val="2"/>
      </rPr>
      <t>p</t>
    </r>
    <r>
      <rPr>
        <i/>
        <sz val="10"/>
        <color theme="1"/>
        <rFont val="Arial"/>
        <family val="2"/>
      </rPr>
      <t xml:space="preserve"> *I PF moy + </t>
    </r>
    <r>
      <rPr>
        <i/>
        <sz val="10"/>
        <color rgb="FF0070C0"/>
        <rFont val="Arial"/>
        <family val="2"/>
      </rPr>
      <t>a</t>
    </r>
    <r>
      <rPr>
        <i/>
        <vertAlign val="subscript"/>
        <sz val="10"/>
        <color rgb="FF0070C0"/>
        <rFont val="Arial"/>
        <family val="2"/>
      </rPr>
      <t>c</t>
    </r>
    <r>
      <rPr>
        <i/>
        <sz val="10"/>
        <color theme="1"/>
        <rFont val="Arial"/>
        <family val="2"/>
      </rPr>
      <t xml:space="preserve">*R*min [(0,95)IC min ;(0,90)IC moy ] + </t>
    </r>
    <r>
      <rPr>
        <i/>
        <sz val="10"/>
        <color rgb="FF00B050"/>
        <rFont val="Arial"/>
        <family val="2"/>
      </rPr>
      <t>c</t>
    </r>
    <r>
      <rPr>
        <i/>
        <vertAlign val="subscript"/>
        <sz val="10"/>
        <color rgb="FF00B050"/>
        <rFont val="Arial"/>
        <family val="2"/>
      </rPr>
      <t>a</t>
    </r>
    <r>
      <rPr>
        <i/>
        <sz val="10"/>
        <color theme="1"/>
        <rFont val="Arial"/>
        <family val="2"/>
      </rPr>
      <t>*min[(0,95)I A min;(0,90)IA moy ]</t>
    </r>
  </si>
  <si>
    <r>
      <t>A =[I</t>
    </r>
    <r>
      <rPr>
        <vertAlign val="subscript"/>
        <sz val="10"/>
        <color theme="1"/>
        <rFont val="Arial"/>
        <family val="2"/>
      </rPr>
      <t>PF</t>
    </r>
    <r>
      <rPr>
        <sz val="10"/>
        <color theme="1"/>
        <rFont val="Arial"/>
        <family val="2"/>
      </rPr>
      <t xml:space="preserve"> </t>
    </r>
    <r>
      <rPr>
        <vertAlign val="subscript"/>
        <sz val="10"/>
        <color theme="1"/>
        <rFont val="Arial"/>
        <family val="2"/>
      </rPr>
      <t>dép</t>
    </r>
    <r>
      <rPr>
        <sz val="10"/>
        <color theme="1"/>
        <rFont val="Arial"/>
        <family val="2"/>
      </rPr>
      <t xml:space="preserve">  + (R)(0,99)</t>
    </r>
    <r>
      <rPr>
        <vertAlign val="superscript"/>
        <sz val="10"/>
        <color theme="1"/>
        <rFont val="Arial"/>
        <family val="2"/>
      </rPr>
      <t>n</t>
    </r>
    <r>
      <rPr>
        <sz val="10"/>
        <color theme="1"/>
        <rFont val="Arial"/>
        <family val="2"/>
      </rPr>
      <t xml:space="preserve"> I</t>
    </r>
    <r>
      <rPr>
        <vertAlign val="subscript"/>
        <sz val="10"/>
        <color theme="1"/>
        <rFont val="Arial"/>
        <family val="2"/>
      </rPr>
      <t>C dép</t>
    </r>
    <r>
      <rPr>
        <sz val="10"/>
        <color theme="1"/>
        <rFont val="Arial"/>
        <family val="2"/>
      </rPr>
      <t xml:space="preserve"> + (0,99)</t>
    </r>
    <r>
      <rPr>
        <vertAlign val="superscript"/>
        <sz val="10"/>
        <color theme="1"/>
        <rFont val="Arial"/>
        <family val="2"/>
      </rPr>
      <t>n</t>
    </r>
    <r>
      <rPr>
        <sz val="10"/>
        <color theme="1"/>
        <rFont val="Arial"/>
        <family val="2"/>
      </rPr>
      <t xml:space="preserve"> I</t>
    </r>
    <r>
      <rPr>
        <vertAlign val="subscript"/>
        <sz val="10"/>
        <color theme="1"/>
        <rFont val="Arial"/>
        <family val="2"/>
      </rPr>
      <t>A dép</t>
    </r>
    <r>
      <rPr>
        <sz val="10"/>
        <color theme="1"/>
        <rFont val="Arial"/>
        <family val="2"/>
      </rPr>
      <t xml:space="preserve"> ] × P</t>
    </r>
  </si>
  <si>
    <r>
      <t xml:space="preserve">émissions de </t>
    </r>
    <r>
      <rPr>
        <b/>
        <sz val="10"/>
        <color theme="1"/>
        <rFont val="Arial"/>
        <family val="2"/>
      </rPr>
      <t>procédé fixe</t>
    </r>
  </si>
  <si>
    <r>
      <t xml:space="preserve">émission de </t>
    </r>
    <r>
      <rPr>
        <b/>
        <sz val="10"/>
        <color theme="1"/>
        <rFont val="Arial"/>
        <family val="2"/>
      </rPr>
      <t>combustion</t>
    </r>
  </si>
  <si>
    <t>Other (?)</t>
  </si>
  <si>
    <t>Shipping Costs to US Midwest</t>
  </si>
  <si>
    <t>Volume to US Midwest</t>
  </si>
  <si>
    <t>MPI price</t>
  </si>
  <si>
    <t>CFR US Midwest</t>
  </si>
  <si>
    <t>CFR Rotterdam</t>
  </si>
  <si>
    <t>Nodular premium</t>
  </si>
  <si>
    <t>Geography of Sales</t>
  </si>
  <si>
    <t>US Midwest</t>
  </si>
  <si>
    <t>Europe</t>
  </si>
  <si>
    <t>All Other Grade to US</t>
  </si>
  <si>
    <t>US Midwest total all grades</t>
  </si>
  <si>
    <t>Europe total all grades</t>
  </si>
  <si>
    <t>Nodular US Midwest</t>
  </si>
  <si>
    <t>Nodular Midwest</t>
  </si>
  <si>
    <t>Nodular Europe</t>
  </si>
  <si>
    <t>Steel Making Midwest</t>
  </si>
  <si>
    <t>Steel Making Europe</t>
  </si>
  <si>
    <t>Steel Making US Midwest</t>
  </si>
  <si>
    <t>Cost to Midwest</t>
  </si>
  <si>
    <t>Shipping Costs to Midwest</t>
  </si>
  <si>
    <t>Shipping Costs to Europe</t>
  </si>
  <si>
    <t>Stevedoring &amp; dock costs in Europe(cranes, material handling on dock etc.)</t>
  </si>
  <si>
    <t>Total Shipping Costs Delivered  onto European Port</t>
  </si>
  <si>
    <t>Volume to Europe</t>
  </si>
  <si>
    <t>Total Shipments</t>
  </si>
  <si>
    <t>Cost to Europe</t>
  </si>
  <si>
    <t>Total Shipping Costs Delivered onto European Port</t>
  </si>
  <si>
    <t>Pure Fonte Ltee</t>
  </si>
  <si>
    <t>No representation, warranty or undertaking (expressed or implied) is made in relation to this model. The model contains forward looking statements which involve risks and uncertainties and actual results and developments may differ materially from those expressed or implied by these statements depending on a variety of factors.  No responsibility is taken or accepted by Pure Fonte Ltee or Grand River Ironsands for the adequacy, completeness or accuracy of the model or the assumptions on which it is based and all liability is expressly excluded.  Anyone using the model does so at their own risk and no responsibility is accepted for any losses which may result from such use directly or indirectly.  Recipients should carry out their own due diligence.</t>
  </si>
  <si>
    <t>Feasibility CAD/USD</t>
  </si>
  <si>
    <t>of balance of equipment (Tenova freight included in their supply price of $143.4M USD)</t>
  </si>
  <si>
    <t>of balance of equipment (vendor rep forTenova equipment included in $143.4M USD)</t>
  </si>
  <si>
    <t>included in Tenova $143.4M USD</t>
  </si>
  <si>
    <t>of balance of equipment (spares forTenova equipment included in $143.4M USD)</t>
  </si>
  <si>
    <t>Equity Commited First</t>
  </si>
  <si>
    <t>Drawn Down at Project Gearing Ratio</t>
  </si>
  <si>
    <t>Drawn Down - Project Gearing Ratio</t>
  </si>
  <si>
    <t>Equity / Senior Debt + Equity</t>
  </si>
  <si>
    <t>Senior Debt / Senior Debt + Equity</t>
  </si>
  <si>
    <t>Drawdown - Equity Commited First</t>
  </si>
  <si>
    <t>Drawdown - Gearing Ratio or Equity First (Gearing = 0 Equity Frist = 1)</t>
  </si>
  <si>
    <t>Pre-Construction Costs</t>
  </si>
  <si>
    <t>Permitting - SNC &amp; Other Fees</t>
  </si>
  <si>
    <t>Transfer Public Consultation</t>
  </si>
  <si>
    <t>BAP</t>
  </si>
  <si>
    <t>SNC - FEED</t>
  </si>
  <si>
    <t>Tenova Detailed Engineering = Phase 1</t>
  </si>
  <si>
    <t>Tenova Detailed Engineering = Phase 2</t>
  </si>
  <si>
    <t>Corporate</t>
  </si>
  <si>
    <t>Legal Fees - Project Financing</t>
  </si>
  <si>
    <t>Legal Fees - EPC Contract &amp; Process Gaurantees</t>
  </si>
  <si>
    <t>Other / Contingency</t>
  </si>
  <si>
    <t>mtpq</t>
  </si>
  <si>
    <t>Days per operating quarter</t>
  </si>
  <si>
    <t>MPI tonnage per quarter</t>
  </si>
  <si>
    <t>Fe pellets tonnage per quarter</t>
  </si>
  <si>
    <t>Lime tonnage per quarter</t>
  </si>
  <si>
    <t>Cost overrun Capex</t>
  </si>
  <si>
    <t>WC requirement</t>
  </si>
  <si>
    <t>First repayment period</t>
  </si>
  <si>
    <t>period</t>
  </si>
  <si>
    <t>Drawdown periods</t>
  </si>
  <si>
    <t>quarters</t>
  </si>
  <si>
    <t>Equity required outside of senior debt drawdown periods</t>
  </si>
  <si>
    <t>Periods requiring financing</t>
  </si>
  <si>
    <t>Quarterly principle payments</t>
  </si>
  <si>
    <t>Financial Close</t>
  </si>
  <si>
    <t>First available drawdown period</t>
  </si>
  <si>
    <t>Final available drawdown period</t>
  </si>
  <si>
    <t>Final repayament period</t>
  </si>
  <si>
    <t>Min QDSCR</t>
  </si>
  <si>
    <t>Quarterly debt service coverage ratio</t>
  </si>
  <si>
    <t>QDSCR</t>
  </si>
  <si>
    <t>Pre-construction costs</t>
  </si>
  <si>
    <t>Average plant staff cost - salary + bonus</t>
  </si>
  <si>
    <t>Construction Capex</t>
  </si>
  <si>
    <t>Note:</t>
  </si>
  <si>
    <t>1) Sustaining maintenance included in operating costs</t>
  </si>
  <si>
    <t>Capex - includes broker fees in indirect costs</t>
  </si>
  <si>
    <t>Lender fees</t>
  </si>
  <si>
    <t>Financing</t>
  </si>
  <si>
    <t>Long Lead Items (e.g. downpaymnet of pig caster)</t>
  </si>
  <si>
    <t>Pre-Construction 80/20 Loan Facility</t>
  </si>
  <si>
    <t>Quantum Borrowed</t>
  </si>
  <si>
    <t>Equity Contributed</t>
  </si>
  <si>
    <t>LIBOR</t>
  </si>
  <si>
    <t>Borrowing Premium to LIBOR</t>
  </si>
  <si>
    <t>Annual Borrowing Cost</t>
  </si>
  <si>
    <t>Period Borrowing Cost</t>
  </si>
  <si>
    <t>Finder Fees</t>
  </si>
  <si>
    <t>Lender Fees</t>
  </si>
  <si>
    <t>Finder Fees (paid from first 3 drawdowns)</t>
  </si>
  <si>
    <t>Pre-construction financing fees</t>
  </si>
  <si>
    <t>Pre-construction interest cost</t>
  </si>
  <si>
    <t>Pre-Construction 80/20 Loan Facility drawdown</t>
  </si>
  <si>
    <t>Pre-Construction 80/20 Loan Facility repayment</t>
  </si>
  <si>
    <t>Pre-Construction 80/20 Loan Facility interest</t>
  </si>
  <si>
    <t>Pre-Construction 80/20 Loan Facility fees</t>
  </si>
  <si>
    <t>Total Fees</t>
  </si>
  <si>
    <t>Pre-construction financing interest</t>
  </si>
  <si>
    <t xml:space="preserve">Pre-construction costs </t>
  </si>
  <si>
    <t>Capex - includes fees in indirect costs</t>
  </si>
  <si>
    <t>Equity Financing Fee</t>
  </si>
  <si>
    <t>Note: USD $5m comitted for closing of the Pre-Construction 80/20 Loan Facility</t>
  </si>
  <si>
    <t>Pre-Construction Loan Facility</t>
  </si>
  <si>
    <t>Current 62% pellet cfr China</t>
  </si>
  <si>
    <t>NPV @ 8.9% post-tax</t>
  </si>
  <si>
    <t xml:space="preserve"> </t>
  </si>
  <si>
    <t>`</t>
  </si>
  <si>
    <t>Est</t>
  </si>
  <si>
    <t xml:space="preserve">PFL site to port, stockpile and Loading </t>
  </si>
  <si>
    <t>francis@ironsands.ca</t>
  </si>
  <si>
    <t>+1 902-499-7150</t>
  </si>
  <si>
    <t>Kevin Kemper/F MacKenzie</t>
  </si>
  <si>
    <r>
      <t xml:space="preserve">Mechanical (Tenova Supply) + </t>
    </r>
    <r>
      <rPr>
        <sz val="10"/>
        <color rgb="FF0070C0"/>
        <rFont val="Arial"/>
        <family val="2"/>
      </rPr>
      <t>US$60m COVID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</si>
</sst>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quot;$&quot;#,##0.00_);[Red]\(&quot;$&quot;#,##0.00\)"/>
    <numFmt numFmtId="165" formatCode="&quot;Year&quot;\ 0;\ &quot;Year&quot;\ \-0"/>
    <numFmt numFmtId="166" formatCode="0.0"/>
    <numFmt numFmtId="167" formatCode="#,##0.000_);\(#,##0.000\)"/>
    <numFmt numFmtId="168" formatCode="0.000"/>
    <numFmt numFmtId="169" formatCode="0.0%"/>
    <numFmt numFmtId="170" formatCode="#,##0.000000_);\(#,##0.000000\)"/>
    <numFmt numFmtId="171" formatCode="0.0\x"/>
    <numFmt numFmtId="172" formatCode="0.00\x"/>
    <numFmt numFmtId="173" formatCode="0.000%"/>
    <numFmt numFmtId="174" formatCode="#,##0.0_);\(#,##0.0\)"/>
    <numFmt numFmtId="175" formatCode="#,##0.00000_);\(#,##0.00000\)"/>
    <numFmt numFmtId="176" formatCode="#,##0_);\(#,##0\);&quot;-  &quot;;&quot;  &quot;@"/>
    <numFmt numFmtId="177" formatCode="#,##0.000000000_);\(#,##0.000000000\)"/>
    <numFmt numFmtId="178" formatCode="[$-409]mmm\-yy;@"/>
    <numFmt numFmtId="179" formatCode="#,##0.0"/>
    <numFmt numFmtId="180" formatCode="&quot;$&quot;#,##0"/>
    <numFmt numFmtId="181" formatCode="_ * #,##0.00_)\ _$_ ;_ * \(#,##0.00\)\ _$_ ;_ * &quot;-&quot;??_)\ _$_ ;_ @_ "/>
    <numFmt numFmtId="182" formatCode="[$$-1009]#,##0.00"/>
    <numFmt numFmtId="183" formatCode="[$$-1009]#,##0;\-[$$-1009]#,##0"/>
    <numFmt numFmtId="184" formatCode="[$$-1009]#,##0"/>
    <numFmt numFmtId="185" formatCode="&quot;$&quot;#,##0.00"/>
    <numFmt numFmtId="186" formatCode="0.00000"/>
    <numFmt numFmtId="187" formatCode="#,##0.00\ &quot;$&quot;"/>
    <numFmt numFmtId="188" formatCode="#,##0\ &quot;$&quot;"/>
  </numFmts>
  <fonts count="67" x14ac:knownFonts="1">
    <font>
      <sz val="11"/>
      <color theme="1"/>
      <name val="Calibri"/>
      <family val="2"/>
      <scheme val="minor"/>
    </font>
    <font>
      <sz val="10"/>
      <color theme="1"/>
      <name val="Arial"/>
      <family val="2"/>
    </font>
    <font>
      <b/>
      <sz val="10"/>
      <name val="Arial"/>
      <family val="2"/>
    </font>
    <font>
      <b/>
      <sz val="10"/>
      <color theme="1"/>
      <name val="Arial"/>
      <family val="2"/>
    </font>
    <font>
      <sz val="10"/>
      <color rgb="FF0000FF"/>
      <name val="Arial"/>
      <family val="2"/>
    </font>
    <font>
      <sz val="10"/>
      <name val="Arial"/>
      <family val="2"/>
    </font>
    <font>
      <sz val="10"/>
      <color rgb="FF008000"/>
      <name val="Arial"/>
      <family val="2"/>
    </font>
    <font>
      <u/>
      <sz val="10"/>
      <color theme="1"/>
      <name val="Arial"/>
      <family val="2"/>
    </font>
    <font>
      <b/>
      <sz val="10"/>
      <color rgb="FF0000FF"/>
      <name val="Arial"/>
      <family val="2"/>
    </font>
    <font>
      <sz val="10"/>
      <color indexed="12"/>
      <name val="Arial"/>
      <family val="2"/>
    </font>
    <font>
      <b/>
      <sz val="10"/>
      <color indexed="12"/>
      <name val="Arial"/>
      <family val="2"/>
    </font>
    <font>
      <i/>
      <sz val="10"/>
      <color theme="1"/>
      <name val="Arial"/>
      <family val="2"/>
    </font>
    <font>
      <b/>
      <sz val="11"/>
      <color theme="1"/>
      <name val="Calibri"/>
      <family val="2"/>
      <scheme val="minor"/>
    </font>
    <font>
      <sz val="11"/>
      <color rgb="FF0000FF"/>
      <name val="Calibri"/>
      <family val="2"/>
      <scheme val="minor"/>
    </font>
    <font>
      <b/>
      <sz val="11"/>
      <name val="Calibri"/>
      <family val="2"/>
      <scheme val="minor"/>
    </font>
    <font>
      <b/>
      <sz val="11"/>
      <color rgb="FF0000FF"/>
      <name val="Calibri"/>
      <family val="2"/>
      <scheme val="minor"/>
    </font>
    <font>
      <b/>
      <u/>
      <sz val="11"/>
      <color theme="1"/>
      <name val="Calibri"/>
      <family val="2"/>
      <scheme val="minor"/>
    </font>
    <font>
      <b/>
      <u/>
      <sz val="10"/>
      <name val="Arial"/>
      <family val="2"/>
    </font>
    <font>
      <b/>
      <u/>
      <sz val="10"/>
      <color theme="1"/>
      <name val="Arial"/>
      <family val="2"/>
    </font>
    <font>
      <sz val="10"/>
      <color theme="0"/>
      <name val="Arial"/>
      <family val="2"/>
    </font>
    <font>
      <sz val="11"/>
      <color rgb="FF008000"/>
      <name val="Calibri"/>
      <family val="2"/>
      <scheme val="minor"/>
    </font>
    <font>
      <sz val="11"/>
      <name val="Calibri"/>
      <family val="2"/>
      <scheme val="minor"/>
    </font>
    <font>
      <b/>
      <sz val="11"/>
      <color rgb="FF008000"/>
      <name val="Calibri"/>
      <family val="2"/>
      <scheme val="minor"/>
    </font>
    <font>
      <sz val="11"/>
      <color rgb="FF000000"/>
      <name val="Calibri"/>
      <family val="2"/>
      <scheme val="minor"/>
    </font>
    <font>
      <sz val="11"/>
      <color theme="1"/>
      <name val="Arial"/>
      <family val="2"/>
    </font>
    <font>
      <sz val="10"/>
      <color theme="1"/>
      <name val="Calibri"/>
      <family val="2"/>
      <scheme val="minor"/>
    </font>
    <font>
      <b/>
      <sz val="10"/>
      <color theme="1"/>
      <name val="Calibri"/>
      <family val="2"/>
      <scheme val="minor"/>
    </font>
    <font>
      <i/>
      <sz val="10"/>
      <color theme="1"/>
      <name val="Calibri"/>
      <family val="2"/>
      <scheme val="minor"/>
    </font>
    <font>
      <u/>
      <sz val="10"/>
      <name val="Arial"/>
      <family val="2"/>
    </font>
    <font>
      <sz val="10"/>
      <color indexed="23"/>
      <name val="Arial"/>
      <family val="2"/>
    </font>
    <font>
      <sz val="10"/>
      <color indexed="8"/>
      <name val="Arial"/>
      <family val="2"/>
    </font>
    <font>
      <u/>
      <sz val="11"/>
      <color theme="10"/>
      <name val="Calibri"/>
      <family val="2"/>
      <scheme val="minor"/>
    </font>
    <font>
      <b/>
      <sz val="10"/>
      <color rgb="FF008000"/>
      <name val="Arial"/>
      <family val="2"/>
    </font>
    <font>
      <sz val="10"/>
      <color rgb="FF008000"/>
      <name val="Calibri"/>
      <family val="2"/>
      <scheme val="minor"/>
    </font>
    <font>
      <b/>
      <sz val="10"/>
      <color rgb="FF008000"/>
      <name val="Calibri"/>
      <family val="2"/>
      <scheme val="minor"/>
    </font>
    <font>
      <sz val="12"/>
      <color theme="1"/>
      <name val="Calibri"/>
      <family val="2"/>
      <scheme val="minor"/>
    </font>
    <font>
      <sz val="12"/>
      <color rgb="FF008000"/>
      <name val="Calibri"/>
      <family val="2"/>
      <scheme val="minor"/>
    </font>
    <font>
      <b/>
      <sz val="12"/>
      <color rgb="FF000000"/>
      <name val="Calibri"/>
      <family val="2"/>
      <scheme val="minor"/>
    </font>
    <font>
      <u/>
      <sz val="12"/>
      <color theme="1"/>
      <name val="Calibri"/>
      <family val="2"/>
      <scheme val="minor"/>
    </font>
    <font>
      <b/>
      <sz val="12"/>
      <color theme="1"/>
      <name val="Calibri"/>
      <family val="2"/>
      <scheme val="minor"/>
    </font>
    <font>
      <b/>
      <sz val="12"/>
      <color rgb="FF008000"/>
      <name val="Calibri"/>
      <family val="2"/>
      <scheme val="minor"/>
    </font>
    <font>
      <b/>
      <sz val="12"/>
      <name val="Calibri"/>
      <family val="2"/>
      <scheme val="minor"/>
    </font>
    <font>
      <b/>
      <sz val="10"/>
      <name val="Calibri"/>
      <family val="2"/>
      <scheme val="minor"/>
    </font>
    <font>
      <sz val="11"/>
      <color theme="1"/>
      <name val="Calibri"/>
      <family val="2"/>
      <scheme val="minor"/>
    </font>
    <font>
      <vertAlign val="superscript"/>
      <sz val="11"/>
      <color theme="1"/>
      <name val="Calibri"/>
      <family val="2"/>
      <scheme val="minor"/>
    </font>
    <font>
      <u/>
      <sz val="12"/>
      <color rgb="FF008000"/>
      <name val="Calibri"/>
      <family val="2"/>
      <scheme val="minor"/>
    </font>
    <font>
      <b/>
      <sz val="10"/>
      <color rgb="FFFF0000"/>
      <name val="Arial"/>
      <family val="2"/>
    </font>
    <font>
      <sz val="12"/>
      <name val="Arial"/>
      <family val="2"/>
    </font>
    <font>
      <b/>
      <sz val="12"/>
      <name val="Arial"/>
      <family val="2"/>
    </font>
    <font>
      <sz val="9"/>
      <color indexed="81"/>
      <name val="Tahoma"/>
      <family val="2"/>
    </font>
    <font>
      <b/>
      <sz val="9"/>
      <color indexed="81"/>
      <name val="Tahoma"/>
      <family val="2"/>
    </font>
    <font>
      <b/>
      <sz val="11"/>
      <color rgb="FF333333"/>
      <name val="Arial"/>
      <family val="2"/>
    </font>
    <font>
      <sz val="11"/>
      <color rgb="FF333333"/>
      <name val="Arial"/>
      <family val="2"/>
    </font>
    <font>
      <sz val="11"/>
      <color rgb="FF0000FF"/>
      <name val="Arial"/>
      <family val="2"/>
    </font>
    <font>
      <sz val="11"/>
      <color rgb="FF000000"/>
      <name val="Calibri"/>
      <family val="2"/>
    </font>
    <font>
      <sz val="10"/>
      <color rgb="FFFF0000"/>
      <name val="Arial"/>
      <family val="2"/>
    </font>
    <font>
      <vertAlign val="subscript"/>
      <sz val="10"/>
      <color theme="1"/>
      <name val="Arial"/>
      <family val="2"/>
    </font>
    <font>
      <i/>
      <vertAlign val="subscript"/>
      <sz val="10"/>
      <color theme="1"/>
      <name val="Arial"/>
      <family val="2"/>
    </font>
    <font>
      <i/>
      <sz val="10"/>
      <color rgb="FFE36C0A"/>
      <name val="Arial"/>
      <family val="2"/>
    </font>
    <font>
      <i/>
      <vertAlign val="subscript"/>
      <sz val="10"/>
      <color rgb="FFE36C0A"/>
      <name val="Arial"/>
      <family val="2"/>
    </font>
    <font>
      <i/>
      <sz val="10"/>
      <color rgb="FF0070C0"/>
      <name val="Arial"/>
      <family val="2"/>
    </font>
    <font>
      <i/>
      <vertAlign val="subscript"/>
      <sz val="10"/>
      <color rgb="FF0070C0"/>
      <name val="Arial"/>
      <family val="2"/>
    </font>
    <font>
      <i/>
      <sz val="10"/>
      <color rgb="FF00B050"/>
      <name val="Arial"/>
      <family val="2"/>
    </font>
    <font>
      <i/>
      <vertAlign val="subscript"/>
      <sz val="10"/>
      <color rgb="FF00B050"/>
      <name val="Arial"/>
      <family val="2"/>
    </font>
    <font>
      <vertAlign val="superscript"/>
      <sz val="10"/>
      <color theme="1"/>
      <name val="Arial"/>
      <family val="2"/>
    </font>
    <font>
      <sz val="11"/>
      <color rgb="FFFF0000"/>
      <name val="Calibri"/>
      <family val="2"/>
      <scheme val="minor"/>
    </font>
    <font>
      <sz val="10"/>
      <color rgb="FF0070C0"/>
      <name val="Arial"/>
      <family val="2"/>
    </font>
  </fonts>
  <fills count="25">
    <fill>
      <patternFill patternType="none"/>
    </fill>
    <fill>
      <patternFill patternType="gray125"/>
    </fill>
    <fill>
      <patternFill patternType="solid">
        <fgColor rgb="FFA4C2F4"/>
        <bgColor indexed="64"/>
      </patternFill>
    </fill>
    <fill>
      <patternFill patternType="solid">
        <fgColor rgb="FFFCE5CD"/>
        <bgColor indexed="64"/>
      </patternFill>
    </fill>
    <fill>
      <patternFill patternType="solid">
        <fgColor rgb="FFDDDDDD"/>
        <bgColor indexed="64"/>
      </patternFill>
    </fill>
    <fill>
      <patternFill patternType="solid">
        <fgColor rgb="FFFFFF00"/>
        <bgColor indexed="64"/>
      </patternFill>
    </fill>
    <fill>
      <patternFill patternType="solid">
        <fgColor rgb="FFFFF2CC"/>
        <bgColor indexed="64"/>
      </patternFill>
    </fill>
    <fill>
      <patternFill patternType="solid">
        <fgColor rgb="FFC9DAF8"/>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E5ECF9"/>
        <bgColor indexed="64"/>
      </patternFill>
    </fill>
    <fill>
      <patternFill patternType="solid">
        <fgColor rgb="FFFFFFFF"/>
        <bgColor indexed="64"/>
      </patternFill>
    </fill>
    <fill>
      <patternFill patternType="solid">
        <fgColor rgb="FFEFEFEF"/>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B7DEE8"/>
        <bgColor indexed="64"/>
      </patternFill>
    </fill>
    <fill>
      <patternFill patternType="solid">
        <fgColor theme="0"/>
        <bgColor indexed="64"/>
      </patternFill>
    </fill>
    <fill>
      <patternFill patternType="solid">
        <fgColor rgb="FFFF0000"/>
        <bgColor indexed="64"/>
      </patternFill>
    </fill>
  </fills>
  <borders count="41">
    <border>
      <left/>
      <right/>
      <top/>
      <bottom/>
      <diagonal/>
    </border>
    <border>
      <left/>
      <right/>
      <top style="thin">
        <color auto="1"/>
      </top>
      <bottom style="thin">
        <color auto="1"/>
      </bottom>
      <diagonal/>
    </border>
    <border>
      <left/>
      <right/>
      <top/>
      <bottom style="thin">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right/>
      <top style="thin">
        <color indexed="8"/>
      </top>
      <bottom style="thin">
        <color indexed="8"/>
      </bottom>
      <diagonal/>
    </border>
    <border>
      <left/>
      <right/>
      <top style="thin">
        <color auto="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dashed">
        <color auto="1"/>
      </left>
      <right style="dashed">
        <color auto="1"/>
      </right>
      <top style="thin">
        <color auto="1"/>
      </top>
      <bottom style="thin">
        <color auto="1"/>
      </bottom>
      <diagonal/>
    </border>
    <border>
      <left/>
      <right/>
      <top/>
      <bottom style="thick">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xf numFmtId="0" fontId="5" fillId="0" borderId="0"/>
    <xf numFmtId="0" fontId="31" fillId="0" borderId="0" applyNumberFormat="0" applyFill="0" applyBorder="0" applyAlignment="0" applyProtection="0"/>
    <xf numFmtId="9" fontId="43" fillId="0" borderId="0" applyFont="0" applyFill="0" applyBorder="0" applyAlignment="0" applyProtection="0"/>
    <xf numFmtId="0" fontId="5" fillId="0" borderId="0"/>
    <xf numFmtId="181" fontId="5" fillId="0" borderId="0" applyFont="0" applyFill="0" applyBorder="0" applyAlignment="0" applyProtection="0"/>
  </cellStyleXfs>
  <cellXfs count="633">
    <xf numFmtId="0" fontId="0" fillId="0" borderId="0" xfId="0"/>
    <xf numFmtId="0" fontId="1" fillId="0" borderId="0" xfId="0" applyFont="1"/>
    <xf numFmtId="0" fontId="1" fillId="0" borderId="0" xfId="0" applyFont="1" applyAlignment="1">
      <alignment horizontal="center"/>
    </xf>
    <xf numFmtId="0" fontId="2" fillId="0" borderId="1" xfId="0" applyFont="1" applyBorder="1"/>
    <xf numFmtId="165" fontId="2" fillId="0" borderId="1" xfId="0" applyNumberFormat="1" applyFont="1" applyBorder="1"/>
    <xf numFmtId="0" fontId="1" fillId="0" borderId="0" xfId="0" applyFont="1" applyFill="1"/>
    <xf numFmtId="0" fontId="1" fillId="2" borderId="0" xfId="0" applyFont="1" applyFill="1"/>
    <xf numFmtId="0" fontId="1" fillId="2" borderId="0" xfId="0" applyFont="1" applyFill="1" applyAlignment="1">
      <alignment horizontal="center"/>
    </xf>
    <xf numFmtId="1" fontId="3" fillId="0" borderId="0" xfId="0" applyNumberFormat="1" applyFont="1"/>
    <xf numFmtId="0" fontId="3" fillId="0" borderId="0" xfId="0" applyFont="1"/>
    <xf numFmtId="166" fontId="3" fillId="0" borderId="0" xfId="0" applyNumberFormat="1" applyFont="1"/>
    <xf numFmtId="0" fontId="1" fillId="0" borderId="0" xfId="0" applyFont="1" applyFill="1" applyAlignment="1">
      <alignment horizontal="center"/>
    </xf>
    <xf numFmtId="37" fontId="4" fillId="0" borderId="0" xfId="0" applyNumberFormat="1" applyFont="1" applyFill="1"/>
    <xf numFmtId="37" fontId="5" fillId="0" borderId="0" xfId="0" applyNumberFormat="1" applyFont="1" applyFill="1"/>
    <xf numFmtId="37" fontId="4" fillId="0" borderId="0" xfId="0" applyNumberFormat="1" applyFont="1"/>
    <xf numFmtId="9" fontId="4" fillId="0" borderId="0" xfId="0" applyNumberFormat="1" applyFont="1"/>
    <xf numFmtId="0" fontId="1" fillId="0" borderId="0" xfId="0" applyFont="1" applyAlignment="1">
      <alignment horizontal="left" indent="1"/>
    </xf>
    <xf numFmtId="39" fontId="4" fillId="0" borderId="0" xfId="0" applyNumberFormat="1" applyFont="1"/>
    <xf numFmtId="39" fontId="5" fillId="0" borderId="0" xfId="0" applyNumberFormat="1" applyFont="1"/>
    <xf numFmtId="0" fontId="4" fillId="3" borderId="0" xfId="0" applyFont="1" applyFill="1" applyAlignment="1">
      <alignment horizontal="center"/>
    </xf>
    <xf numFmtId="0" fontId="3" fillId="0" borderId="0" xfId="0" applyFont="1" applyFill="1"/>
    <xf numFmtId="39" fontId="1" fillId="0" borderId="0" xfId="0" applyNumberFormat="1" applyFont="1"/>
    <xf numFmtId="0" fontId="3" fillId="4" borderId="0" xfId="0" applyFont="1" applyFill="1"/>
    <xf numFmtId="0" fontId="1" fillId="4" borderId="0" xfId="0" applyFont="1" applyFill="1"/>
    <xf numFmtId="2" fontId="3" fillId="0" borderId="0" xfId="0" applyNumberFormat="1" applyFont="1"/>
    <xf numFmtId="167" fontId="4" fillId="0" borderId="0" xfId="0" applyNumberFormat="1" applyFont="1" applyAlignment="1">
      <alignment horizontal="center"/>
    </xf>
    <xf numFmtId="167" fontId="1" fillId="0" borderId="0" xfId="0" applyNumberFormat="1" applyFont="1"/>
    <xf numFmtId="0" fontId="5" fillId="0" borderId="0" xfId="2" applyFont="1"/>
    <xf numFmtId="0" fontId="5" fillId="0" borderId="0" xfId="2" applyFont="1" applyFill="1"/>
    <xf numFmtId="3" fontId="4" fillId="0" borderId="0" xfId="0" applyNumberFormat="1" applyFont="1"/>
    <xf numFmtId="0" fontId="5" fillId="0" borderId="0" xfId="2" applyFont="1" applyFill="1" applyAlignment="1">
      <alignment horizontal="left"/>
    </xf>
    <xf numFmtId="0" fontId="2" fillId="0" borderId="0" xfId="2" applyFont="1" applyFill="1"/>
    <xf numFmtId="37" fontId="5" fillId="0" borderId="0" xfId="0" applyNumberFormat="1" applyFont="1"/>
    <xf numFmtId="3" fontId="1" fillId="0" borderId="0" xfId="0" applyNumberFormat="1" applyFont="1"/>
    <xf numFmtId="2" fontId="1" fillId="0" borderId="0" xfId="0" applyNumberFormat="1" applyFont="1"/>
    <xf numFmtId="9" fontId="1" fillId="0" borderId="0" xfId="0" applyNumberFormat="1" applyFont="1"/>
    <xf numFmtId="10" fontId="1" fillId="0" borderId="0" xfId="0" applyNumberFormat="1" applyFont="1"/>
    <xf numFmtId="168" fontId="3" fillId="0" borderId="0" xfId="0" applyNumberFormat="1" applyFont="1"/>
    <xf numFmtId="0" fontId="2" fillId="0" borderId="0" xfId="2" applyFont="1" applyFill="1" applyBorder="1"/>
    <xf numFmtId="0" fontId="5" fillId="0" borderId="0" xfId="2" applyFont="1" applyFill="1" applyBorder="1" applyAlignment="1">
      <alignment horizontal="left"/>
    </xf>
    <xf numFmtId="0" fontId="2" fillId="0" borderId="0" xfId="2" applyFont="1" applyFill="1" applyBorder="1" applyAlignment="1">
      <alignment horizontal="left"/>
    </xf>
    <xf numFmtId="39" fontId="6" fillId="0" borderId="0" xfId="0" applyNumberFormat="1" applyFont="1"/>
    <xf numFmtId="0" fontId="2" fillId="0" borderId="0" xfId="2" applyFont="1" applyFill="1" applyAlignment="1">
      <alignment horizontal="left"/>
    </xf>
    <xf numFmtId="39" fontId="6" fillId="0" borderId="0" xfId="0" applyNumberFormat="1" applyFont="1" applyFill="1"/>
    <xf numFmtId="39" fontId="3" fillId="0" borderId="0" xfId="0" applyNumberFormat="1" applyFont="1"/>
    <xf numFmtId="39" fontId="5" fillId="0" borderId="0" xfId="0" applyNumberFormat="1" applyFont="1" applyFill="1"/>
    <xf numFmtId="39" fontId="1" fillId="5" borderId="0" xfId="0" applyNumberFormat="1" applyFont="1" applyFill="1"/>
    <xf numFmtId="0" fontId="7" fillId="0" borderId="0" xfId="0" applyFont="1" applyFill="1"/>
    <xf numFmtId="39" fontId="3" fillId="0" borderId="0" xfId="0" applyNumberFormat="1" applyFont="1" applyAlignment="1">
      <alignment horizontal="right"/>
    </xf>
    <xf numFmtId="37" fontId="1" fillId="0" borderId="0" xfId="0" applyNumberFormat="1" applyFont="1"/>
    <xf numFmtId="39" fontId="4" fillId="0" borderId="0" xfId="0" applyNumberFormat="1" applyFont="1" applyFill="1"/>
    <xf numFmtId="0" fontId="5" fillId="0" borderId="0" xfId="2" applyFont="1" applyFill="1" applyAlignment="1">
      <alignment horizontal="left" indent="1"/>
    </xf>
    <xf numFmtId="39" fontId="1" fillId="0" borderId="0" xfId="0" applyNumberFormat="1" applyFont="1" applyFill="1"/>
    <xf numFmtId="39" fontId="3" fillId="0" borderId="0" xfId="0" applyNumberFormat="1" applyFont="1" applyFill="1"/>
    <xf numFmtId="39" fontId="2" fillId="0" borderId="0" xfId="0" applyNumberFormat="1" applyFont="1" applyFill="1"/>
    <xf numFmtId="9" fontId="4" fillId="0" borderId="0" xfId="0" applyNumberFormat="1" applyFont="1" applyAlignment="1">
      <alignment horizontal="center"/>
    </xf>
    <xf numFmtId="0" fontId="9"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9" fontId="4" fillId="7" borderId="0" xfId="0" applyNumberFormat="1" applyFont="1" applyFill="1"/>
    <xf numFmtId="0" fontId="1" fillId="4" borderId="0" xfId="0" applyFont="1" applyFill="1" applyAlignment="1">
      <alignment horizontal="center"/>
    </xf>
    <xf numFmtId="165" fontId="5" fillId="0" borderId="0" xfId="0" applyNumberFormat="1" applyFont="1" applyBorder="1"/>
    <xf numFmtId="0" fontId="3" fillId="0" borderId="0" xfId="0" applyFont="1" applyFill="1" applyAlignment="1">
      <alignment horizontal="right"/>
    </xf>
    <xf numFmtId="0" fontId="3" fillId="0" borderId="0" xfId="0" applyFont="1" applyAlignment="1">
      <alignment horizontal="center"/>
    </xf>
    <xf numFmtId="0" fontId="7" fillId="0" borderId="0" xfId="0" applyFont="1"/>
    <xf numFmtId="0" fontId="11" fillId="0" borderId="0" xfId="0" applyFont="1"/>
    <xf numFmtId="39" fontId="11" fillId="0" borderId="0" xfId="0" applyNumberFormat="1" applyFont="1"/>
    <xf numFmtId="165" fontId="1" fillId="0" borderId="0" xfId="0" applyNumberFormat="1" applyFont="1" applyFill="1"/>
    <xf numFmtId="0" fontId="1" fillId="0" borderId="0" xfId="0" applyFont="1" applyFill="1" applyBorder="1"/>
    <xf numFmtId="164" fontId="3" fillId="0" borderId="0" xfId="0" applyNumberFormat="1" applyFont="1"/>
    <xf numFmtId="164" fontId="1" fillId="0" borderId="0" xfId="0" applyNumberFormat="1" applyFont="1"/>
    <xf numFmtId="0" fontId="5" fillId="0" borderId="0" xfId="0" applyFont="1" applyFill="1"/>
    <xf numFmtId="9" fontId="0" fillId="0" borderId="0" xfId="0" applyNumberFormat="1"/>
    <xf numFmtId="169" fontId="0" fillId="0" borderId="0" xfId="0" applyNumberFormat="1"/>
    <xf numFmtId="169" fontId="3" fillId="0" borderId="0" xfId="0" applyNumberFormat="1" applyFont="1"/>
    <xf numFmtId="170" fontId="4" fillId="0" borderId="0" xfId="0" applyNumberFormat="1" applyFont="1"/>
    <xf numFmtId="171" fontId="4" fillId="0" borderId="0" xfId="0" applyNumberFormat="1" applyFont="1" applyAlignment="1">
      <alignment horizontal="center"/>
    </xf>
    <xf numFmtId="37" fontId="4" fillId="8" borderId="0" xfId="0" applyNumberFormat="1" applyFont="1" applyFill="1" applyAlignment="1">
      <alignment horizontal="center"/>
    </xf>
    <xf numFmtId="0" fontId="18" fillId="0" borderId="0" xfId="0" applyFont="1"/>
    <xf numFmtId="165" fontId="4" fillId="0" borderId="0" xfId="0" applyNumberFormat="1" applyFont="1" applyBorder="1" applyAlignment="1">
      <alignment horizontal="center"/>
    </xf>
    <xf numFmtId="0" fontId="5" fillId="4" borderId="0" xfId="0" applyFont="1" applyFill="1"/>
    <xf numFmtId="39" fontId="5" fillId="4" borderId="0" xfId="0" applyNumberFormat="1" applyFont="1" applyFill="1"/>
    <xf numFmtId="172" fontId="1" fillId="0" borderId="0" xfId="0" applyNumberFormat="1" applyFont="1"/>
    <xf numFmtId="172" fontId="1" fillId="0" borderId="0" xfId="0" applyNumberFormat="1" applyFont="1" applyAlignment="1">
      <alignment horizontal="right"/>
    </xf>
    <xf numFmtId="39" fontId="1" fillId="6" borderId="0" xfId="0" applyNumberFormat="1" applyFont="1" applyFill="1"/>
    <xf numFmtId="10" fontId="3" fillId="0" borderId="0" xfId="0" applyNumberFormat="1" applyFont="1"/>
    <xf numFmtId="2" fontId="1" fillId="0" borderId="0" xfId="0" applyNumberFormat="1" applyFont="1" applyAlignment="1">
      <alignment horizontal="center"/>
    </xf>
    <xf numFmtId="0" fontId="7" fillId="0" borderId="0" xfId="0" applyFont="1" applyAlignment="1">
      <alignment horizontal="right"/>
    </xf>
    <xf numFmtId="0" fontId="3" fillId="0" borderId="0" xfId="0" applyFont="1" applyAlignment="1">
      <alignment horizontal="right"/>
    </xf>
    <xf numFmtId="169" fontId="1" fillId="0" borderId="0" xfId="0" applyNumberFormat="1" applyFont="1"/>
    <xf numFmtId="0" fontId="7" fillId="0" borderId="0" xfId="0" applyFont="1" applyFill="1" applyAlignment="1">
      <alignment horizontal="right"/>
    </xf>
    <xf numFmtId="0" fontId="18" fillId="0" borderId="0" xfId="0" applyFont="1" applyFill="1"/>
    <xf numFmtId="172" fontId="1" fillId="0" borderId="0" xfId="0" applyNumberFormat="1" applyFont="1" applyFill="1" applyAlignment="1">
      <alignment horizontal="right"/>
    </xf>
    <xf numFmtId="0" fontId="5" fillId="0" borderId="0" xfId="0" applyFont="1" applyAlignment="1">
      <alignment horizontal="center"/>
    </xf>
    <xf numFmtId="171" fontId="5" fillId="0" borderId="0" xfId="0" applyNumberFormat="1" applyFont="1" applyAlignment="1">
      <alignment horizontal="center"/>
    </xf>
    <xf numFmtId="9" fontId="5" fillId="0" borderId="0" xfId="0" applyNumberFormat="1" applyFont="1" applyAlignment="1">
      <alignment horizontal="center"/>
    </xf>
    <xf numFmtId="39" fontId="4" fillId="3" borderId="0" xfId="0" applyNumberFormat="1" applyFont="1" applyFill="1" applyAlignment="1">
      <alignment horizontal="center"/>
    </xf>
    <xf numFmtId="9" fontId="4" fillId="8" borderId="0" xfId="0" applyNumberFormat="1" applyFont="1" applyFill="1" applyAlignment="1">
      <alignment horizontal="center"/>
    </xf>
    <xf numFmtId="39" fontId="4" fillId="8" borderId="0" xfId="0" applyNumberFormat="1" applyFont="1" applyFill="1" applyAlignment="1">
      <alignment horizontal="center"/>
    </xf>
    <xf numFmtId="0" fontId="4" fillId="8" borderId="0" xfId="0" applyFont="1" applyFill="1" applyAlignment="1">
      <alignment horizontal="center"/>
    </xf>
    <xf numFmtId="169" fontId="4" fillId="8" borderId="0" xfId="0" applyNumberFormat="1" applyFont="1" applyFill="1" applyAlignment="1">
      <alignment horizontal="center"/>
    </xf>
    <xf numFmtId="9" fontId="4" fillId="0" borderId="0" xfId="0" applyNumberFormat="1" applyFont="1" applyFill="1" applyAlignment="1">
      <alignment horizontal="center"/>
    </xf>
    <xf numFmtId="1" fontId="4" fillId="8" borderId="0" xfId="0" applyNumberFormat="1" applyFont="1" applyFill="1" applyAlignment="1">
      <alignment horizontal="center"/>
    </xf>
    <xf numFmtId="1" fontId="5" fillId="8" borderId="0" xfId="0" applyNumberFormat="1" applyFont="1" applyFill="1" applyAlignment="1">
      <alignment horizontal="center"/>
    </xf>
    <xf numFmtId="169" fontId="4" fillId="0" borderId="0" xfId="0" applyNumberFormat="1" applyFont="1" applyFill="1" applyAlignment="1">
      <alignment horizontal="center"/>
    </xf>
    <xf numFmtId="2" fontId="4" fillId="8" borderId="0" xfId="0" applyNumberFormat="1" applyFont="1" applyFill="1" applyAlignment="1">
      <alignment horizontal="center"/>
    </xf>
    <xf numFmtId="0" fontId="9" fillId="8" borderId="0" xfId="0" applyNumberFormat="1" applyFont="1" applyFill="1" applyBorder="1" applyAlignment="1">
      <alignment horizontal="center"/>
    </xf>
    <xf numFmtId="39" fontId="4" fillId="8" borderId="0" xfId="0" applyNumberFormat="1" applyFont="1" applyFill="1"/>
    <xf numFmtId="172" fontId="4" fillId="8" borderId="0" xfId="0" applyNumberFormat="1" applyFont="1" applyFill="1" applyAlignment="1">
      <alignment horizontal="center"/>
    </xf>
    <xf numFmtId="171" fontId="4" fillId="8" borderId="0" xfId="0" applyNumberFormat="1" applyFont="1" applyFill="1" applyAlignment="1">
      <alignment horizontal="center"/>
    </xf>
    <xf numFmtId="39" fontId="8" fillId="8" borderId="0" xfId="0" applyNumberFormat="1" applyFont="1" applyFill="1"/>
    <xf numFmtId="166" fontId="1" fillId="0" borderId="0" xfId="0" applyNumberFormat="1" applyFont="1"/>
    <xf numFmtId="0" fontId="20" fillId="0" borderId="0" xfId="0" applyFont="1"/>
    <xf numFmtId="0" fontId="12" fillId="0" borderId="0" xfId="0" applyFont="1"/>
    <xf numFmtId="0" fontId="12" fillId="0" borderId="0" xfId="0" applyFont="1" applyAlignment="1">
      <alignment horizontal="right"/>
    </xf>
    <xf numFmtId="2" fontId="20" fillId="0" borderId="0" xfId="0" applyNumberFormat="1" applyFont="1"/>
    <xf numFmtId="173" fontId="1" fillId="0" borderId="0" xfId="0" applyNumberFormat="1" applyFont="1"/>
    <xf numFmtId="0" fontId="0" fillId="10" borderId="0" xfId="0" applyFill="1"/>
    <xf numFmtId="37" fontId="0" fillId="0" borderId="0" xfId="0" applyNumberFormat="1"/>
    <xf numFmtId="37" fontId="20" fillId="0" borderId="0" xfId="0" applyNumberFormat="1" applyFont="1"/>
    <xf numFmtId="2" fontId="3" fillId="0" borderId="0" xfId="0" applyNumberFormat="1" applyFont="1" applyFill="1"/>
    <xf numFmtId="39" fontId="4" fillId="0" borderId="0" xfId="0" applyNumberFormat="1" applyFont="1" applyFill="1" applyAlignment="1">
      <alignment horizontal="center"/>
    </xf>
    <xf numFmtId="4" fontId="1" fillId="0" borderId="0" xfId="0" applyNumberFormat="1" applyFont="1"/>
    <xf numFmtId="39" fontId="5" fillId="0" borderId="0" xfId="0" applyNumberFormat="1" applyFont="1" applyAlignment="1">
      <alignment horizontal="center"/>
    </xf>
    <xf numFmtId="168" fontId="5" fillId="0" borderId="0" xfId="0" applyNumberFormat="1" applyFont="1" applyFill="1" applyAlignment="1">
      <alignment horizontal="center"/>
    </xf>
    <xf numFmtId="0" fontId="0" fillId="0" borderId="0" xfId="0" applyAlignment="1">
      <alignment horizontal="left" indent="1"/>
    </xf>
    <xf numFmtId="169" fontId="20" fillId="0" borderId="0" xfId="0" applyNumberFormat="1" applyFont="1"/>
    <xf numFmtId="174" fontId="20" fillId="0" borderId="0" xfId="0" applyNumberFormat="1" applyFont="1"/>
    <xf numFmtId="39" fontId="20" fillId="0" borderId="0" xfId="0" applyNumberFormat="1" applyFont="1"/>
    <xf numFmtId="167" fontId="20" fillId="0" borderId="0" xfId="0" applyNumberFormat="1" applyFont="1"/>
    <xf numFmtId="174" fontId="0" fillId="0" borderId="0" xfId="0" applyNumberFormat="1"/>
    <xf numFmtId="0" fontId="12" fillId="0" borderId="0" xfId="0" applyFont="1" applyBorder="1" applyAlignment="1">
      <alignment horizontal="right"/>
    </xf>
    <xf numFmtId="0" fontId="12" fillId="0" borderId="2" xfId="0" applyFont="1" applyBorder="1" applyAlignment="1">
      <alignment horizontal="centerContinuous"/>
    </xf>
    <xf numFmtId="10" fontId="0" fillId="0" borderId="0" xfId="0" applyNumberFormat="1"/>
    <xf numFmtId="39" fontId="0" fillId="0" borderId="0" xfId="0" applyNumberFormat="1"/>
    <xf numFmtId="39" fontId="12" fillId="0" borderId="0" xfId="0" applyNumberFormat="1" applyFont="1"/>
    <xf numFmtId="0" fontId="12" fillId="0" borderId="2" xfId="0" applyFont="1" applyBorder="1"/>
    <xf numFmtId="0" fontId="12" fillId="0" borderId="0" xfId="0" applyFont="1" applyAlignment="1">
      <alignment horizontal="centerContinuous"/>
    </xf>
    <xf numFmtId="0" fontId="12" fillId="0" borderId="1" xfId="0" applyFont="1" applyBorder="1" applyAlignment="1">
      <alignment horizontal="right"/>
    </xf>
    <xf numFmtId="0" fontId="23" fillId="0" borderId="0" xfId="0" applyFont="1"/>
    <xf numFmtId="39" fontId="21" fillId="0" borderId="0" xfId="0" applyNumberFormat="1" applyFont="1"/>
    <xf numFmtId="0" fontId="0" fillId="0" borderId="0" xfId="0" applyFont="1"/>
    <xf numFmtId="0" fontId="0" fillId="0" borderId="0" xfId="0" applyAlignment="1">
      <alignment horizontal="left"/>
    </xf>
    <xf numFmtId="169" fontId="12" fillId="0" borderId="0" xfId="0" applyNumberFormat="1" applyFont="1"/>
    <xf numFmtId="174" fontId="22" fillId="0" borderId="0" xfId="0" applyNumberFormat="1" applyFont="1"/>
    <xf numFmtId="174" fontId="12" fillId="0" borderId="0" xfId="0" applyNumberFormat="1" applyFont="1"/>
    <xf numFmtId="37" fontId="3" fillId="0" borderId="0" xfId="0" applyNumberFormat="1" applyFont="1"/>
    <xf numFmtId="9" fontId="1" fillId="9" borderId="0" xfId="0" applyNumberFormat="1" applyFont="1" applyFill="1" applyAlignment="1">
      <alignment horizontal="center"/>
    </xf>
    <xf numFmtId="9" fontId="13" fillId="8" borderId="0" xfId="0" applyNumberFormat="1" applyFont="1" applyFill="1"/>
    <xf numFmtId="2" fontId="8" fillId="0" borderId="0" xfId="0" applyNumberFormat="1" applyFont="1" applyFill="1"/>
    <xf numFmtId="9" fontId="20" fillId="0" borderId="0" xfId="0" applyNumberFormat="1" applyFont="1"/>
    <xf numFmtId="39" fontId="24" fillId="0" borderId="0" xfId="0" applyNumberFormat="1" applyFont="1"/>
    <xf numFmtId="2" fontId="1" fillId="0" borderId="0" xfId="0" applyNumberFormat="1" applyFont="1" applyFill="1"/>
    <xf numFmtId="9" fontId="4" fillId="8" borderId="0" xfId="0" applyNumberFormat="1" applyFont="1" applyFill="1" applyAlignment="1">
      <alignment horizontal="right"/>
    </xf>
    <xf numFmtId="10" fontId="4" fillId="8" borderId="0" xfId="0" applyNumberFormat="1" applyFont="1" applyFill="1" applyAlignment="1">
      <alignment horizontal="center"/>
    </xf>
    <xf numFmtId="1" fontId="2" fillId="0" borderId="1" xfId="0" applyNumberFormat="1" applyFont="1" applyBorder="1"/>
    <xf numFmtId="0" fontId="25" fillId="0" borderId="0" xfId="0" applyFont="1"/>
    <xf numFmtId="0" fontId="26" fillId="0" borderId="0" xfId="0" applyFont="1"/>
    <xf numFmtId="39" fontId="25" fillId="0" borderId="0" xfId="0" applyNumberFormat="1" applyFont="1"/>
    <xf numFmtId="1" fontId="25" fillId="0" borderId="0" xfId="0" applyNumberFormat="1" applyFont="1"/>
    <xf numFmtId="0" fontId="27" fillId="0" borderId="0" xfId="0" applyFont="1"/>
    <xf numFmtId="0" fontId="26" fillId="0" borderId="0" xfId="0" applyFont="1" applyBorder="1"/>
    <xf numFmtId="0" fontId="25" fillId="0" borderId="0" xfId="0" applyFont="1" applyBorder="1"/>
    <xf numFmtId="9" fontId="5" fillId="0" borderId="0" xfId="0" applyNumberFormat="1" applyFont="1"/>
    <xf numFmtId="37" fontId="4" fillId="0" borderId="0" xfId="0" applyNumberFormat="1" applyFont="1" applyFill="1" applyAlignment="1">
      <alignment horizontal="center"/>
    </xf>
    <xf numFmtId="175" fontId="1" fillId="0" borderId="0" xfId="0" applyNumberFormat="1" applyFont="1"/>
    <xf numFmtId="0" fontId="0" fillId="0" borderId="0" xfId="0" applyFill="1"/>
    <xf numFmtId="9" fontId="0" fillId="0" borderId="0" xfId="0" applyNumberFormat="1" applyFill="1"/>
    <xf numFmtId="9" fontId="12" fillId="0" borderId="0" xfId="0" applyNumberFormat="1" applyFont="1" applyFill="1"/>
    <xf numFmtId="37" fontId="8" fillId="0" borderId="0" xfId="0" applyNumberFormat="1" applyFont="1" applyFill="1"/>
    <xf numFmtId="0" fontId="16" fillId="0" borderId="0" xfId="0" applyFont="1" applyFill="1" applyAlignment="1">
      <alignment horizontal="right"/>
    </xf>
    <xf numFmtId="37" fontId="17" fillId="0" borderId="0" xfId="0" applyNumberFormat="1" applyFont="1" applyFill="1" applyAlignment="1">
      <alignment horizontal="right"/>
    </xf>
    <xf numFmtId="3" fontId="0" fillId="0" borderId="0" xfId="0" applyNumberFormat="1" applyFill="1"/>
    <xf numFmtId="3" fontId="13" fillId="0" borderId="0" xfId="0" applyNumberFormat="1" applyFont="1" applyFill="1"/>
    <xf numFmtId="169" fontId="0" fillId="0" borderId="0" xfId="0" applyNumberFormat="1" applyFill="1"/>
    <xf numFmtId="4" fontId="0" fillId="0" borderId="0" xfId="0" applyNumberFormat="1" applyFill="1"/>
    <xf numFmtId="3" fontId="15" fillId="0" borderId="0" xfId="0" applyNumberFormat="1" applyFont="1" applyFill="1"/>
    <xf numFmtId="3" fontId="14" fillId="0" borderId="0" xfId="0" applyNumberFormat="1" applyFont="1" applyFill="1"/>
    <xf numFmtId="3" fontId="12" fillId="0" borderId="0" xfId="0" applyNumberFormat="1" applyFont="1" applyFill="1"/>
    <xf numFmtId="169" fontId="14" fillId="0" borderId="0" xfId="0" applyNumberFormat="1" applyFont="1" applyFill="1"/>
    <xf numFmtId="169" fontId="12" fillId="0" borderId="0" xfId="0" applyNumberFormat="1" applyFont="1" applyFill="1"/>
    <xf numFmtId="2" fontId="2" fillId="0" borderId="0" xfId="0" applyNumberFormat="1" applyFont="1" applyFill="1"/>
    <xf numFmtId="37" fontId="4" fillId="3" borderId="0" xfId="0" applyNumberFormat="1" applyFont="1" applyFill="1" applyAlignment="1">
      <alignment horizontal="center"/>
    </xf>
    <xf numFmtId="39" fontId="3" fillId="0" borderId="0" xfId="0" applyNumberFormat="1" applyFont="1" applyAlignment="1">
      <alignment horizontal="center"/>
    </xf>
    <xf numFmtId="39" fontId="2" fillId="0" borderId="0" xfId="0" applyNumberFormat="1" applyFont="1"/>
    <xf numFmtId="0" fontId="0" fillId="0" borderId="2" xfId="0" applyBorder="1"/>
    <xf numFmtId="0" fontId="0" fillId="0" borderId="0" xfId="0" applyBorder="1"/>
    <xf numFmtId="0" fontId="12" fillId="0" borderId="0" xfId="0" applyFont="1" applyBorder="1"/>
    <xf numFmtId="9" fontId="0" fillId="0" borderId="0" xfId="0" applyNumberFormat="1" applyBorder="1"/>
    <xf numFmtId="174" fontId="0" fillId="0" borderId="0" xfId="0" applyNumberFormat="1" applyBorder="1"/>
    <xf numFmtId="37" fontId="0" fillId="0" borderId="0" xfId="0" applyNumberFormat="1" applyBorder="1"/>
    <xf numFmtId="0" fontId="5" fillId="0" borderId="0" xfId="0" applyFont="1" applyAlignment="1">
      <alignment vertical="top"/>
    </xf>
    <xf numFmtId="0" fontId="0" fillId="0" borderId="0" xfId="0" applyAlignment="1">
      <alignment vertical="top"/>
    </xf>
    <xf numFmtId="0" fontId="5" fillId="0" borderId="0" xfId="0" applyFont="1" applyAlignment="1"/>
    <xf numFmtId="0" fontId="5" fillId="0" borderId="0" xfId="0" applyFont="1" applyBorder="1" applyAlignment="1">
      <alignment vertical="top"/>
    </xf>
    <xf numFmtId="0" fontId="0" fillId="0" borderId="0" xfId="0" applyBorder="1" applyAlignment="1">
      <alignment vertical="top"/>
    </xf>
    <xf numFmtId="0" fontId="5" fillId="0" borderId="3" xfId="0" applyFont="1" applyBorder="1" applyAlignment="1">
      <alignment vertical="top"/>
    </xf>
    <xf numFmtId="0" fontId="5" fillId="0" borderId="4" xfId="0" applyFont="1" applyBorder="1" applyAlignment="1">
      <alignment vertical="top"/>
    </xf>
    <xf numFmtId="0" fontId="0" fillId="0" borderId="4" xfId="0" applyBorder="1" applyAlignment="1">
      <alignment vertical="top"/>
    </xf>
    <xf numFmtId="0" fontId="5" fillId="0" borderId="5"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0" fillId="0" borderId="0" xfId="0" applyAlignment="1"/>
    <xf numFmtId="176" fontId="5" fillId="0" borderId="0" xfId="0" applyNumberFormat="1" applyFont="1" applyAlignment="1">
      <alignment vertical="top"/>
    </xf>
    <xf numFmtId="0" fontId="28" fillId="0" borderId="0" xfId="0" applyFont="1" applyAlignment="1">
      <alignment vertical="top"/>
    </xf>
    <xf numFmtId="0" fontId="29" fillId="0" borderId="0" xfId="0" applyFont="1" applyAlignment="1">
      <alignment vertical="top"/>
    </xf>
    <xf numFmtId="0" fontId="2" fillId="0" borderId="0" xfId="0" applyFont="1" applyAlignment="1">
      <alignment horizontal="right" vertical="top"/>
    </xf>
    <xf numFmtId="0" fontId="2" fillId="0" borderId="0" xfId="0" quotePrefix="1" applyFont="1" applyBorder="1" applyAlignment="1">
      <alignment vertical="top"/>
    </xf>
    <xf numFmtId="0" fontId="30" fillId="0" borderId="0" xfId="0" applyFont="1" applyAlignment="1">
      <alignment vertical="top"/>
    </xf>
    <xf numFmtId="176" fontId="0" fillId="0" borderId="0" xfId="0" applyNumberFormat="1" applyBorder="1" applyAlignment="1">
      <alignment vertical="top"/>
    </xf>
    <xf numFmtId="49" fontId="5" fillId="0"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 fillId="0" borderId="1" xfId="0" applyNumberFormat="1" applyFont="1" applyBorder="1" applyAlignment="1">
      <alignment vertical="top"/>
    </xf>
    <xf numFmtId="0" fontId="5" fillId="0" borderId="1" xfId="0" applyFont="1" applyBorder="1" applyAlignment="1">
      <alignment vertical="top"/>
    </xf>
    <xf numFmtId="0" fontId="0" fillId="0" borderId="1" xfId="0" applyBorder="1" applyAlignment="1">
      <alignment vertical="top"/>
    </xf>
    <xf numFmtId="0" fontId="0" fillId="0" borderId="0" xfId="0" applyAlignment="1">
      <alignment horizontal="justify" vertical="top"/>
    </xf>
    <xf numFmtId="0" fontId="5" fillId="0" borderId="0" xfId="0" applyFont="1" applyAlignment="1">
      <alignment horizontal="justify" vertical="center" wrapText="1"/>
    </xf>
    <xf numFmtId="0" fontId="0" fillId="0" borderId="0" xfId="0" applyBorder="1" applyAlignment="1">
      <alignment horizontal="justify"/>
    </xf>
    <xf numFmtId="0" fontId="5" fillId="0" borderId="12" xfId="0" applyFont="1" applyBorder="1" applyAlignment="1">
      <alignment vertical="top"/>
    </xf>
    <xf numFmtId="0" fontId="5" fillId="0" borderId="13" xfId="0" applyFont="1" applyBorder="1" applyAlignment="1">
      <alignment vertical="top"/>
    </xf>
    <xf numFmtId="0" fontId="0" fillId="0" borderId="13" xfId="0" applyBorder="1" applyAlignment="1">
      <alignment vertical="top"/>
    </xf>
    <xf numFmtId="0" fontId="5" fillId="0" borderId="14" xfId="0" applyFont="1" applyBorder="1" applyAlignment="1">
      <alignment vertical="top"/>
    </xf>
    <xf numFmtId="0" fontId="2" fillId="0" borderId="0" xfId="0" applyFont="1" applyAlignment="1">
      <alignment horizontal="left" vertical="top" indent="2"/>
    </xf>
    <xf numFmtId="176" fontId="31" fillId="0" borderId="0" xfId="3" applyNumberFormat="1" applyBorder="1" applyAlignment="1">
      <alignment vertical="top"/>
    </xf>
    <xf numFmtId="49" fontId="5" fillId="9" borderId="9" xfId="0" applyNumberFormat="1" applyFont="1" applyFill="1" applyBorder="1" applyAlignment="1">
      <alignment horizontal="center" vertical="center" wrapText="1"/>
    </xf>
    <xf numFmtId="49" fontId="4" fillId="9" borderId="8" xfId="0" applyNumberFormat="1" applyFont="1" applyFill="1" applyBorder="1" applyAlignment="1">
      <alignment horizontal="center" vertical="center" wrapText="1"/>
    </xf>
    <xf numFmtId="49" fontId="5" fillId="5" borderId="10" xfId="0" applyNumberFormat="1" applyFont="1" applyFill="1" applyBorder="1" applyAlignment="1">
      <alignment horizontal="center" vertical="center" wrapText="1"/>
    </xf>
    <xf numFmtId="0" fontId="33" fillId="0" borderId="0" xfId="0" applyFont="1"/>
    <xf numFmtId="39" fontId="33" fillId="0" borderId="0" xfId="0" applyNumberFormat="1" applyFont="1"/>
    <xf numFmtId="0" fontId="34" fillId="0" borderId="0" xfId="0" applyFont="1"/>
    <xf numFmtId="39" fontId="34" fillId="0" borderId="0" xfId="0" applyNumberFormat="1" applyFont="1"/>
    <xf numFmtId="0" fontId="32" fillId="0" borderId="0" xfId="0" applyFont="1" applyBorder="1" applyAlignment="1">
      <alignment vertical="top"/>
    </xf>
    <xf numFmtId="49" fontId="9" fillId="3" borderId="8" xfId="0" applyNumberFormat="1" applyFont="1" applyFill="1" applyBorder="1" applyAlignment="1">
      <alignment horizontal="center" vertical="center" wrapText="1"/>
    </xf>
    <xf numFmtId="0" fontId="3" fillId="0" borderId="0" xfId="0" applyFont="1" applyFill="1" applyAlignment="1">
      <alignment horizontal="center"/>
    </xf>
    <xf numFmtId="167" fontId="4" fillId="3" borderId="0" xfId="0" applyNumberFormat="1" applyFont="1" applyFill="1" applyAlignment="1">
      <alignment horizontal="center"/>
    </xf>
    <xf numFmtId="9" fontId="4" fillId="3" borderId="0" xfId="0" applyNumberFormat="1" applyFont="1" applyFill="1" applyAlignment="1">
      <alignment horizontal="center"/>
    </xf>
    <xf numFmtId="0" fontId="5" fillId="0" borderId="0" xfId="2" applyFont="1" applyFill="1" applyAlignment="1">
      <alignment horizontal="center"/>
    </xf>
    <xf numFmtId="39" fontId="27" fillId="0" borderId="0" xfId="0" applyNumberFormat="1" applyFont="1"/>
    <xf numFmtId="0" fontId="35" fillId="0" borderId="0" xfId="0" applyFont="1"/>
    <xf numFmtId="39" fontId="36" fillId="0" borderId="0" xfId="0" applyNumberFormat="1" applyFont="1"/>
    <xf numFmtId="37" fontId="36" fillId="0" borderId="0" xfId="0" applyNumberFormat="1" applyFont="1"/>
    <xf numFmtId="39" fontId="35" fillId="0" borderId="0" xfId="0" applyNumberFormat="1" applyFont="1"/>
    <xf numFmtId="39" fontId="37" fillId="0" borderId="0" xfId="0" applyNumberFormat="1" applyFont="1"/>
    <xf numFmtId="37" fontId="37" fillId="0" borderId="0" xfId="0" applyNumberFormat="1" applyFont="1"/>
    <xf numFmtId="37" fontId="35" fillId="0" borderId="0" xfId="0" applyNumberFormat="1" applyFont="1"/>
    <xf numFmtId="0" fontId="38" fillId="0" borderId="0" xfId="0" applyFont="1" applyFill="1"/>
    <xf numFmtId="0" fontId="35" fillId="0" borderId="0" xfId="0" applyFont="1" applyFill="1"/>
    <xf numFmtId="0" fontId="39" fillId="0" borderId="0" xfId="0" applyFont="1" applyFill="1"/>
    <xf numFmtId="39" fontId="40" fillId="0" borderId="0" xfId="0" applyNumberFormat="1" applyFont="1"/>
    <xf numFmtId="39" fontId="41" fillId="0" borderId="0" xfId="0" applyNumberFormat="1" applyFont="1"/>
    <xf numFmtId="37" fontId="41" fillId="0" borderId="0" xfId="0" applyNumberFormat="1" applyFont="1"/>
    <xf numFmtId="1" fontId="42" fillId="0" borderId="1" xfId="0" applyNumberFormat="1" applyFont="1" applyBorder="1"/>
    <xf numFmtId="165" fontId="34" fillId="0" borderId="1" xfId="0" applyNumberFormat="1" applyFont="1" applyBorder="1"/>
    <xf numFmtId="14" fontId="5" fillId="0" borderId="0" xfId="0" applyNumberFormat="1" applyFont="1" applyBorder="1" applyAlignment="1">
      <alignment vertical="top"/>
    </xf>
    <xf numFmtId="37" fontId="4" fillId="0" borderId="0" xfId="0" applyNumberFormat="1" applyFont="1" applyAlignment="1">
      <alignment horizontal="center"/>
    </xf>
    <xf numFmtId="0" fontId="5" fillId="0" borderId="0" xfId="0" applyFont="1"/>
    <xf numFmtId="39" fontId="6" fillId="8" borderId="0" xfId="0" applyNumberFormat="1" applyFont="1" applyFill="1" applyAlignment="1">
      <alignment horizontal="center"/>
    </xf>
    <xf numFmtId="10" fontId="4" fillId="0" borderId="0" xfId="0" applyNumberFormat="1" applyFont="1" applyFill="1" applyAlignment="1">
      <alignment horizontal="center"/>
    </xf>
    <xf numFmtId="10" fontId="1" fillId="0" borderId="0" xfId="0" applyNumberFormat="1" applyFont="1" applyAlignment="1">
      <alignment horizontal="center"/>
    </xf>
    <xf numFmtId="9" fontId="1" fillId="0" borderId="0" xfId="0" applyNumberFormat="1" applyFont="1" applyAlignment="1">
      <alignment horizontal="center"/>
    </xf>
    <xf numFmtId="0" fontId="17" fillId="0" borderId="0" xfId="2" applyFont="1" applyFill="1" applyAlignment="1">
      <alignment horizontal="center"/>
    </xf>
    <xf numFmtId="39" fontId="3" fillId="0" borderId="0" xfId="0" applyNumberFormat="1" applyFont="1" applyFill="1" applyAlignment="1">
      <alignment horizontal="center"/>
    </xf>
    <xf numFmtId="0" fontId="28" fillId="0" borderId="0" xfId="2" applyFont="1" applyFill="1" applyAlignment="1">
      <alignment horizontal="left"/>
    </xf>
    <xf numFmtId="0" fontId="1" fillId="0" borderId="0" xfId="0" applyFont="1" applyBorder="1"/>
    <xf numFmtId="0" fontId="19" fillId="0" borderId="0" xfId="0" applyFont="1" applyBorder="1"/>
    <xf numFmtId="0" fontId="2" fillId="0" borderId="0" xfId="0" applyFont="1" applyBorder="1"/>
    <xf numFmtId="165" fontId="2" fillId="0" borderId="0" xfId="0" applyNumberFormat="1" applyFont="1" applyBorder="1"/>
    <xf numFmtId="9" fontId="3" fillId="9" borderId="0" xfId="0" applyNumberFormat="1" applyFont="1" applyFill="1" applyAlignment="1">
      <alignment horizontal="center"/>
    </xf>
    <xf numFmtId="39" fontId="6" fillId="3" borderId="0" xfId="0" applyNumberFormat="1" applyFont="1" applyFill="1" applyAlignment="1">
      <alignment horizontal="center"/>
    </xf>
    <xf numFmtId="39" fontId="2" fillId="0" borderId="0" xfId="0" applyNumberFormat="1" applyFont="1" applyFill="1" applyAlignment="1">
      <alignment horizontal="center"/>
    </xf>
    <xf numFmtId="0" fontId="1" fillId="12" borderId="0" xfId="0" applyFont="1" applyFill="1"/>
    <xf numFmtId="10" fontId="1" fillId="12" borderId="0" xfId="0" applyNumberFormat="1" applyFont="1" applyFill="1" applyAlignment="1">
      <alignment horizontal="center"/>
    </xf>
    <xf numFmtId="166" fontId="3" fillId="0" borderId="0" xfId="0" applyNumberFormat="1" applyFont="1" applyFill="1"/>
    <xf numFmtId="177" fontId="1" fillId="0" borderId="0" xfId="0" applyNumberFormat="1" applyFont="1"/>
    <xf numFmtId="39" fontId="1" fillId="0" borderId="0" xfId="0" applyNumberFormat="1" applyFont="1" applyAlignment="1">
      <alignment horizontal="right"/>
    </xf>
    <xf numFmtId="0" fontId="12" fillId="0" borderId="0" xfId="0" applyFont="1" applyBorder="1" applyAlignment="1">
      <alignment horizontal="centerContinuous"/>
    </xf>
    <xf numFmtId="0" fontId="1" fillId="0" borderId="0" xfId="0" applyFont="1" applyFill="1" applyAlignment="1">
      <alignment horizontal="right"/>
    </xf>
    <xf numFmtId="0" fontId="1" fillId="13" borderId="0" xfId="0" applyFont="1" applyFill="1"/>
    <xf numFmtId="1" fontId="3" fillId="0" borderId="0" xfId="0" applyNumberFormat="1" applyFont="1" applyFill="1"/>
    <xf numFmtId="9" fontId="9" fillId="8" borderId="0" xfId="0" applyNumberFormat="1" applyFont="1" applyFill="1" applyBorder="1" applyAlignment="1">
      <alignment horizontal="center"/>
    </xf>
    <xf numFmtId="39" fontId="5" fillId="0" borderId="0" xfId="0" applyNumberFormat="1" applyFont="1" applyFill="1" applyBorder="1" applyAlignment="1">
      <alignment horizontal="center"/>
    </xf>
    <xf numFmtId="39" fontId="2" fillId="0" borderId="0" xfId="0" applyNumberFormat="1" applyFont="1" applyAlignment="1">
      <alignment horizontal="center" vertical="top"/>
    </xf>
    <xf numFmtId="39" fontId="13" fillId="0" borderId="0" xfId="0" applyNumberFormat="1" applyFont="1"/>
    <xf numFmtId="0" fontId="0" fillId="12" borderId="0" xfId="0" applyFill="1"/>
    <xf numFmtId="174" fontId="14" fillId="0" borderId="0" xfId="0" applyNumberFormat="1" applyFont="1"/>
    <xf numFmtId="172" fontId="20" fillId="0" borderId="0" xfId="0" applyNumberFormat="1" applyFont="1"/>
    <xf numFmtId="164" fontId="20" fillId="0" borderId="0" xfId="0" applyNumberFormat="1" applyFont="1"/>
    <xf numFmtId="172" fontId="0" fillId="0" borderId="0" xfId="0" applyNumberFormat="1"/>
    <xf numFmtId="171" fontId="0" fillId="0" borderId="0" xfId="0" applyNumberFormat="1"/>
    <xf numFmtId="171" fontId="13" fillId="0" borderId="0" xfId="0" applyNumberFormat="1" applyFont="1"/>
    <xf numFmtId="169" fontId="22" fillId="0" borderId="0" xfId="0" applyNumberFormat="1" applyFont="1"/>
    <xf numFmtId="178" fontId="0" fillId="0" borderId="0" xfId="0" applyNumberFormat="1"/>
    <xf numFmtId="0" fontId="0" fillId="0" borderId="0" xfId="0" applyAlignment="1">
      <alignment horizontal="right"/>
    </xf>
    <xf numFmtId="0" fontId="13" fillId="0" borderId="2" xfId="0" applyFont="1" applyBorder="1"/>
    <xf numFmtId="174" fontId="21" fillId="0" borderId="0" xfId="0" applyNumberFormat="1" applyFont="1"/>
    <xf numFmtId="39" fontId="45" fillId="0" borderId="0" xfId="0" applyNumberFormat="1" applyFont="1"/>
    <xf numFmtId="0" fontId="36" fillId="0" borderId="0" xfId="0" applyFont="1" applyFill="1"/>
    <xf numFmtId="0" fontId="45" fillId="0" borderId="0" xfId="0" applyFont="1" applyFill="1"/>
    <xf numFmtId="0" fontId="40" fillId="0" borderId="0" xfId="0" applyFont="1" applyFill="1"/>
    <xf numFmtId="0" fontId="39" fillId="0" borderId="0" xfId="0" applyFont="1" applyAlignment="1">
      <alignment horizontal="right"/>
    </xf>
    <xf numFmtId="167" fontId="4" fillId="0" borderId="0" xfId="0" applyNumberFormat="1" applyFont="1" applyFill="1" applyAlignment="1">
      <alignment horizontal="center"/>
    </xf>
    <xf numFmtId="0" fontId="18" fillId="0" borderId="0" xfId="0" applyFont="1" applyFill="1" applyAlignment="1">
      <alignment horizontal="center"/>
    </xf>
    <xf numFmtId="9" fontId="18" fillId="0" borderId="0" xfId="0" applyNumberFormat="1" applyFont="1" applyAlignment="1">
      <alignment horizontal="center"/>
    </xf>
    <xf numFmtId="0" fontId="18" fillId="0" borderId="0" xfId="0" applyFont="1" applyAlignment="1">
      <alignment horizontal="center"/>
    </xf>
    <xf numFmtId="39" fontId="4" fillId="3" borderId="0" xfId="0" applyNumberFormat="1" applyFont="1" applyFill="1" applyAlignment="1">
      <alignment horizontal="right"/>
    </xf>
    <xf numFmtId="0" fontId="12" fillId="0" borderId="20" xfId="0" applyFont="1" applyFill="1" applyBorder="1" applyAlignment="1">
      <alignment horizontal="right"/>
    </xf>
    <xf numFmtId="0" fontId="12" fillId="0" borderId="17" xfId="0" applyFont="1" applyFill="1" applyBorder="1" applyAlignment="1">
      <alignment horizontal="right"/>
    </xf>
    <xf numFmtId="174" fontId="20" fillId="0" borderId="18" xfId="0" applyNumberFormat="1" applyFont="1" applyFill="1" applyBorder="1"/>
    <xf numFmtId="169" fontId="20" fillId="0" borderId="18" xfId="0" applyNumberFormat="1" applyFont="1" applyFill="1" applyBorder="1"/>
    <xf numFmtId="39" fontId="21" fillId="0" borderId="18" xfId="0" applyNumberFormat="1" applyFont="1" applyFill="1" applyBorder="1"/>
    <xf numFmtId="0" fontId="0" fillId="0" borderId="18" xfId="0" applyFill="1" applyBorder="1"/>
    <xf numFmtId="167" fontId="20" fillId="0" borderId="18" xfId="0" applyNumberFormat="1" applyFont="1" applyFill="1" applyBorder="1"/>
    <xf numFmtId="174" fontId="21" fillId="0" borderId="18" xfId="0" applyNumberFormat="1" applyFont="1" applyFill="1" applyBorder="1"/>
    <xf numFmtId="174" fontId="20" fillId="0" borderId="19" xfId="0" applyNumberFormat="1" applyFont="1" applyFill="1" applyBorder="1"/>
    <xf numFmtId="39" fontId="5" fillId="5" borderId="0" xfId="0" applyNumberFormat="1" applyFont="1" applyFill="1"/>
    <xf numFmtId="0" fontId="4" fillId="0" borderId="0" xfId="0" applyFont="1" applyFill="1" applyAlignment="1">
      <alignment horizontal="center"/>
    </xf>
    <xf numFmtId="9" fontId="1" fillId="0" borderId="0" xfId="0" applyNumberFormat="1" applyFont="1" applyFill="1" applyAlignment="1">
      <alignment horizontal="center"/>
    </xf>
    <xf numFmtId="39" fontId="5" fillId="9" borderId="0" xfId="0" applyNumberFormat="1" applyFont="1" applyFill="1" applyAlignment="1">
      <alignment horizontal="center"/>
    </xf>
    <xf numFmtId="37" fontId="20" fillId="0" borderId="0" xfId="0" applyNumberFormat="1" applyFont="1" applyAlignment="1">
      <alignment horizontal="center"/>
    </xf>
    <xf numFmtId="39" fontId="20" fillId="0" borderId="18" xfId="0" applyNumberFormat="1" applyFont="1" applyFill="1" applyBorder="1"/>
    <xf numFmtId="37" fontId="5" fillId="9" borderId="0" xfId="0" applyNumberFormat="1" applyFont="1" applyFill="1" applyAlignment="1">
      <alignment horizontal="center"/>
    </xf>
    <xf numFmtId="169" fontId="21" fillId="0" borderId="18" xfId="0" applyNumberFormat="1" applyFont="1" applyFill="1" applyBorder="1"/>
    <xf numFmtId="167" fontId="21" fillId="0" borderId="18" xfId="0" applyNumberFormat="1" applyFont="1" applyFill="1" applyBorder="1"/>
    <xf numFmtId="174" fontId="21" fillId="0" borderId="19" xfId="0" applyNumberFormat="1" applyFont="1" applyFill="1" applyBorder="1"/>
    <xf numFmtId="0" fontId="12" fillId="0" borderId="0" xfId="0" applyFont="1" applyAlignment="1">
      <alignment horizontal="left"/>
    </xf>
    <xf numFmtId="166" fontId="20" fillId="0" borderId="0" xfId="0" applyNumberFormat="1" applyFont="1"/>
    <xf numFmtId="166" fontId="0" fillId="0" borderId="0" xfId="0" applyNumberFormat="1"/>
    <xf numFmtId="166" fontId="12" fillId="0" borderId="0" xfId="0" applyNumberFormat="1" applyFont="1"/>
    <xf numFmtId="0" fontId="1" fillId="0" borderId="2" xfId="0" applyFont="1" applyBorder="1"/>
    <xf numFmtId="1" fontId="34" fillId="0" borderId="1" xfId="0" applyNumberFormat="1" applyFont="1" applyBorder="1"/>
    <xf numFmtId="10" fontId="5" fillId="8" borderId="0" xfId="0" applyNumberFormat="1" applyFont="1" applyFill="1" applyAlignment="1">
      <alignment horizontal="center"/>
    </xf>
    <xf numFmtId="179" fontId="1" fillId="4" borderId="0" xfId="0" applyNumberFormat="1" applyFont="1" applyFill="1"/>
    <xf numFmtId="179" fontId="1" fillId="0" borderId="0" xfId="0" applyNumberFormat="1" applyFont="1"/>
    <xf numFmtId="3" fontId="35" fillId="0" borderId="0" xfId="0" applyNumberFormat="1" applyFont="1"/>
    <xf numFmtId="0" fontId="48" fillId="0" borderId="0" xfId="0" applyFont="1" applyFill="1" applyAlignment="1">
      <alignment horizontal="centerContinuous" wrapText="1"/>
    </xf>
    <xf numFmtId="0" fontId="2" fillId="0" borderId="0" xfId="5" applyFont="1" applyFill="1" applyAlignment="1">
      <alignment vertical="center"/>
    </xf>
    <xf numFmtId="0" fontId="48" fillId="0" borderId="0" xfId="0" applyFont="1" applyFill="1" applyAlignment="1">
      <alignment horizontal="center" wrapText="1"/>
    </xf>
    <xf numFmtId="185" fontId="1" fillId="0" borderId="0" xfId="0" applyNumberFormat="1" applyFont="1"/>
    <xf numFmtId="0" fontId="5" fillId="0" borderId="0" xfId="5" applyFill="1" applyBorder="1" applyAlignment="1">
      <alignment vertical="top"/>
    </xf>
    <xf numFmtId="3" fontId="5" fillId="0" borderId="0" xfId="6" applyNumberFormat="1" applyFill="1" applyBorder="1" applyAlignment="1">
      <alignment vertical="top"/>
    </xf>
    <xf numFmtId="182" fontId="5" fillId="0" borderId="0" xfId="6" applyNumberFormat="1" applyFill="1" applyBorder="1" applyAlignment="1">
      <alignment horizontal="center" vertical="top"/>
    </xf>
    <xf numFmtId="183" fontId="5" fillId="0" borderId="0" xfId="6" applyNumberFormat="1" applyFill="1" applyBorder="1" applyAlignment="1">
      <alignment vertical="top"/>
    </xf>
    <xf numFmtId="183" fontId="46" fillId="0" borderId="0" xfId="6" applyNumberFormat="1" applyFont="1" applyFill="1" applyBorder="1" applyAlignment="1">
      <alignment vertical="top"/>
    </xf>
    <xf numFmtId="0" fontId="5" fillId="0" borderId="0" xfId="5" applyFont="1" applyFill="1" applyBorder="1" applyAlignment="1">
      <alignment vertical="top"/>
    </xf>
    <xf numFmtId="49" fontId="2" fillId="0" borderId="0" xfId="5" applyNumberFormat="1" applyFont="1" applyFill="1" applyBorder="1" applyAlignment="1">
      <alignment vertical="top"/>
    </xf>
    <xf numFmtId="0" fontId="5" fillId="0" borderId="0" xfId="5" applyFont="1" applyFill="1" applyBorder="1" applyAlignment="1">
      <alignment horizontal="left" vertical="center"/>
    </xf>
    <xf numFmtId="3" fontId="4" fillId="0" borderId="0" xfId="6" applyNumberFormat="1" applyFont="1" applyFill="1" applyBorder="1" applyAlignment="1">
      <alignment horizontal="center" vertical="center"/>
    </xf>
    <xf numFmtId="184" fontId="4" fillId="0" borderId="0" xfId="6" applyNumberFormat="1" applyFont="1" applyFill="1" applyBorder="1" applyAlignment="1">
      <alignment horizontal="center" vertical="center"/>
    </xf>
    <xf numFmtId="180" fontId="4" fillId="0" borderId="0" xfId="6" applyNumberFormat="1" applyFont="1" applyFill="1" applyBorder="1" applyAlignment="1">
      <alignment horizontal="right" vertical="center"/>
    </xf>
    <xf numFmtId="0" fontId="5" fillId="0" borderId="0" xfId="5" applyFont="1" applyFill="1" applyBorder="1" applyAlignment="1">
      <alignment vertical="center"/>
    </xf>
    <xf numFmtId="3" fontId="2" fillId="0" borderId="0" xfId="0" applyNumberFormat="1" applyFont="1" applyFill="1" applyBorder="1" applyAlignment="1">
      <alignment horizontal="left" vertical="center" wrapText="1"/>
    </xf>
    <xf numFmtId="3"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right" vertical="center" wrapText="1"/>
    </xf>
    <xf numFmtId="0" fontId="47" fillId="0" borderId="0" xfId="5" applyFont="1" applyFill="1" applyBorder="1" applyAlignment="1">
      <alignment vertical="top"/>
    </xf>
    <xf numFmtId="0" fontId="2" fillId="0" borderId="0" xfId="5" applyFont="1" applyFill="1" applyBorder="1" applyAlignment="1">
      <alignment vertical="top"/>
    </xf>
    <xf numFmtId="0" fontId="2" fillId="0" borderId="0" xfId="5" applyFont="1" applyFill="1" applyBorder="1" applyAlignment="1">
      <alignment horizontal="right" vertical="top"/>
    </xf>
    <xf numFmtId="169" fontId="2" fillId="0" borderId="0" xfId="4" applyNumberFormat="1" applyFont="1" applyFill="1" applyBorder="1" applyAlignment="1">
      <alignment vertical="top"/>
    </xf>
    <xf numFmtId="183" fontId="2" fillId="0" borderId="0" xfId="5" applyNumberFormat="1" applyFont="1" applyFill="1" applyBorder="1" applyAlignment="1">
      <alignment vertical="top"/>
    </xf>
    <xf numFmtId="3" fontId="5" fillId="0" borderId="0" xfId="6" applyNumberFormat="1" applyFill="1" applyBorder="1" applyAlignment="1">
      <alignment vertical="center"/>
    </xf>
    <xf numFmtId="169" fontId="4" fillId="0" borderId="0" xfId="4" applyNumberFormat="1" applyFont="1" applyFill="1" applyBorder="1" applyAlignment="1">
      <alignment horizontal="center" vertical="center"/>
    </xf>
    <xf numFmtId="183" fontId="5" fillId="0" borderId="0" xfId="6" applyNumberFormat="1" applyFill="1" applyBorder="1" applyAlignment="1">
      <alignment vertical="center"/>
    </xf>
    <xf numFmtId="180" fontId="5" fillId="0" borderId="0" xfId="6" applyNumberFormat="1" applyFill="1" applyBorder="1" applyAlignment="1">
      <alignment horizontal="right" vertical="center"/>
    </xf>
    <xf numFmtId="185" fontId="5" fillId="0" borderId="0" xfId="5" applyNumberFormat="1" applyFont="1" applyFill="1" applyBorder="1" applyAlignment="1">
      <alignment vertical="center"/>
    </xf>
    <xf numFmtId="169" fontId="5" fillId="0" borderId="0" xfId="4" applyNumberFormat="1" applyFont="1" applyFill="1" applyBorder="1" applyAlignment="1">
      <alignment horizontal="center" vertical="center"/>
    </xf>
    <xf numFmtId="9" fontId="5" fillId="0" borderId="0" xfId="4" applyFont="1" applyFill="1" applyBorder="1" applyAlignment="1">
      <alignment horizontal="center" vertical="center"/>
    </xf>
    <xf numFmtId="182" fontId="5" fillId="0" borderId="0" xfId="6" applyNumberFormat="1" applyFont="1" applyFill="1" applyBorder="1" applyAlignment="1">
      <alignment horizontal="center" vertical="center"/>
    </xf>
    <xf numFmtId="3" fontId="2" fillId="0" borderId="0" xfId="5" applyNumberFormat="1" applyFont="1" applyFill="1" applyBorder="1" applyAlignment="1">
      <alignment vertical="top"/>
    </xf>
    <xf numFmtId="182" fontId="2" fillId="0" borderId="0" xfId="5" applyNumberFormat="1" applyFont="1" applyFill="1" applyBorder="1" applyAlignment="1">
      <alignment horizontal="center" vertical="top"/>
    </xf>
    <xf numFmtId="180" fontId="5" fillId="0" borderId="0" xfId="6" applyNumberFormat="1" applyFont="1" applyFill="1" applyBorder="1" applyAlignment="1">
      <alignment horizontal="right" vertical="center"/>
    </xf>
    <xf numFmtId="180" fontId="5" fillId="0" borderId="0" xfId="5" applyNumberFormat="1" applyFont="1" applyFill="1" applyBorder="1" applyAlignment="1">
      <alignment vertical="center"/>
    </xf>
    <xf numFmtId="3" fontId="2" fillId="0" borderId="0" xfId="0" applyNumberFormat="1" applyFont="1" applyFill="1" applyBorder="1" applyAlignment="1">
      <alignment horizontal="left" vertical="center"/>
    </xf>
    <xf numFmtId="182" fontId="4" fillId="0" borderId="0" xfId="6" applyNumberFormat="1" applyFont="1" applyFill="1" applyBorder="1" applyAlignment="1">
      <alignment horizontal="center" vertical="center"/>
    </xf>
    <xf numFmtId="183" fontId="4" fillId="0" borderId="0" xfId="6" applyNumberFormat="1" applyFont="1" applyFill="1" applyBorder="1" applyAlignment="1">
      <alignment horizontal="right" vertical="center"/>
    </xf>
    <xf numFmtId="10" fontId="3" fillId="0" borderId="0" xfId="0" applyNumberFormat="1" applyFont="1" applyAlignment="1">
      <alignment horizontal="center"/>
    </xf>
    <xf numFmtId="3" fontId="2" fillId="8" borderId="15" xfId="0" applyNumberFormat="1" applyFont="1" applyFill="1" applyBorder="1" applyAlignment="1">
      <alignment horizontal="left"/>
    </xf>
    <xf numFmtId="3"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right" wrapText="1"/>
    </xf>
    <xf numFmtId="180" fontId="2" fillId="8" borderId="1" xfId="0" applyNumberFormat="1" applyFont="1" applyFill="1" applyBorder="1" applyAlignment="1">
      <alignment horizontal="right" vertical="center" wrapText="1"/>
    </xf>
    <xf numFmtId="0" fontId="47" fillId="8" borderId="1" xfId="5" applyFont="1" applyFill="1" applyBorder="1" applyAlignment="1"/>
    <xf numFmtId="180" fontId="2" fillId="8" borderId="16" xfId="0" applyNumberFormat="1" applyFont="1" applyFill="1" applyBorder="1" applyAlignment="1">
      <alignment horizontal="right" vertical="center" wrapText="1"/>
    </xf>
    <xf numFmtId="0" fontId="2" fillId="0" borderId="21" xfId="5" applyFont="1" applyFill="1" applyBorder="1" applyAlignment="1">
      <alignment vertical="top"/>
    </xf>
    <xf numFmtId="3" fontId="2" fillId="0" borderId="21" xfId="0" applyNumberFormat="1" applyFont="1" applyFill="1" applyBorder="1" applyAlignment="1">
      <alignment horizontal="left" vertical="center" wrapText="1"/>
    </xf>
    <xf numFmtId="3" fontId="2" fillId="0" borderId="21" xfId="0" applyNumberFormat="1" applyFont="1" applyFill="1" applyBorder="1" applyAlignment="1">
      <alignment horizontal="center" vertical="center" wrapText="1"/>
    </xf>
    <xf numFmtId="180" fontId="2" fillId="0" borderId="21" xfId="0" applyNumberFormat="1" applyFont="1" applyFill="1" applyBorder="1" applyAlignment="1">
      <alignment horizontal="center" vertical="center" wrapText="1"/>
    </xf>
    <xf numFmtId="10" fontId="6" fillId="8" borderId="0" xfId="0" applyNumberFormat="1" applyFont="1" applyFill="1" applyAlignment="1">
      <alignment horizontal="center"/>
    </xf>
    <xf numFmtId="0" fontId="17" fillId="0" borderId="0" xfId="0" applyFont="1"/>
    <xf numFmtId="2" fontId="4" fillId="0" borderId="0" xfId="0" applyNumberFormat="1" applyFont="1"/>
    <xf numFmtId="10" fontId="5" fillId="0" borderId="0" xfId="0" applyNumberFormat="1" applyFont="1"/>
    <xf numFmtId="10" fontId="4" fillId="0" borderId="0" xfId="0" applyNumberFormat="1" applyFont="1"/>
    <xf numFmtId="185" fontId="5" fillId="0" borderId="0" xfId="0" applyNumberFormat="1" applyFont="1"/>
    <xf numFmtId="0" fontId="5" fillId="0" borderId="2" xfId="0" applyFont="1" applyBorder="1" applyAlignment="1">
      <alignment horizontal="right"/>
    </xf>
    <xf numFmtId="0" fontId="1" fillId="0" borderId="2" xfId="0" applyFont="1" applyBorder="1" applyAlignment="1">
      <alignment horizontal="right"/>
    </xf>
    <xf numFmtId="0" fontId="5" fillId="0" borderId="2" xfId="0" applyFont="1" applyBorder="1" applyAlignment="1">
      <alignment horizontal="right" wrapText="1"/>
    </xf>
    <xf numFmtId="0" fontId="5" fillId="13" borderId="0" xfId="0" applyFont="1" applyFill="1"/>
    <xf numFmtId="0" fontId="0" fillId="11" borderId="0" xfId="0" applyFill="1"/>
    <xf numFmtId="0" fontId="0" fillId="14" borderId="0" xfId="0" applyFill="1"/>
    <xf numFmtId="39" fontId="20" fillId="0" borderId="0" xfId="0" applyNumberFormat="1" applyFont="1" applyBorder="1"/>
    <xf numFmtId="39" fontId="0" fillId="0" borderId="0" xfId="0" applyNumberFormat="1" applyBorder="1"/>
    <xf numFmtId="39" fontId="13" fillId="0" borderId="0" xfId="0" applyNumberFormat="1" applyFont="1" applyBorder="1"/>
    <xf numFmtId="39" fontId="12" fillId="0" borderId="0" xfId="0" applyNumberFormat="1" applyFont="1" applyBorder="1"/>
    <xf numFmtId="10" fontId="0" fillId="0" borderId="0" xfId="0" applyNumberFormat="1" applyBorder="1"/>
    <xf numFmtId="10" fontId="12" fillId="0" borderId="0" xfId="0" applyNumberFormat="1" applyFont="1" applyBorder="1"/>
    <xf numFmtId="171" fontId="21" fillId="0" borderId="0" xfId="0" applyNumberFormat="1" applyFont="1"/>
    <xf numFmtId="0" fontId="12" fillId="12" borderId="0" xfId="0" applyFont="1" applyFill="1"/>
    <xf numFmtId="0" fontId="12" fillId="0" borderId="2" xfId="0" applyFont="1" applyBorder="1" applyAlignment="1">
      <alignment horizontal="right"/>
    </xf>
    <xf numFmtId="171" fontId="0" fillId="0" borderId="0" xfId="0" applyNumberFormat="1" applyAlignment="1">
      <alignment horizontal="right"/>
    </xf>
    <xf numFmtId="0" fontId="12" fillId="0" borderId="15" xfId="0" applyFont="1" applyBorder="1"/>
    <xf numFmtId="37" fontId="12" fillId="0" borderId="1" xfId="0" applyNumberFormat="1" applyFont="1" applyBorder="1"/>
    <xf numFmtId="10" fontId="12" fillId="0" borderId="1" xfId="0" applyNumberFormat="1" applyFont="1" applyBorder="1"/>
    <xf numFmtId="171" fontId="12" fillId="0" borderId="1" xfId="0" applyNumberFormat="1" applyFont="1" applyBorder="1" applyAlignment="1">
      <alignment horizontal="right"/>
    </xf>
    <xf numFmtId="171" fontId="12" fillId="0" borderId="16" xfId="0" applyNumberFormat="1" applyFont="1" applyBorder="1" applyAlignment="1">
      <alignment horizontal="right"/>
    </xf>
    <xf numFmtId="37" fontId="13" fillId="0" borderId="0" xfId="0" applyNumberFormat="1" applyFont="1"/>
    <xf numFmtId="10" fontId="13" fillId="0" borderId="0" xfId="0" applyNumberFormat="1" applyFont="1"/>
    <xf numFmtId="171" fontId="13" fillId="0" borderId="0" xfId="0" applyNumberFormat="1" applyFont="1" applyAlignment="1">
      <alignment horizontal="right"/>
    </xf>
    <xf numFmtId="0" fontId="12" fillId="8" borderId="15" xfId="0" applyFont="1" applyFill="1" applyBorder="1"/>
    <xf numFmtId="37" fontId="12" fillId="8" borderId="1" xfId="0" applyNumberFormat="1" applyFont="1" applyFill="1" applyBorder="1"/>
    <xf numFmtId="10" fontId="12" fillId="8" borderId="1" xfId="0" applyNumberFormat="1" applyFont="1" applyFill="1" applyBorder="1"/>
    <xf numFmtId="171" fontId="12" fillId="8" borderId="1" xfId="0" applyNumberFormat="1" applyFont="1" applyFill="1" applyBorder="1" applyAlignment="1">
      <alignment horizontal="right"/>
    </xf>
    <xf numFmtId="171" fontId="12" fillId="8" borderId="16" xfId="0" applyNumberFormat="1" applyFont="1" applyFill="1" applyBorder="1" applyAlignment="1">
      <alignment horizontal="right"/>
    </xf>
    <xf numFmtId="180" fontId="1" fillId="0" borderId="0" xfId="0" applyNumberFormat="1" applyFont="1"/>
    <xf numFmtId="2" fontId="0" fillId="0" borderId="0" xfId="0" applyNumberFormat="1"/>
    <xf numFmtId="3" fontId="0" fillId="0" borderId="0" xfId="0" applyNumberFormat="1"/>
    <xf numFmtId="39" fontId="0" fillId="0" borderId="0" xfId="0" applyNumberFormat="1" applyFill="1"/>
    <xf numFmtId="183" fontId="5" fillId="0" borderId="0" xfId="5" applyNumberFormat="1" applyFont="1" applyFill="1" applyBorder="1" applyAlignment="1">
      <alignment vertical="top"/>
    </xf>
    <xf numFmtId="174" fontId="13" fillId="8" borderId="0" xfId="0" applyNumberFormat="1" applyFont="1" applyFill="1"/>
    <xf numFmtId="2" fontId="4" fillId="0" borderId="0" xfId="0" applyNumberFormat="1" applyFont="1" applyFill="1" applyAlignment="1">
      <alignment horizontal="center"/>
    </xf>
    <xf numFmtId="39" fontId="5" fillId="8" borderId="0" xfId="0" applyNumberFormat="1" applyFont="1" applyFill="1" applyAlignment="1">
      <alignment horizontal="center"/>
    </xf>
    <xf numFmtId="3" fontId="25" fillId="0" borderId="0" xfId="0" applyNumberFormat="1" applyFont="1"/>
    <xf numFmtId="39" fontId="5" fillId="3" borderId="0" xfId="0" applyNumberFormat="1" applyFont="1" applyFill="1" applyAlignment="1">
      <alignment horizontal="center"/>
    </xf>
    <xf numFmtId="39" fontId="5" fillId="0" borderId="0" xfId="0" applyNumberFormat="1" applyFont="1" applyFill="1" applyAlignment="1">
      <alignment horizontal="center"/>
    </xf>
    <xf numFmtId="0" fontId="51" fillId="15" borderId="9" xfId="0" applyFont="1" applyFill="1" applyBorder="1" applyAlignment="1">
      <alignment horizontal="left" vertical="center" wrapText="1"/>
    </xf>
    <xf numFmtId="0" fontId="51" fillId="15" borderId="9" xfId="0" applyFont="1" applyFill="1" applyBorder="1" applyAlignment="1">
      <alignment horizontal="right" vertical="center" wrapText="1"/>
    </xf>
    <xf numFmtId="2" fontId="52" fillId="16" borderId="9" xfId="0" applyNumberFormat="1" applyFont="1" applyFill="1" applyBorder="1" applyAlignment="1">
      <alignment horizontal="right" vertical="center" wrapText="1"/>
    </xf>
    <xf numFmtId="10" fontId="52" fillId="16" borderId="9" xfId="0" applyNumberFormat="1" applyFont="1" applyFill="1" applyBorder="1" applyAlignment="1">
      <alignment horizontal="right" vertical="center" wrapText="1"/>
    </xf>
    <xf numFmtId="2" fontId="13" fillId="0" borderId="0" xfId="0" applyNumberFormat="1" applyFont="1"/>
    <xf numFmtId="2" fontId="52" fillId="17" borderId="9" xfId="0" applyNumberFormat="1" applyFont="1" applyFill="1" applyBorder="1" applyAlignment="1">
      <alignment horizontal="right" vertical="center" wrapText="1"/>
    </xf>
    <xf numFmtId="10" fontId="52" fillId="17" borderId="9" xfId="0" applyNumberFormat="1" applyFont="1" applyFill="1" applyBorder="1" applyAlignment="1">
      <alignment horizontal="right" vertical="center" wrapText="1"/>
    </xf>
    <xf numFmtId="17" fontId="53" fillId="16" borderId="9" xfId="0" applyNumberFormat="1" applyFont="1" applyFill="1" applyBorder="1" applyAlignment="1">
      <alignment horizontal="right" vertical="center" wrapText="1"/>
    </xf>
    <xf numFmtId="2" fontId="53" fillId="16" borderId="9" xfId="0" applyNumberFormat="1" applyFont="1" applyFill="1" applyBorder="1" applyAlignment="1">
      <alignment horizontal="right" vertical="center" wrapText="1"/>
    </xf>
    <xf numFmtId="17" fontId="53" fillId="17" borderId="9" xfId="0" applyNumberFormat="1" applyFont="1" applyFill="1" applyBorder="1" applyAlignment="1">
      <alignment horizontal="right" vertical="center" wrapText="1"/>
    </xf>
    <xf numFmtId="2" fontId="53" fillId="17" borderId="9" xfId="0" applyNumberFormat="1" applyFont="1" applyFill="1" applyBorder="1" applyAlignment="1">
      <alignment horizontal="right" vertical="center" wrapText="1"/>
    </xf>
    <xf numFmtId="39" fontId="6" fillId="0" borderId="0" xfId="0" applyNumberFormat="1" applyFont="1" applyAlignment="1">
      <alignment horizontal="right"/>
    </xf>
    <xf numFmtId="39" fontId="5" fillId="0" borderId="0" xfId="0" applyNumberFormat="1" applyFont="1" applyAlignment="1">
      <alignment horizontal="right"/>
    </xf>
    <xf numFmtId="39" fontId="6" fillId="0" borderId="0" xfId="0" applyNumberFormat="1" applyFont="1" applyFill="1" applyAlignment="1">
      <alignment horizontal="center"/>
    </xf>
    <xf numFmtId="2" fontId="1" fillId="0" borderId="0" xfId="0" applyNumberFormat="1" applyFont="1" applyFill="1" applyAlignment="1">
      <alignment horizontal="center"/>
    </xf>
    <xf numFmtId="186" fontId="0" fillId="0" borderId="0" xfId="0" applyNumberFormat="1"/>
    <xf numFmtId="9" fontId="6" fillId="8" borderId="0" xfId="0" applyNumberFormat="1" applyFont="1" applyFill="1" applyAlignment="1">
      <alignment horizontal="center"/>
    </xf>
    <xf numFmtId="174" fontId="0" fillId="5" borderId="0" xfId="0" applyNumberFormat="1" applyFill="1"/>
    <xf numFmtId="174" fontId="0" fillId="0" borderId="0" xfId="0" applyNumberFormat="1" applyFill="1"/>
    <xf numFmtId="169" fontId="0" fillId="5" borderId="0" xfId="0" applyNumberFormat="1" applyFill="1"/>
    <xf numFmtId="39" fontId="1" fillId="8" borderId="0" xfId="0" applyNumberFormat="1" applyFont="1" applyFill="1" applyAlignment="1">
      <alignment horizontal="center"/>
    </xf>
    <xf numFmtId="169" fontId="5" fillId="8" borderId="0" xfId="0" applyNumberFormat="1" applyFont="1" applyFill="1" applyAlignment="1">
      <alignment horizontal="center"/>
    </xf>
    <xf numFmtId="39" fontId="1" fillId="0" borderId="0" xfId="0" applyNumberFormat="1" applyFont="1" applyFill="1" applyAlignment="1">
      <alignment horizontal="center"/>
    </xf>
    <xf numFmtId="39" fontId="1" fillId="0" borderId="0" xfId="0" applyNumberFormat="1" applyFont="1" applyAlignment="1">
      <alignment horizontal="center"/>
    </xf>
    <xf numFmtId="0" fontId="55" fillId="0" borderId="0" xfId="0" applyFont="1"/>
    <xf numFmtId="39" fontId="1" fillId="9" borderId="0" xfId="0" applyNumberFormat="1" applyFont="1" applyFill="1"/>
    <xf numFmtId="0" fontId="1" fillId="19" borderId="22" xfId="0" applyFont="1" applyFill="1" applyBorder="1" applyAlignment="1">
      <alignment horizontal="center" vertical="center"/>
    </xf>
    <xf numFmtId="9" fontId="1" fillId="0" borderId="22" xfId="4"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1" fillId="0" borderId="22" xfId="0" applyFont="1" applyFill="1" applyBorder="1" applyAlignment="1">
      <alignment horizontal="center" vertical="top"/>
    </xf>
    <xf numFmtId="0" fontId="1" fillId="0" borderId="0" xfId="0" applyFont="1" applyAlignment="1">
      <alignment horizontal="left" vertical="center"/>
    </xf>
    <xf numFmtId="0" fontId="1" fillId="0" borderId="0" xfId="0" applyFont="1" applyAlignment="1">
      <alignment horizontal="right"/>
    </xf>
    <xf numFmtId="2" fontId="1" fillId="0" borderId="0" xfId="0" applyNumberFormat="1" applyFont="1" applyAlignment="1">
      <alignment horizontal="left"/>
    </xf>
    <xf numFmtId="0" fontId="1" fillId="0" borderId="26" xfId="0" applyFont="1" applyBorder="1" applyAlignment="1">
      <alignment wrapText="1"/>
    </xf>
    <xf numFmtId="0" fontId="1" fillId="0" borderId="22" xfId="0" applyFont="1" applyBorder="1" applyAlignment="1">
      <alignment wrapText="1"/>
    </xf>
    <xf numFmtId="0" fontId="1" fillId="0" borderId="27" xfId="0" applyFont="1" applyBorder="1" applyAlignment="1">
      <alignment wrapText="1"/>
    </xf>
    <xf numFmtId="0" fontId="1" fillId="0" borderId="0" xfId="0" applyFont="1" applyAlignment="1">
      <alignment wrapText="1"/>
    </xf>
    <xf numFmtId="3" fontId="1" fillId="0" borderId="22" xfId="0" applyNumberFormat="1" applyFont="1" applyBorder="1"/>
    <xf numFmtId="3" fontId="3" fillId="0" borderId="22" xfId="0" applyNumberFormat="1" applyFont="1" applyBorder="1"/>
    <xf numFmtId="3" fontId="1" fillId="0" borderId="27" xfId="0" applyNumberFormat="1" applyFont="1" applyBorder="1"/>
    <xf numFmtId="0" fontId="3" fillId="0" borderId="28" xfId="0" applyFont="1" applyBorder="1"/>
    <xf numFmtId="3" fontId="1" fillId="0" borderId="29" xfId="0" applyNumberFormat="1" applyFont="1" applyBorder="1"/>
    <xf numFmtId="3" fontId="3" fillId="0" borderId="29" xfId="0" applyNumberFormat="1" applyFont="1" applyBorder="1"/>
    <xf numFmtId="3" fontId="1" fillId="0" borderId="30" xfId="0" applyNumberFormat="1" applyFont="1" applyBorder="1"/>
    <xf numFmtId="0" fontId="1" fillId="0" borderId="37" xfId="0" applyFont="1" applyBorder="1"/>
    <xf numFmtId="0" fontId="3" fillId="0" borderId="35" xfId="0" applyFont="1" applyBorder="1"/>
    <xf numFmtId="0" fontId="3" fillId="0" borderId="0" xfId="0" applyFont="1" applyBorder="1"/>
    <xf numFmtId="3" fontId="1" fillId="0" borderId="0" xfId="0" applyNumberFormat="1" applyFont="1" applyBorder="1"/>
    <xf numFmtId="3" fontId="3" fillId="0" borderId="0" xfId="0" applyNumberFormat="1" applyFont="1" applyBorder="1"/>
    <xf numFmtId="0" fontId="3" fillId="0" borderId="37" xfId="0" applyFont="1" applyBorder="1"/>
    <xf numFmtId="187" fontId="1" fillId="5" borderId="0" xfId="0" applyNumberFormat="1" applyFont="1" applyFill="1" applyBorder="1"/>
    <xf numFmtId="0" fontId="1" fillId="5" borderId="37" xfId="0" applyFont="1" applyFill="1" applyBorder="1" applyAlignment="1">
      <alignment horizontal="right"/>
    </xf>
    <xf numFmtId="187" fontId="3" fillId="5" borderId="0" xfId="0" applyNumberFormat="1" applyFont="1" applyFill="1" applyBorder="1"/>
    <xf numFmtId="188" fontId="3" fillId="5" borderId="0" xfId="0" applyNumberFormat="1" applyFont="1" applyFill="1" applyBorder="1"/>
    <xf numFmtId="188" fontId="3" fillId="5" borderId="37" xfId="0" applyNumberFormat="1" applyFont="1" applyFill="1" applyBorder="1"/>
    <xf numFmtId="185" fontId="3" fillId="0" borderId="0" xfId="0" applyNumberFormat="1" applyFont="1"/>
    <xf numFmtId="188" fontId="1" fillId="21" borderId="0" xfId="0" applyNumberFormat="1" applyFont="1" applyFill="1" applyBorder="1"/>
    <xf numFmtId="0" fontId="1" fillId="21" borderId="37" xfId="0" applyFont="1" applyFill="1" applyBorder="1"/>
    <xf numFmtId="188" fontId="3" fillId="21" borderId="39" xfId="0" applyNumberFormat="1" applyFont="1" applyFill="1" applyBorder="1"/>
    <xf numFmtId="188" fontId="3" fillId="21" borderId="40" xfId="0" applyNumberFormat="1" applyFont="1" applyFill="1" applyBorder="1"/>
    <xf numFmtId="188" fontId="1" fillId="12" borderId="0" xfId="0" applyNumberFormat="1" applyFont="1" applyFill="1" applyBorder="1"/>
    <xf numFmtId="0" fontId="1" fillId="12" borderId="37" xfId="0" applyFont="1" applyFill="1" applyBorder="1"/>
    <xf numFmtId="0" fontId="3" fillId="12" borderId="39" xfId="0" applyFont="1" applyFill="1" applyBorder="1"/>
    <xf numFmtId="188" fontId="3" fillId="12" borderId="39" xfId="0" applyNumberFormat="1" applyFont="1" applyFill="1" applyBorder="1"/>
    <xf numFmtId="188" fontId="3" fillId="12" borderId="40" xfId="0" applyNumberFormat="1" applyFont="1" applyFill="1" applyBorder="1"/>
    <xf numFmtId="188" fontId="1" fillId="0" borderId="0" xfId="0" applyNumberFormat="1" applyFont="1"/>
    <xf numFmtId="10" fontId="5" fillId="9" borderId="0" xfId="0" applyNumberFormat="1" applyFont="1" applyFill="1" applyAlignment="1">
      <alignment horizontal="center"/>
    </xf>
    <xf numFmtId="0" fontId="4" fillId="0" borderId="0" xfId="0" applyFont="1"/>
    <xf numFmtId="10" fontId="1" fillId="9" borderId="0" xfId="0" applyNumberFormat="1" applyFont="1" applyFill="1"/>
    <xf numFmtId="164" fontId="3" fillId="0" borderId="0" xfId="0" applyNumberFormat="1" applyFont="1" applyFill="1"/>
    <xf numFmtId="169" fontId="3" fillId="0" borderId="0" xfId="0" applyNumberFormat="1" applyFont="1" applyFill="1"/>
    <xf numFmtId="14" fontId="1" fillId="0" borderId="0" xfId="0" applyNumberFormat="1" applyFont="1"/>
    <xf numFmtId="0" fontId="55" fillId="5" borderId="0" xfId="0" applyFont="1" applyFill="1"/>
    <xf numFmtId="10" fontId="4" fillId="8" borderId="0" xfId="0" applyNumberFormat="1" applyFont="1" applyFill="1" applyAlignment="1">
      <alignment horizontal="right"/>
    </xf>
    <xf numFmtId="37" fontId="6" fillId="3" borderId="0" xfId="0" applyNumberFormat="1" applyFont="1" applyFill="1" applyAlignment="1">
      <alignment horizontal="center"/>
    </xf>
    <xf numFmtId="165" fontId="4" fillId="0" borderId="0" xfId="0" applyNumberFormat="1" applyFont="1" applyFill="1" applyBorder="1" applyAlignment="1">
      <alignment horizontal="center"/>
    </xf>
    <xf numFmtId="164" fontId="6" fillId="0" borderId="0" xfId="0" applyNumberFormat="1" applyFont="1"/>
    <xf numFmtId="172" fontId="6" fillId="8" borderId="0" xfId="0" applyNumberFormat="1" applyFont="1" applyFill="1" applyAlignment="1">
      <alignment horizontal="center"/>
    </xf>
    <xf numFmtId="14" fontId="4" fillId="8" borderId="0" xfId="0" applyNumberFormat="1" applyFont="1" applyFill="1" applyAlignment="1">
      <alignment horizontal="center"/>
    </xf>
    <xf numFmtId="0" fontId="6" fillId="8" borderId="0" xfId="0" applyFont="1" applyFill="1" applyAlignment="1">
      <alignment horizontal="center"/>
    </xf>
    <xf numFmtId="37" fontId="6" fillId="8" borderId="0" xfId="0" applyNumberFormat="1" applyFont="1" applyFill="1" applyAlignment="1">
      <alignment horizontal="center"/>
    </xf>
    <xf numFmtId="14" fontId="5" fillId="8" borderId="0" xfId="0" applyNumberFormat="1" applyFont="1" applyFill="1" applyAlignment="1">
      <alignment horizontal="center"/>
    </xf>
    <xf numFmtId="10" fontId="1" fillId="0" borderId="0" xfId="0" applyNumberFormat="1" applyFont="1" applyFill="1"/>
    <xf numFmtId="169" fontId="6" fillId="8" borderId="0" xfId="0" applyNumberFormat="1" applyFont="1" applyFill="1" applyAlignment="1">
      <alignment horizontal="center"/>
    </xf>
    <xf numFmtId="9" fontId="6" fillId="3" borderId="0" xfId="0" applyNumberFormat="1" applyFont="1" applyFill="1" applyAlignment="1">
      <alignment horizontal="center"/>
    </xf>
    <xf numFmtId="167" fontId="6" fillId="3" borderId="0" xfId="0" applyNumberFormat="1" applyFont="1" applyFill="1" applyAlignment="1">
      <alignment horizontal="center"/>
    </xf>
    <xf numFmtId="0" fontId="6" fillId="8" borderId="0" xfId="0" applyNumberFormat="1" applyFont="1" applyFill="1" applyBorder="1" applyAlignment="1">
      <alignment horizontal="center"/>
    </xf>
    <xf numFmtId="9" fontId="6" fillId="8" borderId="0" xfId="0" applyNumberFormat="1" applyFont="1" applyFill="1" applyBorder="1" applyAlignment="1">
      <alignment horizontal="center"/>
    </xf>
    <xf numFmtId="10" fontId="6" fillId="8" borderId="0" xfId="0" applyNumberFormat="1" applyFont="1" applyFill="1" applyBorder="1" applyAlignment="1">
      <alignment horizontal="center"/>
    </xf>
    <xf numFmtId="2" fontId="6" fillId="8" borderId="0" xfId="0" applyNumberFormat="1" applyFont="1" applyFill="1" applyAlignment="1">
      <alignment horizontal="center"/>
    </xf>
    <xf numFmtId="1" fontId="6" fillId="8" borderId="0" xfId="0" applyNumberFormat="1" applyFont="1" applyFill="1" applyAlignment="1">
      <alignment horizontal="center"/>
    </xf>
    <xf numFmtId="165" fontId="32" fillId="5" borderId="1" xfId="0" applyNumberFormat="1" applyFont="1" applyFill="1" applyBorder="1"/>
    <xf numFmtId="9" fontId="5" fillId="8" borderId="0" xfId="0" applyNumberFormat="1" applyFont="1" applyFill="1" applyAlignment="1">
      <alignment horizontal="right"/>
    </xf>
    <xf numFmtId="39" fontId="6" fillId="5" borderId="0" xfId="0" applyNumberFormat="1" applyFont="1" applyFill="1"/>
    <xf numFmtId="0" fontId="3" fillId="21" borderId="0" xfId="0" applyFont="1" applyFill="1" applyBorder="1"/>
    <xf numFmtId="188" fontId="1" fillId="12" borderId="32" xfId="0" applyNumberFormat="1" applyFont="1" applyFill="1" applyBorder="1"/>
    <xf numFmtId="0" fontId="1" fillId="13" borderId="32" xfId="0" applyFont="1" applyFill="1" applyBorder="1"/>
    <xf numFmtId="0" fontId="1" fillId="13" borderId="39" xfId="0" applyFont="1" applyFill="1" applyBorder="1"/>
    <xf numFmtId="0" fontId="1" fillId="12" borderId="34" xfId="0" applyFont="1" applyFill="1" applyBorder="1"/>
    <xf numFmtId="39" fontId="8" fillId="0" borderId="0" xfId="0" applyNumberFormat="1" applyFont="1" applyFill="1" applyAlignment="1">
      <alignment horizontal="center"/>
    </xf>
    <xf numFmtId="39" fontId="4" fillId="5" borderId="0" xfId="0" applyNumberFormat="1" applyFont="1" applyFill="1"/>
    <xf numFmtId="39" fontId="32" fillId="0" borderId="0" xfId="0" applyNumberFormat="1" applyFont="1"/>
    <xf numFmtId="39" fontId="3" fillId="5" borderId="0" xfId="0" applyNumberFormat="1" applyFont="1" applyFill="1"/>
    <xf numFmtId="0" fontId="6" fillId="3" borderId="0" xfId="0" applyFont="1" applyFill="1" applyAlignment="1">
      <alignment horizontal="center"/>
    </xf>
    <xf numFmtId="14" fontId="6" fillId="8" borderId="0" xfId="0" applyNumberFormat="1" applyFont="1" applyFill="1" applyAlignment="1">
      <alignment horizontal="center"/>
    </xf>
    <xf numFmtId="10" fontId="6" fillId="9" borderId="0" xfId="0" applyNumberFormat="1" applyFont="1" applyFill="1"/>
    <xf numFmtId="39" fontId="6" fillId="0" borderId="0" xfId="0" applyNumberFormat="1" applyFont="1" applyAlignment="1">
      <alignment horizontal="center"/>
    </xf>
    <xf numFmtId="39" fontId="32" fillId="0" borderId="0" xfId="0" applyNumberFormat="1" applyFont="1" applyFill="1"/>
    <xf numFmtId="0" fontId="5" fillId="0" borderId="0" xfId="0" applyFont="1" applyFill="1" applyAlignment="1">
      <alignment horizontal="center"/>
    </xf>
    <xf numFmtId="0" fontId="1" fillId="5" borderId="0" xfId="0" applyFont="1" applyFill="1"/>
    <xf numFmtId="0" fontId="3" fillId="5" borderId="0" xfId="0" applyFont="1" applyFill="1"/>
    <xf numFmtId="188" fontId="1" fillId="22" borderId="0" xfId="0" applyNumberFormat="1" applyFont="1" applyFill="1" applyBorder="1"/>
    <xf numFmtId="0" fontId="1" fillId="22" borderId="0" xfId="0" applyFont="1" applyFill="1"/>
    <xf numFmtId="0" fontId="3" fillId="22" borderId="0" xfId="0" applyFont="1" applyFill="1"/>
    <xf numFmtId="0" fontId="21" fillId="0" borderId="0" xfId="0" applyFont="1" applyFill="1" applyAlignment="1">
      <alignment horizontal="left" indent="1"/>
    </xf>
    <xf numFmtId="0" fontId="21" fillId="0" borderId="0" xfId="0" applyFont="1" applyFill="1"/>
    <xf numFmtId="169" fontId="21" fillId="0" borderId="0" xfId="0" applyNumberFormat="1" applyFont="1" applyFill="1"/>
    <xf numFmtId="0" fontId="0" fillId="0" borderId="0" xfId="0" applyFill="1" applyAlignment="1">
      <alignment horizontal="left" indent="1"/>
    </xf>
    <xf numFmtId="169" fontId="20" fillId="0" borderId="0" xfId="0" applyNumberFormat="1" applyFont="1" applyFill="1"/>
    <xf numFmtId="0" fontId="12" fillId="0" borderId="0" xfId="0" applyFont="1" applyFill="1"/>
    <xf numFmtId="0" fontId="12" fillId="0" borderId="0" xfId="0" applyFont="1" applyFill="1" applyAlignment="1">
      <alignment horizontal="right"/>
    </xf>
    <xf numFmtId="39" fontId="20" fillId="0" borderId="0" xfId="0" applyNumberFormat="1" applyFont="1" applyFill="1"/>
    <xf numFmtId="10" fontId="0" fillId="0" borderId="0" xfId="0" applyNumberFormat="1" applyFill="1"/>
    <xf numFmtId="39" fontId="12" fillId="0" borderId="0" xfId="0" applyNumberFormat="1" applyFont="1" applyFill="1"/>
    <xf numFmtId="10" fontId="12" fillId="0" borderId="0" xfId="0" applyNumberFormat="1" applyFont="1" applyFill="1"/>
    <xf numFmtId="0" fontId="55" fillId="0" borderId="0" xfId="0" applyFont="1" applyFill="1" applyBorder="1"/>
    <xf numFmtId="165" fontId="2" fillId="0" borderId="0" xfId="0" applyNumberFormat="1" applyFont="1" applyFill="1" applyBorder="1"/>
    <xf numFmtId="14" fontId="1" fillId="0" borderId="0" xfId="0" applyNumberFormat="1" applyFont="1" applyFill="1" applyBorder="1"/>
    <xf numFmtId="37" fontId="4" fillId="0" borderId="0" xfId="0" applyNumberFormat="1" applyFont="1" applyFill="1" applyBorder="1"/>
    <xf numFmtId="39" fontId="1" fillId="0" borderId="0" xfId="0" applyNumberFormat="1" applyFont="1" applyFill="1" applyBorder="1"/>
    <xf numFmtId="39" fontId="1" fillId="0" borderId="0" xfId="0" applyNumberFormat="1" applyFont="1" applyFill="1" applyBorder="1" applyAlignment="1">
      <alignment horizontal="right"/>
    </xf>
    <xf numFmtId="10" fontId="1" fillId="0" borderId="0" xfId="0" applyNumberFormat="1" applyFont="1" applyFill="1" applyBorder="1"/>
    <xf numFmtId="39" fontId="6" fillId="0" borderId="0" xfId="0" applyNumberFormat="1" applyFont="1" applyFill="1" applyBorder="1" applyAlignment="1">
      <alignment horizontal="right"/>
    </xf>
    <xf numFmtId="39" fontId="5" fillId="0" borderId="0" xfId="0" applyNumberFormat="1" applyFont="1" applyFill="1" applyBorder="1" applyAlignment="1">
      <alignment horizontal="right"/>
    </xf>
    <xf numFmtId="39" fontId="5" fillId="0" borderId="0" xfId="0" applyNumberFormat="1" applyFont="1" applyFill="1" applyBorder="1"/>
    <xf numFmtId="37" fontId="8" fillId="0" borderId="0" xfId="0" applyNumberFormat="1" applyFont="1" applyFill="1" applyBorder="1"/>
    <xf numFmtId="170" fontId="4" fillId="0" borderId="0" xfId="0" applyNumberFormat="1" applyFont="1" applyFill="1" applyBorder="1"/>
    <xf numFmtId="169" fontId="14" fillId="0" borderId="0" xfId="0" applyNumberFormat="1" applyFont="1" applyFill="1" applyBorder="1"/>
    <xf numFmtId="37" fontId="5" fillId="0" borderId="0" xfId="0" applyNumberFormat="1" applyFont="1" applyFill="1" applyBorder="1"/>
    <xf numFmtId="9" fontId="4" fillId="0" borderId="0" xfId="0" applyNumberFormat="1" applyFont="1" applyFill="1" applyBorder="1"/>
    <xf numFmtId="169" fontId="12" fillId="0" borderId="0" xfId="0" applyNumberFormat="1" applyFont="1" applyFill="1" applyBorder="1"/>
    <xf numFmtId="0" fontId="3" fillId="0" borderId="0" xfId="0" applyFont="1" applyFill="1" applyBorder="1"/>
    <xf numFmtId="2" fontId="2" fillId="0" borderId="0" xfId="0" applyNumberFormat="1" applyFont="1" applyFill="1" applyBorder="1"/>
    <xf numFmtId="2" fontId="3" fillId="0" borderId="0" xfId="0" applyNumberFormat="1" applyFont="1" applyFill="1" applyBorder="1"/>
    <xf numFmtId="4" fontId="1" fillId="0" borderId="0" xfId="0" applyNumberFormat="1" applyFont="1" applyFill="1" applyBorder="1"/>
    <xf numFmtId="9" fontId="4" fillId="0" borderId="0" xfId="0" applyNumberFormat="1" applyFont="1" applyFill="1" applyBorder="1" applyAlignment="1">
      <alignment horizontal="right"/>
    </xf>
    <xf numFmtId="39" fontId="3" fillId="0" borderId="0" xfId="0" applyNumberFormat="1" applyFont="1" applyFill="1" applyBorder="1"/>
    <xf numFmtId="167" fontId="1" fillId="0" borderId="0" xfId="0" applyNumberFormat="1" applyFont="1" applyFill="1" applyBorder="1"/>
    <xf numFmtId="39" fontId="4" fillId="0" borderId="0" xfId="0" applyNumberFormat="1" applyFont="1" applyFill="1" applyBorder="1"/>
    <xf numFmtId="39" fontId="3" fillId="0" borderId="0" xfId="0" applyNumberFormat="1" applyFont="1" applyFill="1" applyBorder="1" applyAlignment="1">
      <alignment horizontal="right"/>
    </xf>
    <xf numFmtId="39" fontId="2" fillId="0" borderId="0" xfId="0" applyNumberFormat="1" applyFont="1" applyFill="1" applyBorder="1"/>
    <xf numFmtId="37" fontId="1" fillId="0" borderId="0" xfId="0" applyNumberFormat="1" applyFont="1" applyFill="1" applyBorder="1"/>
    <xf numFmtId="9" fontId="5" fillId="0" borderId="0" xfId="0" applyNumberFormat="1" applyFont="1" applyFill="1" applyBorder="1"/>
    <xf numFmtId="10" fontId="4" fillId="0" borderId="0" xfId="0" applyNumberFormat="1" applyFont="1" applyFill="1" applyBorder="1" applyAlignment="1">
      <alignment horizontal="right"/>
    </xf>
    <xf numFmtId="9" fontId="1" fillId="0" borderId="0" xfId="0" applyNumberFormat="1" applyFont="1" applyFill="1" applyBorder="1"/>
    <xf numFmtId="2" fontId="1" fillId="0" borderId="0" xfId="0" applyNumberFormat="1" applyFont="1" applyFill="1" applyBorder="1"/>
    <xf numFmtId="39" fontId="11" fillId="0" borderId="0" xfId="0" applyNumberFormat="1" applyFont="1" applyFill="1" applyBorder="1"/>
    <xf numFmtId="0" fontId="18" fillId="0" borderId="0" xfId="0" applyFont="1" applyFill="1" applyBorder="1"/>
    <xf numFmtId="172" fontId="1" fillId="0" borderId="0" xfId="0" applyNumberFormat="1" applyFont="1" applyFill="1" applyBorder="1" applyAlignment="1">
      <alignment horizontal="right"/>
    </xf>
    <xf numFmtId="172" fontId="1" fillId="0" borderId="0" xfId="0" applyNumberFormat="1" applyFont="1" applyFill="1" applyBorder="1"/>
    <xf numFmtId="0" fontId="12" fillId="0" borderId="0" xfId="0" applyFont="1" applyFill="1" applyBorder="1" applyAlignment="1">
      <alignment horizontal="right"/>
    </xf>
    <xf numFmtId="174" fontId="20" fillId="0" borderId="0" xfId="0" applyNumberFormat="1" applyFont="1" applyFill="1" applyBorder="1"/>
    <xf numFmtId="169" fontId="20" fillId="0" borderId="0" xfId="0" applyNumberFormat="1" applyFont="1" applyFill="1" applyBorder="1"/>
    <xf numFmtId="39" fontId="20" fillId="0" borderId="0" xfId="0" applyNumberFormat="1" applyFont="1" applyFill="1" applyBorder="1"/>
    <xf numFmtId="0" fontId="0" fillId="0" borderId="0" xfId="0" applyFill="1" applyBorder="1"/>
    <xf numFmtId="167" fontId="20" fillId="0" borderId="0" xfId="0" applyNumberFormat="1" applyFont="1" applyFill="1" applyBorder="1"/>
    <xf numFmtId="174" fontId="21" fillId="0" borderId="0" xfId="0" applyNumberFormat="1" applyFont="1" applyFill="1" applyBorder="1"/>
    <xf numFmtId="174" fontId="65" fillId="0" borderId="0" xfId="0" applyNumberFormat="1" applyFont="1"/>
    <xf numFmtId="39" fontId="1" fillId="23" borderId="0" xfId="0" applyNumberFormat="1" applyFont="1" applyFill="1"/>
    <xf numFmtId="39" fontId="4" fillId="23" borderId="0" xfId="0" applyNumberFormat="1" applyFont="1" applyFill="1"/>
    <xf numFmtId="39" fontId="1" fillId="23" borderId="0" xfId="0" applyNumberFormat="1" applyFont="1" applyFill="1" applyBorder="1"/>
    <xf numFmtId="0" fontId="1" fillId="24" borderId="0" xfId="0" applyFont="1" applyFill="1"/>
    <xf numFmtId="2" fontId="53" fillId="5" borderId="9" xfId="0" applyNumberFormat="1" applyFont="1" applyFill="1" applyBorder="1" applyAlignment="1">
      <alignment horizontal="right" vertical="center" wrapText="1"/>
    </xf>
    <xf numFmtId="0" fontId="0" fillId="5" borderId="0" xfId="0" applyFill="1"/>
    <xf numFmtId="0" fontId="5" fillId="0" borderId="11" xfId="0" applyFont="1" applyBorder="1" applyAlignment="1">
      <alignment horizontal="justify" vertical="center" wrapText="1"/>
    </xf>
    <xf numFmtId="0" fontId="3" fillId="0" borderId="35" xfId="0" applyFont="1" applyBorder="1" applyAlignment="1">
      <alignment horizontal="left"/>
    </xf>
    <xf numFmtId="0" fontId="3" fillId="0" borderId="0" xfId="0" applyFont="1" applyBorder="1" applyAlignment="1">
      <alignment horizontal="left"/>
    </xf>
    <xf numFmtId="0" fontId="3" fillId="18" borderId="22" xfId="0" applyFont="1" applyFill="1" applyBorder="1" applyAlignment="1">
      <alignment horizontal="center" vertical="center"/>
    </xf>
    <xf numFmtId="0" fontId="11" fillId="0" borderId="0" xfId="0" applyFont="1" applyAlignment="1">
      <alignment horizontal="left"/>
    </xf>
    <xf numFmtId="0" fontId="3" fillId="20" borderId="23" xfId="0" applyFont="1" applyFill="1" applyBorder="1" applyAlignment="1">
      <alignment horizontal="center"/>
    </xf>
    <xf numFmtId="0" fontId="3" fillId="20" borderId="24" xfId="0" applyFont="1" applyFill="1" applyBorder="1" applyAlignment="1">
      <alignment horizontal="center"/>
    </xf>
    <xf numFmtId="0" fontId="3" fillId="20" borderId="25" xfId="0" applyFont="1" applyFill="1" applyBorder="1" applyAlignment="1">
      <alignment horizontal="center"/>
    </xf>
    <xf numFmtId="0" fontId="1" fillId="19" borderId="35" xfId="0" applyFont="1" applyFill="1" applyBorder="1" applyAlignment="1">
      <alignment horizontal="center" vertical="center"/>
    </xf>
    <xf numFmtId="0" fontId="1" fillId="19" borderId="36" xfId="0" applyFont="1" applyFill="1" applyBorder="1" applyAlignment="1">
      <alignment horizontal="center" vertical="center"/>
    </xf>
    <xf numFmtId="0" fontId="3" fillId="12" borderId="32" xfId="0" applyFont="1" applyFill="1" applyBorder="1" applyAlignment="1">
      <alignment horizontal="center"/>
    </xf>
    <xf numFmtId="0" fontId="12" fillId="12" borderId="32" xfId="0" applyFont="1" applyFill="1" applyBorder="1" applyAlignment="1">
      <alignment horizontal="center"/>
    </xf>
    <xf numFmtId="0" fontId="12" fillId="12" borderId="33" xfId="0" applyFont="1" applyFill="1" applyBorder="1" applyAlignment="1">
      <alignment horizontal="center"/>
    </xf>
    <xf numFmtId="0" fontId="1" fillId="12" borderId="31" xfId="0" applyFont="1" applyFill="1" applyBorder="1" applyAlignment="1">
      <alignment horizontal="center"/>
    </xf>
    <xf numFmtId="0" fontId="1" fillId="12" borderId="32" xfId="0" applyFont="1" applyFill="1" applyBorder="1" applyAlignment="1">
      <alignment horizontal="center"/>
    </xf>
    <xf numFmtId="0" fontId="3" fillId="12" borderId="38" xfId="0" applyFont="1" applyFill="1" applyBorder="1" applyAlignment="1">
      <alignment horizontal="right"/>
    </xf>
    <xf numFmtId="0" fontId="3" fillId="12" borderId="39" xfId="0" applyFont="1" applyFill="1" applyBorder="1" applyAlignment="1">
      <alignment horizontal="right"/>
    </xf>
    <xf numFmtId="0" fontId="1" fillId="5" borderId="35" xfId="0" applyFont="1" applyFill="1" applyBorder="1" applyAlignment="1">
      <alignment horizontal="center"/>
    </xf>
    <xf numFmtId="0" fontId="1" fillId="5" borderId="0" xfId="0" applyFont="1" applyFill="1" applyBorder="1" applyAlignment="1">
      <alignment horizontal="center"/>
    </xf>
    <xf numFmtId="0" fontId="3" fillId="5" borderId="35" xfId="0" applyFont="1" applyFill="1" applyBorder="1" applyAlignment="1">
      <alignment horizontal="right"/>
    </xf>
    <xf numFmtId="0" fontId="3" fillId="5" borderId="0" xfId="0" applyFont="1" applyFill="1" applyBorder="1" applyAlignment="1">
      <alignment horizontal="right"/>
    </xf>
    <xf numFmtId="0" fontId="1" fillId="21" borderId="35" xfId="0" applyFont="1" applyFill="1" applyBorder="1" applyAlignment="1">
      <alignment horizontal="center"/>
    </xf>
    <xf numFmtId="0" fontId="1" fillId="21" borderId="0" xfId="0" applyFont="1" applyFill="1" applyBorder="1" applyAlignment="1">
      <alignment horizontal="center"/>
    </xf>
    <xf numFmtId="0" fontId="3" fillId="21" borderId="35" xfId="0" applyFont="1" applyFill="1" applyBorder="1" applyAlignment="1">
      <alignment horizontal="right"/>
    </xf>
    <xf numFmtId="0" fontId="3" fillId="21" borderId="0" xfId="0" applyFont="1" applyFill="1" applyBorder="1" applyAlignment="1">
      <alignment horizontal="right"/>
    </xf>
  </cellXfs>
  <cellStyles count="7">
    <cellStyle name="Hyperlink" xfId="3" builtinId="8"/>
    <cellStyle name="Milliers_AMMC - Mont-Wright Expansion - Estimation BBA - FEL-1 (Detail Angelo)" xfId="6" xr:uid="{00000000-0005-0000-0000-000001000000}"/>
    <cellStyle name="Normal" xfId="0" builtinId="0"/>
    <cellStyle name="Normal 2" xfId="2" xr:uid="{00000000-0005-0000-0000-000003000000}"/>
    <cellStyle name="Normal 4" xfId="1" xr:uid="{00000000-0005-0000-0000-000004000000}"/>
    <cellStyle name="Normal_AMMC - Mont-Wright Expansion - Estimation BBA - FEL-1 (Detail Angelo)" xfId="5" xr:uid="{00000000-0005-0000-0000-000005000000}"/>
    <cellStyle name="Percent" xfId="4" builtinId="5"/>
  </cellStyles>
  <dxfs count="0"/>
  <tableStyles count="0" defaultTableStyle="TableStyleMedium2" defaultPivotStyle="PivotStyleLight16"/>
  <colors>
    <mruColors>
      <color rgb="FF0000FF"/>
      <color rgb="FF008000"/>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model'!$C$1818:$C$1831</c:f>
              <c:strCache>
                <c:ptCount val="14"/>
                <c:pt idx="0">
                  <c:v>Iron Ore Pellets</c:v>
                </c:pt>
                <c:pt idx="1">
                  <c:v>Natural Gas</c:v>
                </c:pt>
                <c:pt idx="2">
                  <c:v>Electrodes</c:v>
                </c:pt>
                <c:pt idx="3">
                  <c:v>Electricity</c:v>
                </c:pt>
                <c:pt idx="4">
                  <c:v>Labor - ex SGA</c:v>
                </c:pt>
                <c:pt idx="5">
                  <c:v>Refractories</c:v>
                </c:pt>
                <c:pt idx="6">
                  <c:v>Lime</c:v>
                </c:pt>
                <c:pt idx="7">
                  <c:v>Maintenance</c:v>
                </c:pt>
                <c:pt idx="8">
                  <c:v>O2, N2, others</c:v>
                </c:pt>
                <c:pt idx="9">
                  <c:v>Slag processing</c:v>
                </c:pt>
                <c:pt idx="10">
                  <c:v>General services and mobile equipment</c:v>
                </c:pt>
                <c:pt idx="11">
                  <c:v>Industrial Water</c:v>
                </c:pt>
                <c:pt idx="12">
                  <c:v>Briquettes</c:v>
                </c:pt>
                <c:pt idx="13">
                  <c:v>Other gases and supplies</c:v>
                </c:pt>
              </c:strCache>
            </c:strRef>
          </c:cat>
          <c:val>
            <c:numRef>
              <c:f>'Plant model'!$H$1818:$H$1831</c:f>
              <c:numCache>
                <c:formatCode>0.00%</c:formatCode>
                <c:ptCount val="14"/>
                <c:pt idx="0">
                  <c:v>0.57178363053377235</c:v>
                </c:pt>
                <c:pt idx="1">
                  <c:v>0.14102649705098116</c:v>
                </c:pt>
                <c:pt idx="2">
                  <c:v>7.2839798580019433E-2</c:v>
                </c:pt>
                <c:pt idx="3">
                  <c:v>6.4690236045598579E-2</c:v>
                </c:pt>
                <c:pt idx="4">
                  <c:v>4.4721971083189892E-2</c:v>
                </c:pt>
                <c:pt idx="5">
                  <c:v>3.0362303313253597E-2</c:v>
                </c:pt>
                <c:pt idx="6">
                  <c:v>2.4255652927146477E-2</c:v>
                </c:pt>
                <c:pt idx="7">
                  <c:v>1.7227664112945067E-2</c:v>
                </c:pt>
                <c:pt idx="8">
                  <c:v>1.5326707617879095E-2</c:v>
                </c:pt>
                <c:pt idx="9">
                  <c:v>9.6362854521212307E-3</c:v>
                </c:pt>
                <c:pt idx="10">
                  <c:v>5.3112353131264164E-3</c:v>
                </c:pt>
                <c:pt idx="11">
                  <c:v>1.3430678969410254E-3</c:v>
                </c:pt>
                <c:pt idx="12">
                  <c:v>9.0978435128565797E-4</c:v>
                </c:pt>
                <c:pt idx="13">
                  <c:v>5.6516572174018093E-4</c:v>
                </c:pt>
              </c:numCache>
            </c:numRef>
          </c:val>
          <c:extLst>
            <c:ext xmlns:c16="http://schemas.microsoft.com/office/drawing/2014/chart" uri="{C3380CC4-5D6E-409C-BE32-E72D297353CC}">
              <c16:uniqueId val="{00000000-2A95-40D4-B228-1EDB90D6E9F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2'!$B$31:$B$44</c:f>
              <c:strCache>
                <c:ptCount val="14"/>
                <c:pt idx="0">
                  <c:v>Iron Ore Pellets</c:v>
                </c:pt>
                <c:pt idx="1">
                  <c:v>Natural Gas</c:v>
                </c:pt>
                <c:pt idx="2">
                  <c:v>Electrodes</c:v>
                </c:pt>
                <c:pt idx="3">
                  <c:v>Electricity</c:v>
                </c:pt>
                <c:pt idx="4">
                  <c:v>Labor - ex SGA</c:v>
                </c:pt>
                <c:pt idx="5">
                  <c:v>Refractories</c:v>
                </c:pt>
                <c:pt idx="6">
                  <c:v>Lime</c:v>
                </c:pt>
                <c:pt idx="7">
                  <c:v>Maintenance</c:v>
                </c:pt>
                <c:pt idx="8">
                  <c:v>O2, N2, others</c:v>
                </c:pt>
                <c:pt idx="9">
                  <c:v>Slag processing</c:v>
                </c:pt>
                <c:pt idx="10">
                  <c:v>General services and mobile equipment</c:v>
                </c:pt>
                <c:pt idx="11">
                  <c:v>Industrial Water</c:v>
                </c:pt>
                <c:pt idx="12">
                  <c:v>Briquettes</c:v>
                </c:pt>
                <c:pt idx="13">
                  <c:v>Other gases and supplies</c:v>
                </c:pt>
              </c:strCache>
            </c:strRef>
          </c:cat>
          <c:val>
            <c:numRef>
              <c:f>'Charts 2'!$D$31:$D$44</c:f>
              <c:numCache>
                <c:formatCode>#,##0.00_);\(#,##0.00\)</c:formatCode>
                <c:ptCount val="14"/>
                <c:pt idx="0">
                  <c:v>188.39710433486593</c:v>
                </c:pt>
                <c:pt idx="1">
                  <c:v>46.466849101803838</c:v>
                </c:pt>
                <c:pt idx="2">
                  <c:v>24.000000000000007</c:v>
                </c:pt>
                <c:pt idx="3">
                  <c:v>21.314798988478366</c:v>
                </c:pt>
                <c:pt idx="4">
                  <c:v>14.735451318106477</c:v>
                </c:pt>
                <c:pt idx="5">
                  <c:v>10.004081473640616</c:v>
                </c:pt>
                <c:pt idx="6">
                  <c:v>7.9920000000000035</c:v>
                </c:pt>
                <c:pt idx="7">
                  <c:v>5.6763465409155911</c:v>
                </c:pt>
                <c:pt idx="8">
                  <c:v>5.0500000000000034</c:v>
                </c:pt>
                <c:pt idx="9">
                  <c:v>3.1750616470588251</c:v>
                </c:pt>
                <c:pt idx="10">
                  <c:v>1.7500000000000002</c:v>
                </c:pt>
                <c:pt idx="11">
                  <c:v>0.44252771362586624</c:v>
                </c:pt>
                <c:pt idx="12">
                  <c:v>0.29976503033391516</c:v>
                </c:pt>
                <c:pt idx="13">
                  <c:v>0.18621656822490251</c:v>
                </c:pt>
              </c:numCache>
            </c:numRef>
          </c:val>
          <c:extLst>
            <c:ext xmlns:c16="http://schemas.microsoft.com/office/drawing/2014/chart" uri="{C3380CC4-5D6E-409C-BE32-E72D297353CC}">
              <c16:uniqueId val="{00000002-0A59-4310-A810-8204F001B209}"/>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2'!$B$59:$B$64</c:f>
              <c:strCache>
                <c:ptCount val="6"/>
                <c:pt idx="0">
                  <c:v>Raw Material Costs</c:v>
                </c:pt>
                <c:pt idx="1">
                  <c:v>Shaft Furnace</c:v>
                </c:pt>
                <c:pt idx="2">
                  <c:v>EAF</c:v>
                </c:pt>
                <c:pt idx="3">
                  <c:v>Labor</c:v>
                </c:pt>
                <c:pt idx="4">
                  <c:v>Auxiliaries</c:v>
                </c:pt>
                <c:pt idx="5">
                  <c:v>Storage &amp; Cold Processing</c:v>
                </c:pt>
              </c:strCache>
            </c:strRef>
          </c:cat>
          <c:val>
            <c:numRef>
              <c:f>'Charts 2'!$D$59:$D$64</c:f>
              <c:numCache>
                <c:formatCode>#,##0.00_);\(#,##0.00\)</c:formatCode>
                <c:ptCount val="6"/>
                <c:pt idx="0">
                  <c:v>196.68886936519988</c:v>
                </c:pt>
                <c:pt idx="1">
                  <c:v>57.372283091854655</c:v>
                </c:pt>
                <c:pt idx="2">
                  <c:v>53.190657026484601</c:v>
                </c:pt>
                <c:pt idx="3">
                  <c:v>14.735451318106477</c:v>
                </c:pt>
                <c:pt idx="4">
                  <c:v>7.1048781678586135</c:v>
                </c:pt>
                <c:pt idx="5">
                  <c:v>0.3980637475502059</c:v>
                </c:pt>
              </c:numCache>
            </c:numRef>
          </c:val>
          <c:extLst>
            <c:ext xmlns:c16="http://schemas.microsoft.com/office/drawing/2014/chart" uri="{C3380CC4-5D6E-409C-BE32-E72D297353CC}">
              <c16:uniqueId val="{00000000-61F0-4421-8515-7956135ED777}"/>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7682002582059"/>
          <c:y val="5.0727096051653126E-2"/>
          <c:w val="0.84189086884259789"/>
          <c:h val="0.78014289008673487"/>
        </c:manualLayout>
      </c:layout>
      <c:lineChart>
        <c:grouping val="standard"/>
        <c:varyColors val="0"/>
        <c:ser>
          <c:idx val="0"/>
          <c:order val="0"/>
          <c:tx>
            <c:strRef>
              <c:f>'Charts 2'!$B$187</c:f>
              <c:strCache>
                <c:ptCount val="1"/>
                <c:pt idx="0">
                  <c:v>Opex</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2'!$O$187:$U$187</c:f>
              <c:numCache>
                <c:formatCode>#,##0.0_);\(#,##0.0\)</c:formatCode>
                <c:ptCount val="7"/>
                <c:pt idx="0">
                  <c:v>692.88979497631897</c:v>
                </c:pt>
                <c:pt idx="1">
                  <c:v>542.80201031542958</c:v>
                </c:pt>
                <c:pt idx="2">
                  <c:v>390.07591749362865</c:v>
                </c:pt>
                <c:pt idx="3">
                  <c:v>605.81638501597206</c:v>
                </c:pt>
                <c:pt idx="4">
                  <c:v>84.550802706939407</c:v>
                </c:pt>
                <c:pt idx="5">
                  <c:v>-68.211754686405087</c:v>
                </c:pt>
                <c:pt idx="6">
                  <c:v>-220.97431207974969</c:v>
                </c:pt>
              </c:numCache>
            </c:numRef>
          </c:val>
          <c:smooth val="0"/>
          <c:extLst>
            <c:ext xmlns:c16="http://schemas.microsoft.com/office/drawing/2014/chart" uri="{C3380CC4-5D6E-409C-BE32-E72D297353CC}">
              <c16:uniqueId val="{00000000-2958-4216-8023-9A191F8655F2}"/>
            </c:ext>
          </c:extLst>
        </c:ser>
        <c:ser>
          <c:idx val="1"/>
          <c:order val="1"/>
          <c:tx>
            <c:strRef>
              <c:f>'Charts 2'!$B$188</c:f>
              <c:strCache>
                <c:ptCount val="1"/>
                <c:pt idx="0">
                  <c:v>Iron ore price</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2'!$O$188:$U$188</c:f>
              <c:numCache>
                <c:formatCode>#,##0.0_);\(#,##0.0\)</c:formatCode>
                <c:ptCount val="7"/>
                <c:pt idx="0">
                  <c:v>297.51234170301137</c:v>
                </c:pt>
                <c:pt idx="1">
                  <c:v>277.44601450210246</c:v>
                </c:pt>
                <c:pt idx="2">
                  <c:v>257.3796873011932</c:v>
                </c:pt>
                <c:pt idx="3">
                  <c:v>605.81638501597206</c:v>
                </c:pt>
                <c:pt idx="4">
                  <c:v>217.24703289937545</c:v>
                </c:pt>
                <c:pt idx="5">
                  <c:v>197.18070569846694</c:v>
                </c:pt>
                <c:pt idx="6">
                  <c:v>177.11437849755782</c:v>
                </c:pt>
              </c:numCache>
            </c:numRef>
          </c:val>
          <c:smooth val="0"/>
          <c:extLst>
            <c:ext xmlns:c16="http://schemas.microsoft.com/office/drawing/2014/chart" uri="{C3380CC4-5D6E-409C-BE32-E72D297353CC}">
              <c16:uniqueId val="{00000001-2958-4216-8023-9A191F8655F2}"/>
            </c:ext>
          </c:extLst>
        </c:ser>
        <c:ser>
          <c:idx val="2"/>
          <c:order val="2"/>
          <c:tx>
            <c:strRef>
              <c:f>'Charts 2'!$B$189</c:f>
              <c:strCache>
                <c:ptCount val="1"/>
                <c:pt idx="0">
                  <c:v>Capex</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2'!$O$189:$U$189</c:f>
              <c:numCache>
                <c:formatCode>#,##0.0_);\(#,##0.0\)</c:formatCode>
                <c:ptCount val="7"/>
                <c:pt idx="0">
                  <c:v>356.40258549674274</c:v>
                </c:pt>
                <c:pt idx="1">
                  <c:v>316.7408104999509</c:v>
                </c:pt>
                <c:pt idx="2">
                  <c:v>277.05492910973123</c:v>
                </c:pt>
                <c:pt idx="3">
                  <c:v>605.81638501597206</c:v>
                </c:pt>
                <c:pt idx="4">
                  <c:v>197.95205229272088</c:v>
                </c:pt>
                <c:pt idx="5">
                  <c:v>158.21048334211562</c:v>
                </c:pt>
                <c:pt idx="6">
                  <c:v>118.46891435160641</c:v>
                </c:pt>
              </c:numCache>
            </c:numRef>
          </c:val>
          <c:smooth val="0"/>
          <c:extLst>
            <c:ext xmlns:c16="http://schemas.microsoft.com/office/drawing/2014/chart" uri="{C3380CC4-5D6E-409C-BE32-E72D297353CC}">
              <c16:uniqueId val="{00000002-2958-4216-8023-9A191F8655F2}"/>
            </c:ext>
          </c:extLst>
        </c:ser>
        <c:ser>
          <c:idx val="3"/>
          <c:order val="3"/>
          <c:tx>
            <c:strRef>
              <c:f>'Charts 2'!$B$190</c:f>
              <c:strCache>
                <c:ptCount val="1"/>
                <c:pt idx="0">
                  <c:v>FX Rate</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2'!$O$190:$U$190</c:f>
              <c:numCache>
                <c:formatCode>#,##0.0_);\(#,##0.0\)</c:formatCode>
                <c:ptCount val="7"/>
                <c:pt idx="0">
                  <c:v>335.75834850747401</c:v>
                </c:pt>
                <c:pt idx="1">
                  <c:v>302.94335237174403</c:v>
                </c:pt>
                <c:pt idx="2">
                  <c:v>270.12835623601387</c:v>
                </c:pt>
                <c:pt idx="3">
                  <c:v>605.81638501597206</c:v>
                </c:pt>
                <c:pt idx="4">
                  <c:v>204.49836396455376</c:v>
                </c:pt>
                <c:pt idx="5">
                  <c:v>171.68336782882363</c:v>
                </c:pt>
                <c:pt idx="6">
                  <c:v>138.86837169309371</c:v>
                </c:pt>
              </c:numCache>
            </c:numRef>
          </c:val>
          <c:smooth val="0"/>
          <c:extLst>
            <c:ext xmlns:c16="http://schemas.microsoft.com/office/drawing/2014/chart" uri="{C3380CC4-5D6E-409C-BE32-E72D297353CC}">
              <c16:uniqueId val="{00000003-2958-4216-8023-9A191F8655F2}"/>
            </c:ext>
          </c:extLst>
        </c:ser>
        <c:dLbls>
          <c:showLegendKey val="0"/>
          <c:showVal val="0"/>
          <c:showCatName val="0"/>
          <c:showSerName val="0"/>
          <c:showPercent val="0"/>
          <c:showBubbleSize val="0"/>
        </c:dLbls>
        <c:smooth val="0"/>
        <c:axId val="668241168"/>
        <c:axId val="668245168"/>
      </c:lineChart>
      <c:catAx>
        <c:axId val="668241168"/>
        <c:scaling>
          <c:orientation val="minMax"/>
        </c:scaling>
        <c:delete val="0"/>
        <c:axPos val="b"/>
        <c:numFmt formatCode="0.0%" sourceLinked="1"/>
        <c:majorTickMark val="out"/>
        <c:minorTickMark val="none"/>
        <c:tickLblPos val="nextTo"/>
        <c:crossAx val="668245168"/>
        <c:crosses val="autoZero"/>
        <c:auto val="1"/>
        <c:lblAlgn val="ctr"/>
        <c:lblOffset val="100"/>
        <c:noMultiLvlLbl val="0"/>
      </c:catAx>
      <c:valAx>
        <c:axId val="668245168"/>
        <c:scaling>
          <c:orientation val="minMax"/>
        </c:scaling>
        <c:delete val="0"/>
        <c:axPos val="l"/>
        <c:majorGridlines/>
        <c:title>
          <c:tx>
            <c:rich>
              <a:bodyPr/>
              <a:lstStyle/>
              <a:p>
                <a:pPr>
                  <a:defRPr/>
                </a:pPr>
                <a:r>
                  <a:rPr lang="en-US"/>
                  <a:t>NPV (C$m)</a:t>
                </a:r>
              </a:p>
            </c:rich>
          </c:tx>
          <c:overlay val="0"/>
        </c:title>
        <c:numFmt formatCode="#,##0.0_);\(#,##0.0\)" sourceLinked="1"/>
        <c:majorTickMark val="out"/>
        <c:minorTickMark val="none"/>
        <c:tickLblPos val="nextTo"/>
        <c:crossAx val="668241168"/>
        <c:crosses val="autoZero"/>
        <c:crossBetween val="between"/>
      </c:valAx>
    </c:plotArea>
    <c:legend>
      <c:legendPos val="b"/>
      <c:layout>
        <c:manualLayout>
          <c:xMode val="edge"/>
          <c:yMode val="edge"/>
          <c:x val="3.3533730000902423E-3"/>
          <c:y val="0.87702811068711217"/>
          <c:w val="0.9966466269999098"/>
          <c:h val="0.122971889312887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5838527127424"/>
          <c:y val="5.0727096051653126E-2"/>
          <c:w val="0.84970930359714425"/>
          <c:h val="0.77123735303291563"/>
        </c:manualLayout>
      </c:layout>
      <c:lineChart>
        <c:grouping val="standard"/>
        <c:varyColors val="0"/>
        <c:ser>
          <c:idx val="0"/>
          <c:order val="0"/>
          <c:tx>
            <c:strRef>
              <c:f>'Charts 2'!$B$254</c:f>
              <c:strCache>
                <c:ptCount val="1"/>
                <c:pt idx="0">
                  <c:v>Opex</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2'!$O$254:$U$254</c:f>
              <c:numCache>
                <c:formatCode>#,##0.0_);\(#,##0.0\)</c:formatCode>
                <c:ptCount val="7"/>
                <c:pt idx="0">
                  <c:v>591.03195033552186</c:v>
                </c:pt>
                <c:pt idx="1">
                  <c:v>519.62236690755071</c:v>
                </c:pt>
                <c:pt idx="2">
                  <c:v>446.13685239251566</c:v>
                </c:pt>
                <c:pt idx="3">
                  <c:v>595.52642439338888</c:v>
                </c:pt>
                <c:pt idx="4">
                  <c:v>268.50231860242519</c:v>
                </c:pt>
                <c:pt idx="5">
                  <c:v>177.04186706795556</c:v>
                </c:pt>
                <c:pt idx="6">
                  <c:v>85.581415533485796</c:v>
                </c:pt>
              </c:numCache>
            </c:numRef>
          </c:val>
          <c:smooth val="0"/>
          <c:extLst>
            <c:ext xmlns:c16="http://schemas.microsoft.com/office/drawing/2014/chart" uri="{C3380CC4-5D6E-409C-BE32-E72D297353CC}">
              <c16:uniqueId val="{00000000-9F10-45DF-BF0B-A7F614E636D9}"/>
            </c:ext>
          </c:extLst>
        </c:ser>
        <c:ser>
          <c:idx val="1"/>
          <c:order val="1"/>
          <c:tx>
            <c:strRef>
              <c:f>'Charts 2'!$B$255</c:f>
              <c:strCache>
                <c:ptCount val="1"/>
                <c:pt idx="0">
                  <c:v>Iron ore price</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2'!$O$255:$U$255</c:f>
              <c:numCache>
                <c:formatCode>#,##0.0_);\(#,##0.0\)</c:formatCode>
                <c:ptCount val="7"/>
                <c:pt idx="0">
                  <c:v>398.36524072735432</c:v>
                </c:pt>
                <c:pt idx="1">
                  <c:v>385.76760048142728</c:v>
                </c:pt>
                <c:pt idx="2">
                  <c:v>372.86518530916101</c:v>
                </c:pt>
                <c:pt idx="3">
                  <c:v>595.52642439338888</c:v>
                </c:pt>
                <c:pt idx="4">
                  <c:v>347.06035496462908</c:v>
                </c:pt>
                <c:pt idx="5">
                  <c:v>334.15793979236344</c:v>
                </c:pt>
                <c:pt idx="6">
                  <c:v>321.25552462009739</c:v>
                </c:pt>
              </c:numCache>
            </c:numRef>
          </c:val>
          <c:smooth val="0"/>
          <c:extLst>
            <c:ext xmlns:c16="http://schemas.microsoft.com/office/drawing/2014/chart" uri="{C3380CC4-5D6E-409C-BE32-E72D297353CC}">
              <c16:uniqueId val="{00000001-9F10-45DF-BF0B-A7F614E636D9}"/>
            </c:ext>
          </c:extLst>
        </c:ser>
        <c:ser>
          <c:idx val="2"/>
          <c:order val="2"/>
          <c:tx>
            <c:strRef>
              <c:f>'Charts 2'!$B$256</c:f>
              <c:strCache>
                <c:ptCount val="1"/>
                <c:pt idx="0">
                  <c:v>Capex</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2'!$O$256:$U$256</c:f>
              <c:numCache>
                <c:formatCode>#,##0.0_);\(#,##0.0\)</c:formatCode>
                <c:ptCount val="7"/>
                <c:pt idx="0">
                  <c:v>356.97217427462232</c:v>
                </c:pt>
                <c:pt idx="1">
                  <c:v>360.54425786739995</c:v>
                </c:pt>
                <c:pt idx="2">
                  <c:v>361.51542598544114</c:v>
                </c:pt>
                <c:pt idx="3">
                  <c:v>595.52642439338888</c:v>
                </c:pt>
                <c:pt idx="4">
                  <c:v>358.41635710408752</c:v>
                </c:pt>
                <c:pt idx="5">
                  <c:v>356.86365010437817</c:v>
                </c:pt>
                <c:pt idx="6">
                  <c:v>355.31097718003355</c:v>
                </c:pt>
              </c:numCache>
            </c:numRef>
          </c:val>
          <c:smooth val="0"/>
          <c:extLst>
            <c:ext xmlns:c16="http://schemas.microsoft.com/office/drawing/2014/chart" uri="{C3380CC4-5D6E-409C-BE32-E72D297353CC}">
              <c16:uniqueId val="{00000002-9F10-45DF-BF0B-A7F614E636D9}"/>
            </c:ext>
          </c:extLst>
        </c:ser>
        <c:ser>
          <c:idx val="3"/>
          <c:order val="3"/>
          <c:tx>
            <c:strRef>
              <c:f>'Charts 2'!$B$257</c:f>
              <c:strCache>
                <c:ptCount val="1"/>
                <c:pt idx="0">
                  <c:v>FX Rate</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2'!$O$257:$U$257</c:f>
              <c:numCache>
                <c:formatCode>#,##0.0_);\(#,##0.0\)</c:formatCode>
                <c:ptCount val="7"/>
                <c:pt idx="0">
                  <c:v>417.17189923579582</c:v>
                </c:pt>
                <c:pt idx="1">
                  <c:v>399.06777516803299</c:v>
                </c:pt>
                <c:pt idx="2">
                  <c:v>379.8318138637681</c:v>
                </c:pt>
                <c:pt idx="3">
                  <c:v>595.52642439338888</c:v>
                </c:pt>
                <c:pt idx="4">
                  <c:v>340.09372641002159</c:v>
                </c:pt>
                <c:pt idx="5">
                  <c:v>320.22468268314827</c:v>
                </c:pt>
                <c:pt idx="6">
                  <c:v>300.35563895627513</c:v>
                </c:pt>
              </c:numCache>
            </c:numRef>
          </c:val>
          <c:smooth val="0"/>
          <c:extLst>
            <c:ext xmlns:c16="http://schemas.microsoft.com/office/drawing/2014/chart" uri="{C3380CC4-5D6E-409C-BE32-E72D297353CC}">
              <c16:uniqueId val="{00000003-9F10-45DF-BF0B-A7F614E636D9}"/>
            </c:ext>
          </c:extLst>
        </c:ser>
        <c:dLbls>
          <c:showLegendKey val="0"/>
          <c:showVal val="0"/>
          <c:showCatName val="0"/>
          <c:showSerName val="0"/>
          <c:showPercent val="0"/>
          <c:showBubbleSize val="0"/>
        </c:dLbls>
        <c:smooth val="0"/>
        <c:axId val="668307984"/>
        <c:axId val="668311984"/>
      </c:lineChart>
      <c:catAx>
        <c:axId val="668307984"/>
        <c:scaling>
          <c:orientation val="minMax"/>
        </c:scaling>
        <c:delete val="0"/>
        <c:axPos val="b"/>
        <c:numFmt formatCode="0.0%" sourceLinked="1"/>
        <c:majorTickMark val="out"/>
        <c:minorTickMark val="none"/>
        <c:tickLblPos val="nextTo"/>
        <c:crossAx val="668311984"/>
        <c:crosses val="autoZero"/>
        <c:auto val="1"/>
        <c:lblAlgn val="ctr"/>
        <c:lblOffset val="100"/>
        <c:noMultiLvlLbl val="0"/>
      </c:catAx>
      <c:valAx>
        <c:axId val="668311984"/>
        <c:scaling>
          <c:orientation val="minMax"/>
        </c:scaling>
        <c:delete val="0"/>
        <c:axPos val="l"/>
        <c:majorGridlines/>
        <c:title>
          <c:tx>
            <c:rich>
              <a:bodyPr/>
              <a:lstStyle/>
              <a:p>
                <a:pPr>
                  <a:defRPr/>
                </a:pPr>
                <a:r>
                  <a:rPr lang="en-US"/>
                  <a:t>Debt Capacity (C$m)</a:t>
                </a:r>
              </a:p>
            </c:rich>
          </c:tx>
          <c:overlay val="0"/>
        </c:title>
        <c:numFmt formatCode="#,##0.0_);\(#,##0.0\)" sourceLinked="1"/>
        <c:majorTickMark val="out"/>
        <c:minorTickMark val="none"/>
        <c:tickLblPos val="nextTo"/>
        <c:crossAx val="668307984"/>
        <c:crosses val="autoZero"/>
        <c:crossBetween val="between"/>
      </c:valAx>
    </c:plotArea>
    <c:legend>
      <c:legendPos val="b"/>
      <c:layout>
        <c:manualLayout>
          <c:xMode val="edge"/>
          <c:yMode val="edge"/>
          <c:x val="1.2958901699464663E-3"/>
          <c:y val="0.8907350251958992"/>
          <c:w val="0.99870410983005353"/>
          <c:h val="0.109264974804100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2'!$B$287</c:f>
              <c:strCache>
                <c:ptCount val="1"/>
                <c:pt idx="0">
                  <c:v>9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2'!$O$287:$U$287</c:f>
              <c:numCache>
                <c:formatCode>#,##0.00_);\(#,##0.00\)</c:formatCode>
                <c:ptCount val="7"/>
                <c:pt idx="0">
                  <c:v>967.10670244312712</c:v>
                </c:pt>
                <c:pt idx="1">
                  <c:v>725.33002683234531</c:v>
                </c:pt>
                <c:pt idx="2">
                  <c:v>580.26402146587623</c:v>
                </c:pt>
                <c:pt idx="3">
                  <c:v>483.55335122156356</c:v>
                </c:pt>
                <c:pt idx="4">
                  <c:v>414.47430104705444</c:v>
                </c:pt>
                <c:pt idx="5">
                  <c:v>362.66501341617266</c:v>
                </c:pt>
                <c:pt idx="6">
                  <c:v>322.36890081437571</c:v>
                </c:pt>
              </c:numCache>
            </c:numRef>
          </c:val>
          <c:smooth val="0"/>
          <c:extLst>
            <c:ext xmlns:c16="http://schemas.microsoft.com/office/drawing/2014/chart" uri="{C3380CC4-5D6E-409C-BE32-E72D297353CC}">
              <c16:uniqueId val="{00000000-1A70-449F-A102-35EDF77E18E9}"/>
            </c:ext>
          </c:extLst>
        </c:ser>
        <c:ser>
          <c:idx val="1"/>
          <c:order val="1"/>
          <c:tx>
            <c:strRef>
              <c:f>'Charts 2'!$B$288</c:f>
              <c:strCache>
                <c:ptCount val="1"/>
                <c:pt idx="0">
                  <c:v>10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2'!$O$288:$U$288</c:f>
              <c:numCache>
                <c:formatCode>#,##0.00_);\(#,##0.00\)</c:formatCode>
                <c:ptCount val="7"/>
                <c:pt idx="0">
                  <c:v>1083.7818067776523</c:v>
                </c:pt>
                <c:pt idx="1">
                  <c:v>812.83635508323925</c:v>
                </c:pt>
                <c:pt idx="2">
                  <c:v>650.2690840665914</c:v>
                </c:pt>
                <c:pt idx="3">
                  <c:v>541.89090338882613</c:v>
                </c:pt>
                <c:pt idx="4">
                  <c:v>464.47791719042243</c:v>
                </c:pt>
                <c:pt idx="5">
                  <c:v>406.41817754161963</c:v>
                </c:pt>
                <c:pt idx="6">
                  <c:v>361.26060225921742</c:v>
                </c:pt>
              </c:numCache>
            </c:numRef>
          </c:val>
          <c:smooth val="0"/>
          <c:extLst>
            <c:ext xmlns:c16="http://schemas.microsoft.com/office/drawing/2014/chart" uri="{C3380CC4-5D6E-409C-BE32-E72D297353CC}">
              <c16:uniqueId val="{00000001-1A70-449F-A102-35EDF77E18E9}"/>
            </c:ext>
          </c:extLst>
        </c:ser>
        <c:ser>
          <c:idx val="2"/>
          <c:order val="2"/>
          <c:tx>
            <c:strRef>
              <c:f>'Charts 2'!$B$289</c:f>
              <c:strCache>
                <c:ptCount val="1"/>
                <c:pt idx="0">
                  <c:v>11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2'!$O$289:$U$289</c:f>
              <c:numCache>
                <c:formatCode>#,##0.00_);\(#,##0.00\)</c:formatCode>
                <c:ptCount val="7"/>
                <c:pt idx="0">
                  <c:v>1191.0528487867778</c:v>
                </c:pt>
                <c:pt idx="1">
                  <c:v>893.28963659008332</c:v>
                </c:pt>
                <c:pt idx="2">
                  <c:v>714.6317092720667</c:v>
                </c:pt>
                <c:pt idx="3">
                  <c:v>595.52642439338888</c:v>
                </c:pt>
                <c:pt idx="4">
                  <c:v>510.45122090861906</c:v>
                </c:pt>
                <c:pt idx="5">
                  <c:v>446.64481829504166</c:v>
                </c:pt>
                <c:pt idx="6">
                  <c:v>397.01761626225925</c:v>
                </c:pt>
              </c:numCache>
            </c:numRef>
          </c:val>
          <c:smooth val="0"/>
          <c:extLst>
            <c:ext xmlns:c16="http://schemas.microsoft.com/office/drawing/2014/chart" uri="{C3380CC4-5D6E-409C-BE32-E72D297353CC}">
              <c16:uniqueId val="{00000002-1A70-449F-A102-35EDF77E18E9}"/>
            </c:ext>
          </c:extLst>
        </c:ser>
        <c:dLbls>
          <c:showLegendKey val="0"/>
          <c:showVal val="0"/>
          <c:showCatName val="0"/>
          <c:showSerName val="0"/>
          <c:showPercent val="0"/>
          <c:showBubbleSize val="0"/>
        </c:dLbls>
        <c:smooth val="0"/>
        <c:axId val="668385152"/>
        <c:axId val="668392432"/>
      </c:lineChart>
      <c:catAx>
        <c:axId val="668385152"/>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8392432"/>
        <c:crosses val="autoZero"/>
        <c:auto val="1"/>
        <c:lblAlgn val="ctr"/>
        <c:lblOffset val="100"/>
        <c:noMultiLvlLbl val="0"/>
      </c:catAx>
      <c:valAx>
        <c:axId val="668392432"/>
        <c:scaling>
          <c:orientation val="minMax"/>
        </c:scaling>
        <c:delete val="0"/>
        <c:axPos val="l"/>
        <c:majorGridlines/>
        <c:title>
          <c:tx>
            <c:rich>
              <a:bodyPr/>
              <a:lstStyle/>
              <a:p>
                <a:pPr>
                  <a:defRPr/>
                </a:pPr>
                <a:r>
                  <a:rPr lang="en-US"/>
                  <a:t>Debt quantum (C$m)</a:t>
                </a:r>
              </a:p>
            </c:rich>
          </c:tx>
          <c:overlay val="0"/>
        </c:title>
        <c:numFmt formatCode="0.0" sourceLinked="0"/>
        <c:majorTickMark val="out"/>
        <c:minorTickMark val="none"/>
        <c:tickLblPos val="nextTo"/>
        <c:crossAx val="66838515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33-493E-97B7-AAB345FD3A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33-493E-97B7-AAB345FD3A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B33-493E-97B7-AAB345FD3A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B33-493E-97B7-AAB345FD3A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B33-493E-97B7-AAB345FD3A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B33-493E-97B7-AAB345FD3A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33-493E-97B7-AAB345FD3AC1}"/>
              </c:ext>
            </c:extLst>
          </c:dPt>
          <c:cat>
            <c:strRef>
              <c:f>'Charts 2'!$B$369:$B$375</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2'!$D$369:$D$375</c:f>
              <c:numCache>
                <c:formatCode>#,##0.00_);\(#,##0.00\)</c:formatCode>
                <c:ptCount val="7"/>
                <c:pt idx="0">
                  <c:v>107.39905841111988</c:v>
                </c:pt>
                <c:pt idx="1">
                  <c:v>233.01321241599999</c:v>
                </c:pt>
                <c:pt idx="2">
                  <c:v>39.343842175625255</c:v>
                </c:pt>
                <c:pt idx="3">
                  <c:v>2.6893609600000001</c:v>
                </c:pt>
                <c:pt idx="4">
                  <c:v>3.8170953600000006</c:v>
                </c:pt>
                <c:pt idx="5">
                  <c:v>48.672732428536477</c:v>
                </c:pt>
                <c:pt idx="6">
                  <c:v>37.273000000000003</c:v>
                </c:pt>
              </c:numCache>
            </c:numRef>
          </c:val>
          <c:extLst>
            <c:ext xmlns:c16="http://schemas.microsoft.com/office/drawing/2014/chart" uri="{C3380CC4-5D6E-409C-BE32-E72D297353CC}">
              <c16:uniqueId val="{00000011-AA8F-4D2B-BC50-440123E35FE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D1-4160-A58B-EA524B4547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D1-4160-A58B-EA524B4547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D1-4160-A58B-EA524B4547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D1-4160-A58B-EA524B4547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6D1-4160-A58B-EA524B4547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6D1-4160-A58B-EA524B4547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6D1-4160-A58B-EA524B4547D1}"/>
              </c:ext>
            </c:extLst>
          </c:dPt>
          <c:cat>
            <c:strRef>
              <c:f>'Charts 2'!$B$386:$B$392</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2'!$D$386:$D$392</c:f>
              <c:numCache>
                <c:formatCode>#,##0.00_);\(#,##0.00\)</c:formatCode>
                <c:ptCount val="7"/>
                <c:pt idx="0">
                  <c:v>134.24882301389985</c:v>
                </c:pt>
                <c:pt idx="1">
                  <c:v>291.26651551999998</c:v>
                </c:pt>
                <c:pt idx="2">
                  <c:v>49.179802719531565</c:v>
                </c:pt>
                <c:pt idx="3">
                  <c:v>3.3617011999999997</c:v>
                </c:pt>
                <c:pt idx="4">
                  <c:v>4.7713692000000005</c:v>
                </c:pt>
                <c:pt idx="5">
                  <c:v>60.950767999999997</c:v>
                </c:pt>
                <c:pt idx="6">
                  <c:v>46.637999999999998</c:v>
                </c:pt>
              </c:numCache>
            </c:numRef>
          </c:val>
          <c:extLst>
            <c:ext xmlns:c16="http://schemas.microsoft.com/office/drawing/2014/chart" uri="{C3380CC4-5D6E-409C-BE32-E72D297353CC}">
              <c16:uniqueId val="{0000000E-26D1-4160-A58B-EA524B4547D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Jan 2020 - June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770634746329613"/>
          <c:y val="1.5962450768808655E-2"/>
          <c:w val="0.85370194128338539"/>
          <c:h val="0.8389860005038967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0001749781277301E-2"/>
                  <c:y val="0.2916666666666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'Fe MPI correlation'!$D$88:$D$117</c:f>
              <c:numCache>
                <c:formatCode>0.00</c:formatCode>
                <c:ptCount val="30"/>
                <c:pt idx="0">
                  <c:v>94</c:v>
                </c:pt>
                <c:pt idx="1">
                  <c:v>81</c:v>
                </c:pt>
                <c:pt idx="2">
                  <c:v>89</c:v>
                </c:pt>
                <c:pt idx="3">
                  <c:v>83</c:v>
                </c:pt>
                <c:pt idx="4">
                  <c:v>87</c:v>
                </c:pt>
                <c:pt idx="5">
                  <c:v>100</c:v>
                </c:pt>
                <c:pt idx="6">
                  <c:v>103</c:v>
                </c:pt>
                <c:pt idx="7">
                  <c:v>114</c:v>
                </c:pt>
                <c:pt idx="8">
                  <c:v>123</c:v>
                </c:pt>
                <c:pt idx="9">
                  <c:v>121</c:v>
                </c:pt>
                <c:pt idx="10">
                  <c:v>117</c:v>
                </c:pt>
                <c:pt idx="11">
                  <c:v>130</c:v>
                </c:pt>
                <c:pt idx="12">
                  <c:v>164</c:v>
                </c:pt>
                <c:pt idx="13">
                  <c:v>154</c:v>
                </c:pt>
                <c:pt idx="14">
                  <c:v>171</c:v>
                </c:pt>
                <c:pt idx="15">
                  <c:v>163</c:v>
                </c:pt>
                <c:pt idx="16">
                  <c:v>185</c:v>
                </c:pt>
                <c:pt idx="17">
                  <c:v>204</c:v>
                </c:pt>
                <c:pt idx="18">
                  <c:v>213</c:v>
                </c:pt>
                <c:pt idx="19">
                  <c:v>181</c:v>
                </c:pt>
                <c:pt idx="20">
                  <c:v>143</c:v>
                </c:pt>
                <c:pt idx="21">
                  <c:v>115</c:v>
                </c:pt>
                <c:pt idx="22">
                  <c:v>99</c:v>
                </c:pt>
                <c:pt idx="23">
                  <c:v>103</c:v>
                </c:pt>
                <c:pt idx="24">
                  <c:v>124</c:v>
                </c:pt>
                <c:pt idx="25">
                  <c:v>145</c:v>
                </c:pt>
                <c:pt idx="26">
                  <c:v>151</c:v>
                </c:pt>
                <c:pt idx="27">
                  <c:v>160</c:v>
                </c:pt>
                <c:pt idx="28">
                  <c:v>136</c:v>
                </c:pt>
                <c:pt idx="29">
                  <c:v>142</c:v>
                </c:pt>
              </c:numCache>
            </c:numRef>
          </c:xVal>
          <c:yVal>
            <c:numRef>
              <c:f>'Fe MPI correlation'!$E$88:$E$117</c:f>
              <c:numCache>
                <c:formatCode>0.00</c:formatCode>
                <c:ptCount val="30"/>
                <c:pt idx="0">
                  <c:v>420</c:v>
                </c:pt>
                <c:pt idx="1">
                  <c:v>420</c:v>
                </c:pt>
                <c:pt idx="2">
                  <c:v>430</c:v>
                </c:pt>
                <c:pt idx="3">
                  <c:v>430</c:v>
                </c:pt>
                <c:pt idx="4">
                  <c:v>400</c:v>
                </c:pt>
                <c:pt idx="5">
                  <c:v>420</c:v>
                </c:pt>
                <c:pt idx="6">
                  <c:v>420</c:v>
                </c:pt>
                <c:pt idx="7">
                  <c:v>440</c:v>
                </c:pt>
                <c:pt idx="8">
                  <c:v>460</c:v>
                </c:pt>
                <c:pt idx="9">
                  <c:v>500</c:v>
                </c:pt>
                <c:pt idx="10">
                  <c:v>520</c:v>
                </c:pt>
                <c:pt idx="11">
                  <c:v>560</c:v>
                </c:pt>
                <c:pt idx="12">
                  <c:v>540</c:v>
                </c:pt>
                <c:pt idx="13">
                  <c:v>540</c:v>
                </c:pt>
                <c:pt idx="14">
                  <c:v>540</c:v>
                </c:pt>
                <c:pt idx="15">
                  <c:v>540</c:v>
                </c:pt>
                <c:pt idx="16">
                  <c:v>540</c:v>
                </c:pt>
                <c:pt idx="17">
                  <c:v>540</c:v>
                </c:pt>
                <c:pt idx="18">
                  <c:v>550</c:v>
                </c:pt>
                <c:pt idx="19">
                  <c:v>580</c:v>
                </c:pt>
                <c:pt idx="20">
                  <c:v>565</c:v>
                </c:pt>
                <c:pt idx="21">
                  <c:v>540</c:v>
                </c:pt>
                <c:pt idx="22">
                  <c:v>670</c:v>
                </c:pt>
                <c:pt idx="23">
                  <c:v>750</c:v>
                </c:pt>
                <c:pt idx="24">
                  <c:v>825</c:v>
                </c:pt>
                <c:pt idx="25">
                  <c:v>771</c:v>
                </c:pt>
                <c:pt idx="26">
                  <c:v>650</c:v>
                </c:pt>
                <c:pt idx="27">
                  <c:v>980</c:v>
                </c:pt>
                <c:pt idx="28">
                  <c:v>940</c:v>
                </c:pt>
                <c:pt idx="29">
                  <c:v>775</c:v>
                </c:pt>
              </c:numCache>
            </c:numRef>
          </c:yVal>
          <c:smooth val="0"/>
          <c:extLst>
            <c:ext xmlns:c16="http://schemas.microsoft.com/office/drawing/2014/chart" uri="{C3380CC4-5D6E-409C-BE32-E72D297353CC}">
              <c16:uniqueId val="{00000002-02B0-409A-A0C4-817DE9B6E4D4}"/>
            </c:ext>
          </c:extLst>
        </c:ser>
        <c:dLbls>
          <c:showLegendKey val="0"/>
          <c:showVal val="0"/>
          <c:showCatName val="0"/>
          <c:showSerName val="0"/>
          <c:showPercent val="0"/>
          <c:showBubbleSize val="0"/>
        </c:dLbls>
        <c:axId val="194254336"/>
        <c:axId val="194256256"/>
      </c:scatterChart>
      <c:valAx>
        <c:axId val="194254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Fe Price ($/t)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6256"/>
        <c:crosses val="autoZero"/>
        <c:crossBetween val="midCat"/>
      </c:valAx>
      <c:valAx>
        <c:axId val="19425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MPI Pirce - NOLA ($/t)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4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4025281698138"/>
          <c:y val="5.0925925925925923E-2"/>
          <c:w val="0.75731949436603729"/>
          <c:h val="0.73577136191309422"/>
        </c:manualLayout>
      </c:layout>
      <c:lineChart>
        <c:grouping val="standard"/>
        <c:varyColors val="0"/>
        <c:ser>
          <c:idx val="1"/>
          <c:order val="1"/>
          <c:spPr>
            <a:ln w="28575" cap="rnd">
              <a:solidFill>
                <a:schemeClr val="accent2"/>
              </a:solidFill>
              <a:round/>
            </a:ln>
            <a:effectLst/>
          </c:spPr>
          <c:marker>
            <c:symbol val="none"/>
          </c:marker>
          <c:cat>
            <c:numRef>
              <c:f>'Fe MPI correlation'!$C$88:$C$117</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'Fe MPI correlation'!$E$88:$E$117</c:f>
              <c:numCache>
                <c:formatCode>0.00</c:formatCode>
                <c:ptCount val="30"/>
                <c:pt idx="0">
                  <c:v>420</c:v>
                </c:pt>
                <c:pt idx="1">
                  <c:v>420</c:v>
                </c:pt>
                <c:pt idx="2">
                  <c:v>430</c:v>
                </c:pt>
                <c:pt idx="3">
                  <c:v>430</c:v>
                </c:pt>
                <c:pt idx="4">
                  <c:v>400</c:v>
                </c:pt>
                <c:pt idx="5">
                  <c:v>420</c:v>
                </c:pt>
                <c:pt idx="6">
                  <c:v>420</c:v>
                </c:pt>
                <c:pt idx="7">
                  <c:v>440</c:v>
                </c:pt>
                <c:pt idx="8">
                  <c:v>460</c:v>
                </c:pt>
                <c:pt idx="9">
                  <c:v>500</c:v>
                </c:pt>
                <c:pt idx="10">
                  <c:v>520</c:v>
                </c:pt>
                <c:pt idx="11">
                  <c:v>560</c:v>
                </c:pt>
                <c:pt idx="12">
                  <c:v>540</c:v>
                </c:pt>
                <c:pt idx="13">
                  <c:v>540</c:v>
                </c:pt>
                <c:pt idx="14">
                  <c:v>540</c:v>
                </c:pt>
                <c:pt idx="15">
                  <c:v>540</c:v>
                </c:pt>
                <c:pt idx="16">
                  <c:v>540</c:v>
                </c:pt>
                <c:pt idx="17">
                  <c:v>540</c:v>
                </c:pt>
                <c:pt idx="18">
                  <c:v>550</c:v>
                </c:pt>
                <c:pt idx="19">
                  <c:v>580</c:v>
                </c:pt>
                <c:pt idx="20">
                  <c:v>565</c:v>
                </c:pt>
                <c:pt idx="21">
                  <c:v>540</c:v>
                </c:pt>
                <c:pt idx="22">
                  <c:v>670</c:v>
                </c:pt>
                <c:pt idx="23">
                  <c:v>750</c:v>
                </c:pt>
                <c:pt idx="24">
                  <c:v>825</c:v>
                </c:pt>
                <c:pt idx="25">
                  <c:v>771</c:v>
                </c:pt>
                <c:pt idx="26">
                  <c:v>650</c:v>
                </c:pt>
                <c:pt idx="27">
                  <c:v>980</c:v>
                </c:pt>
                <c:pt idx="28">
                  <c:v>940</c:v>
                </c:pt>
                <c:pt idx="29">
                  <c:v>775</c:v>
                </c:pt>
              </c:numCache>
            </c:numRef>
          </c:val>
          <c:smooth val="0"/>
          <c:extLst>
            <c:ext xmlns:c16="http://schemas.microsoft.com/office/drawing/2014/chart" uri="{C3380CC4-5D6E-409C-BE32-E72D297353CC}">
              <c16:uniqueId val="{00000001-1A75-4704-B502-4D6993EA5FA1}"/>
            </c:ext>
          </c:extLst>
        </c:ser>
        <c:dLbls>
          <c:showLegendKey val="0"/>
          <c:showVal val="0"/>
          <c:showCatName val="0"/>
          <c:showSerName val="0"/>
          <c:showPercent val="0"/>
          <c:showBubbleSize val="0"/>
        </c:dLbls>
        <c:marker val="1"/>
        <c:smooth val="0"/>
        <c:axId val="1046942304"/>
        <c:axId val="1046942960"/>
      </c:lineChart>
      <c:lineChart>
        <c:grouping val="standard"/>
        <c:varyColors val="0"/>
        <c:ser>
          <c:idx val="0"/>
          <c:order val="0"/>
          <c:spPr>
            <a:ln w="28575" cap="rnd">
              <a:solidFill>
                <a:schemeClr val="accent1"/>
              </a:solidFill>
              <a:round/>
            </a:ln>
            <a:effectLst/>
          </c:spPr>
          <c:marker>
            <c:symbol val="none"/>
          </c:marker>
          <c:cat>
            <c:numRef>
              <c:f>'Fe MPI correlation'!$C$88:$C$117</c:f>
              <c:numCache>
                <c:formatCode>mmm\-yy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'Fe MPI correlation'!$D$88:$D$117</c:f>
              <c:numCache>
                <c:formatCode>0.00</c:formatCode>
                <c:ptCount val="30"/>
                <c:pt idx="0">
                  <c:v>94</c:v>
                </c:pt>
                <c:pt idx="1">
                  <c:v>81</c:v>
                </c:pt>
                <c:pt idx="2">
                  <c:v>89</c:v>
                </c:pt>
                <c:pt idx="3">
                  <c:v>83</c:v>
                </c:pt>
                <c:pt idx="4">
                  <c:v>87</c:v>
                </c:pt>
                <c:pt idx="5">
                  <c:v>100</c:v>
                </c:pt>
                <c:pt idx="6">
                  <c:v>103</c:v>
                </c:pt>
                <c:pt idx="7">
                  <c:v>114</c:v>
                </c:pt>
                <c:pt idx="8">
                  <c:v>123</c:v>
                </c:pt>
                <c:pt idx="9">
                  <c:v>121</c:v>
                </c:pt>
                <c:pt idx="10">
                  <c:v>117</c:v>
                </c:pt>
                <c:pt idx="11">
                  <c:v>130</c:v>
                </c:pt>
                <c:pt idx="12">
                  <c:v>164</c:v>
                </c:pt>
                <c:pt idx="13">
                  <c:v>154</c:v>
                </c:pt>
                <c:pt idx="14">
                  <c:v>171</c:v>
                </c:pt>
                <c:pt idx="15">
                  <c:v>163</c:v>
                </c:pt>
                <c:pt idx="16">
                  <c:v>185</c:v>
                </c:pt>
                <c:pt idx="17">
                  <c:v>204</c:v>
                </c:pt>
                <c:pt idx="18">
                  <c:v>213</c:v>
                </c:pt>
                <c:pt idx="19">
                  <c:v>181</c:v>
                </c:pt>
                <c:pt idx="20">
                  <c:v>143</c:v>
                </c:pt>
                <c:pt idx="21">
                  <c:v>115</c:v>
                </c:pt>
                <c:pt idx="22">
                  <c:v>99</c:v>
                </c:pt>
                <c:pt idx="23">
                  <c:v>103</c:v>
                </c:pt>
                <c:pt idx="24">
                  <c:v>124</c:v>
                </c:pt>
                <c:pt idx="25">
                  <c:v>145</c:v>
                </c:pt>
                <c:pt idx="26">
                  <c:v>151</c:v>
                </c:pt>
                <c:pt idx="27">
                  <c:v>160</c:v>
                </c:pt>
                <c:pt idx="28">
                  <c:v>136</c:v>
                </c:pt>
                <c:pt idx="29">
                  <c:v>142</c:v>
                </c:pt>
              </c:numCache>
            </c:numRef>
          </c:val>
          <c:smooth val="0"/>
          <c:extLst>
            <c:ext xmlns:c16="http://schemas.microsoft.com/office/drawing/2014/chart" uri="{C3380CC4-5D6E-409C-BE32-E72D297353CC}">
              <c16:uniqueId val="{00000000-1A75-4704-B502-4D6993EA5FA1}"/>
            </c:ext>
          </c:extLst>
        </c:ser>
        <c:dLbls>
          <c:showLegendKey val="0"/>
          <c:showVal val="0"/>
          <c:showCatName val="0"/>
          <c:showSerName val="0"/>
          <c:showPercent val="0"/>
          <c:showBubbleSize val="0"/>
        </c:dLbls>
        <c:marker val="1"/>
        <c:smooth val="0"/>
        <c:axId val="2072959288"/>
        <c:axId val="2072963552"/>
      </c:lineChart>
      <c:dateAx>
        <c:axId val="1046942304"/>
        <c:scaling>
          <c:orientation val="minMax"/>
          <c:max val="44682"/>
          <c:min val="4383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960"/>
        <c:crosses val="autoZero"/>
        <c:auto val="1"/>
        <c:lblOffset val="100"/>
        <c:baseTimeUnit val="months"/>
        <c:majorUnit val="6"/>
        <c:majorTimeUnit val="months"/>
      </c:dateAx>
      <c:valAx>
        <c:axId val="104694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r>
                  <a:rPr lang="en-US" sz="900" b="0" i="0" baseline="0">
                    <a:effectLst/>
                  </a:rPr>
                  <a:t>MPI Price FOB NOLA (US$/t)</a:t>
                </a:r>
                <a:endParaRPr lang="en-US" sz="9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304"/>
        <c:crosses val="autoZero"/>
        <c:crossBetween val="between"/>
      </c:valAx>
      <c:valAx>
        <c:axId val="2072963552"/>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i="0" baseline="0">
                    <a:effectLst/>
                  </a:rPr>
                  <a:t>62% Fe fines CFR Tianjin (US$/t)</a:t>
                </a:r>
                <a:endParaRPr lang="en-US" sz="900">
                  <a:effectLst/>
                </a:endParaRPr>
              </a:p>
            </c:rich>
          </c:tx>
          <c:layout>
            <c:manualLayout>
              <c:xMode val="edge"/>
              <c:yMode val="edge"/>
              <c:x val="0.95351310848520343"/>
              <c:y val="0.194861111111111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2959288"/>
        <c:crosses val="max"/>
        <c:crossBetween val="between"/>
        <c:majorUnit val="33.299999999999997"/>
      </c:valAx>
      <c:dateAx>
        <c:axId val="2072959288"/>
        <c:scaling>
          <c:orientation val="minMax"/>
        </c:scaling>
        <c:delete val="1"/>
        <c:axPos val="b"/>
        <c:numFmt formatCode="mmm\-yy" sourceLinked="1"/>
        <c:majorTickMark val="out"/>
        <c:minorTickMark val="none"/>
        <c:tickLblPos val="nextTo"/>
        <c:crossAx val="207296355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FD-40B3-A8DF-1B04913EDA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FD-40B3-A8DF-1B04913EDA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FD-40B3-A8DF-1B04913EDAD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FD-40B3-A8DF-1B04913EDAD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FD-40B3-A8DF-1B04913EDAD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9FD-40B3-A8DF-1B04913EDAD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9FD-40B3-A8DF-1B04913EDAD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A2A-4E95-99C2-877BBA464C5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A2A-4E95-99C2-877BBA464C53}"/>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model'!$C$1848:$C$1856</c:f>
              <c:strCache>
                <c:ptCount val="9"/>
                <c:pt idx="0">
                  <c:v>Raw Material Costs</c:v>
                </c:pt>
                <c:pt idx="1">
                  <c:v>Shaft Furnace</c:v>
                </c:pt>
                <c:pt idx="2">
                  <c:v>D&amp;A</c:v>
                </c:pt>
                <c:pt idx="3">
                  <c:v>EAF</c:v>
                </c:pt>
                <c:pt idx="4">
                  <c:v>Labor</c:v>
                </c:pt>
                <c:pt idx="5">
                  <c:v>SG&amp;A</c:v>
                </c:pt>
                <c:pt idx="6">
                  <c:v>Interest</c:v>
                </c:pt>
                <c:pt idx="7">
                  <c:v>Auxiliaries</c:v>
                </c:pt>
                <c:pt idx="8">
                  <c:v>Storage &amp; Cold Processing</c:v>
                </c:pt>
              </c:strCache>
            </c:strRef>
          </c:cat>
          <c:val>
            <c:numRef>
              <c:f>'Plant model'!$H$1848:$H$1856</c:f>
              <c:numCache>
                <c:formatCode>0.00%</c:formatCode>
                <c:ptCount val="9"/>
                <c:pt idx="0">
                  <c:v>0.48250673132090749</c:v>
                </c:pt>
                <c:pt idx="1">
                  <c:v>0.14074265042252776</c:v>
                </c:pt>
                <c:pt idx="2">
                  <c:v>0.13592453341613045</c:v>
                </c:pt>
                <c:pt idx="3">
                  <c:v>0.13048450652796026</c:v>
                </c:pt>
                <c:pt idx="4">
                  <c:v>3.6148229805706929E-2</c:v>
                </c:pt>
                <c:pt idx="5">
                  <c:v>3.5362816904570611E-2</c:v>
                </c:pt>
                <c:pt idx="6">
                  <c:v>2.0424711330929757E-2</c:v>
                </c:pt>
                <c:pt idx="7">
                  <c:v>1.7429311339634351E-2</c:v>
                </c:pt>
                <c:pt idx="8">
                  <c:v>9.7650893163242405E-4</c:v>
                </c:pt>
              </c:numCache>
            </c:numRef>
          </c:val>
          <c:extLst>
            <c:ext xmlns:c16="http://schemas.microsoft.com/office/drawing/2014/chart" uri="{C3380CC4-5D6E-409C-BE32-E72D297353CC}">
              <c16:uniqueId val="{0000000E-59FD-40B3-A8DF-1B04913EDAD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model'!$C$1818:$C$1831</c:f>
              <c:strCache>
                <c:ptCount val="14"/>
                <c:pt idx="0">
                  <c:v>Iron Ore Pellets</c:v>
                </c:pt>
                <c:pt idx="1">
                  <c:v>Natural Gas</c:v>
                </c:pt>
                <c:pt idx="2">
                  <c:v>Electrodes</c:v>
                </c:pt>
                <c:pt idx="3">
                  <c:v>Electricity</c:v>
                </c:pt>
                <c:pt idx="4">
                  <c:v>Labor - ex SGA</c:v>
                </c:pt>
                <c:pt idx="5">
                  <c:v>Refractories</c:v>
                </c:pt>
                <c:pt idx="6">
                  <c:v>Lime</c:v>
                </c:pt>
                <c:pt idx="7">
                  <c:v>Maintenance</c:v>
                </c:pt>
                <c:pt idx="8">
                  <c:v>O2, N2, others</c:v>
                </c:pt>
                <c:pt idx="9">
                  <c:v>Slag processing</c:v>
                </c:pt>
                <c:pt idx="10">
                  <c:v>General services and mobile equipment</c:v>
                </c:pt>
                <c:pt idx="11">
                  <c:v>Industrial Water</c:v>
                </c:pt>
                <c:pt idx="12">
                  <c:v>Briquettes</c:v>
                </c:pt>
                <c:pt idx="13">
                  <c:v>Other gases and supplies</c:v>
                </c:pt>
              </c:strCache>
            </c:strRef>
          </c:cat>
          <c:val>
            <c:numRef>
              <c:f>'Plant model'!$H$1818:$H$1831</c:f>
              <c:numCache>
                <c:formatCode>0.00%</c:formatCode>
                <c:ptCount val="14"/>
                <c:pt idx="0">
                  <c:v>0.57178363053377235</c:v>
                </c:pt>
                <c:pt idx="1">
                  <c:v>0.14102649705098116</c:v>
                </c:pt>
                <c:pt idx="2">
                  <c:v>7.2839798580019433E-2</c:v>
                </c:pt>
                <c:pt idx="3">
                  <c:v>6.4690236045598579E-2</c:v>
                </c:pt>
                <c:pt idx="4">
                  <c:v>4.4721971083189892E-2</c:v>
                </c:pt>
                <c:pt idx="5">
                  <c:v>3.0362303313253597E-2</c:v>
                </c:pt>
                <c:pt idx="6">
                  <c:v>2.4255652927146477E-2</c:v>
                </c:pt>
                <c:pt idx="7">
                  <c:v>1.7227664112945067E-2</c:v>
                </c:pt>
                <c:pt idx="8">
                  <c:v>1.5326707617879095E-2</c:v>
                </c:pt>
                <c:pt idx="9">
                  <c:v>9.6362854521212307E-3</c:v>
                </c:pt>
                <c:pt idx="10">
                  <c:v>5.3112353131264164E-3</c:v>
                </c:pt>
                <c:pt idx="11">
                  <c:v>1.3430678969410254E-3</c:v>
                </c:pt>
                <c:pt idx="12">
                  <c:v>9.0978435128565797E-4</c:v>
                </c:pt>
                <c:pt idx="13">
                  <c:v>5.6516572174018093E-4</c:v>
                </c:pt>
              </c:numCache>
            </c:numRef>
          </c:val>
          <c:extLst>
            <c:ext xmlns:c16="http://schemas.microsoft.com/office/drawing/2014/chart" uri="{C3380CC4-5D6E-409C-BE32-E72D297353CC}">
              <c16:uniqueId val="{00000000-1A4B-470C-AA21-8FFFA982003B}"/>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D0-489C-851A-3D23F971BF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D0-489C-851A-3D23F971BF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D0-489C-851A-3D23F971BF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D0-489C-851A-3D23F971BF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D0-489C-851A-3D23F971BF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D0-489C-851A-3D23F971BF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3D0-489C-851A-3D23F971BF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3D0-489C-851A-3D23F971BF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3D0-489C-851A-3D23F971BF68}"/>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model'!$C$1848:$C$1856</c:f>
              <c:strCache>
                <c:ptCount val="9"/>
                <c:pt idx="0">
                  <c:v>Raw Material Costs</c:v>
                </c:pt>
                <c:pt idx="1">
                  <c:v>Shaft Furnace</c:v>
                </c:pt>
                <c:pt idx="2">
                  <c:v>D&amp;A</c:v>
                </c:pt>
                <c:pt idx="3">
                  <c:v>EAF</c:v>
                </c:pt>
                <c:pt idx="4">
                  <c:v>Labor</c:v>
                </c:pt>
                <c:pt idx="5">
                  <c:v>SG&amp;A</c:v>
                </c:pt>
                <c:pt idx="6">
                  <c:v>Interest</c:v>
                </c:pt>
                <c:pt idx="7">
                  <c:v>Auxiliaries</c:v>
                </c:pt>
                <c:pt idx="8">
                  <c:v>Storage &amp; Cold Processing</c:v>
                </c:pt>
              </c:strCache>
            </c:strRef>
          </c:cat>
          <c:val>
            <c:numRef>
              <c:f>'Plant model'!$H$1848:$H$1856</c:f>
              <c:numCache>
                <c:formatCode>0.00%</c:formatCode>
                <c:ptCount val="9"/>
                <c:pt idx="0">
                  <c:v>0.48250673132090749</c:v>
                </c:pt>
                <c:pt idx="1">
                  <c:v>0.14074265042252776</c:v>
                </c:pt>
                <c:pt idx="2">
                  <c:v>0.13592453341613045</c:v>
                </c:pt>
                <c:pt idx="3">
                  <c:v>0.13048450652796026</c:v>
                </c:pt>
                <c:pt idx="4">
                  <c:v>3.6148229805706929E-2</c:v>
                </c:pt>
                <c:pt idx="5">
                  <c:v>3.5362816904570611E-2</c:v>
                </c:pt>
                <c:pt idx="6">
                  <c:v>2.0424711330929757E-2</c:v>
                </c:pt>
                <c:pt idx="7">
                  <c:v>1.7429311339634351E-2</c:v>
                </c:pt>
                <c:pt idx="8">
                  <c:v>9.7650893163242405E-4</c:v>
                </c:pt>
              </c:numCache>
            </c:numRef>
          </c:val>
          <c:extLst>
            <c:ext xmlns:c16="http://schemas.microsoft.com/office/drawing/2014/chart" uri="{C3380CC4-5D6E-409C-BE32-E72D297353CC}">
              <c16:uniqueId val="{00000012-E3D0-489C-851A-3D23F971BF6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'EBITDA Backtest'!$N$5</c:f>
              <c:strCache>
                <c:ptCount val="1"/>
                <c:pt idx="0">
                  <c:v>NPI Premium - $100/t</c:v>
                </c:pt>
              </c:strCache>
            </c:strRef>
          </c:tx>
          <c:spPr>
            <a:ln w="28575" cap="rnd">
              <a:solidFill>
                <a:schemeClr val="accent1"/>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Backtest'!$N$6:$N$66</c:f>
              <c:numCache>
                <c:formatCode>#,##0.00_);\(#,##0.00\)</c:formatCode>
                <c:ptCount val="61"/>
                <c:pt idx="0">
                  <c:v>78.895636610989399</c:v>
                </c:pt>
                <c:pt idx="1">
                  <c:v>55.608155290581522</c:v>
                </c:pt>
                <c:pt idx="2">
                  <c:v>60.501075677450935</c:v>
                </c:pt>
                <c:pt idx="3">
                  <c:v>51.895865020251527</c:v>
                </c:pt>
                <c:pt idx="4">
                  <c:v>48.835385517984847</c:v>
                </c:pt>
                <c:pt idx="5">
                  <c:v>56.662593185396624</c:v>
                </c:pt>
                <c:pt idx="6">
                  <c:v>70.216546609937765</c:v>
                </c:pt>
                <c:pt idx="7">
                  <c:v>64.978190557501549</c:v>
                </c:pt>
                <c:pt idx="8">
                  <c:v>78.833149880568826</c:v>
                </c:pt>
                <c:pt idx="9">
                  <c:v>72.371459800255124</c:v>
                </c:pt>
                <c:pt idx="10">
                  <c:v>71.390641149380912</c:v>
                </c:pt>
                <c:pt idx="11">
                  <c:v>78.392233166585726</c:v>
                </c:pt>
                <c:pt idx="12">
                  <c:v>78.337261800115158</c:v>
                </c:pt>
                <c:pt idx="13">
                  <c:v>74.37797656199993</c:v>
                </c:pt>
                <c:pt idx="14">
                  <c:v>66.513201864279267</c:v>
                </c:pt>
                <c:pt idx="15">
                  <c:v>72.125275208875323</c:v>
                </c:pt>
                <c:pt idx="16">
                  <c:v>64.979181094192995</c:v>
                </c:pt>
                <c:pt idx="17">
                  <c:v>72.274111748167073</c:v>
                </c:pt>
                <c:pt idx="18">
                  <c:v>77.149391593534176</c:v>
                </c:pt>
                <c:pt idx="19">
                  <c:v>72.895083824998423</c:v>
                </c:pt>
                <c:pt idx="20">
                  <c:v>67.980917281555875</c:v>
                </c:pt>
                <c:pt idx="21">
                  <c:v>67.10746259829979</c:v>
                </c:pt>
                <c:pt idx="22">
                  <c:v>76.046946205882918</c:v>
                </c:pt>
                <c:pt idx="23">
                  <c:v>65.03646437035232</c:v>
                </c:pt>
                <c:pt idx="24">
                  <c:v>60.07939356973931</c:v>
                </c:pt>
                <c:pt idx="25">
                  <c:v>77.156090218325801</c:v>
                </c:pt>
                <c:pt idx="26">
                  <c:v>81.348131005812945</c:v>
                </c:pt>
                <c:pt idx="27">
                  <c:v>57.476271724777639</c:v>
                </c:pt>
                <c:pt idx="28">
                  <c:v>55.347682638048255</c:v>
                </c:pt>
                <c:pt idx="29">
                  <c:v>52.882023711224711</c:v>
                </c:pt>
                <c:pt idx="30">
                  <c:v>37.57900181745093</c:v>
                </c:pt>
                <c:pt idx="31">
                  <c:v>38.060071831753199</c:v>
                </c:pt>
                <c:pt idx="32">
                  <c:v>54.498344033729694</c:v>
                </c:pt>
                <c:pt idx="33">
                  <c:v>57.239470406247321</c:v>
                </c:pt>
                <c:pt idx="34">
                  <c:v>62.137470782573104</c:v>
                </c:pt>
                <c:pt idx="35">
                  <c:v>60.108148495523338</c:v>
                </c:pt>
                <c:pt idx="36">
                  <c:v>52.467700368175493</c:v>
                </c:pt>
                <c:pt idx="37">
                  <c:v>50.63947914801502</c:v>
                </c:pt>
                <c:pt idx="38">
                  <c:v>51.08817107105817</c:v>
                </c:pt>
                <c:pt idx="39">
                  <c:v>48.208378508010234</c:v>
                </c:pt>
                <c:pt idx="40">
                  <c:v>46.796406632998462</c:v>
                </c:pt>
                <c:pt idx="41">
                  <c:v>47.17346219102199</c:v>
                </c:pt>
                <c:pt idx="42">
                  <c:v>52.898938467568556</c:v>
                </c:pt>
                <c:pt idx="43">
                  <c:v>57.815479216202085</c:v>
                </c:pt>
                <c:pt idx="44">
                  <c:v>65.851232779893337</c:v>
                </c:pt>
                <c:pt idx="45">
                  <c:v>65.966092797411889</c:v>
                </c:pt>
                <c:pt idx="46">
                  <c:v>76.256806265070296</c:v>
                </c:pt>
                <c:pt idx="47">
                  <c:v>81.712297319807547</c:v>
                </c:pt>
                <c:pt idx="48">
                  <c:v>77.599229577592084</c:v>
                </c:pt>
                <c:pt idx="49">
                  <c:v>78.776004398660007</c:v>
                </c:pt>
                <c:pt idx="50">
                  <c:v>89.777440515607253</c:v>
                </c:pt>
                <c:pt idx="51">
                  <c:v>91.450182553997578</c:v>
                </c:pt>
                <c:pt idx="52">
                  <c:v>88.591446191108915</c:v>
                </c:pt>
                <c:pt idx="53">
                  <c:v>87.007769641110713</c:v>
                </c:pt>
                <c:pt idx="54">
                  <c:v>84.145484121284625</c:v>
                </c:pt>
                <c:pt idx="55">
                  <c:v>80.468972581477431</c:v>
                </c:pt>
                <c:pt idx="56">
                  <c:v>51.923396437313947</c:v>
                </c:pt>
                <c:pt idx="57">
                  <c:v>53.469300320038528</c:v>
                </c:pt>
                <c:pt idx="58">
                  <c:v>47.075965866070007</c:v>
                </c:pt>
                <c:pt idx="59">
                  <c:v>51.424660902179795</c:v>
                </c:pt>
                <c:pt idx="60">
                  <c:v>59.706893079217551</c:v>
                </c:pt>
              </c:numCache>
            </c:numRef>
          </c:val>
          <c:smooth val="0"/>
          <c:extLst>
            <c:ext xmlns:c16="http://schemas.microsoft.com/office/drawing/2014/chart" uri="{C3380CC4-5D6E-409C-BE32-E72D297353CC}">
              <c16:uniqueId val="{00000000-7968-40DC-A05B-7BE46E1AE21E}"/>
            </c:ext>
          </c:extLst>
        </c:ser>
        <c:ser>
          <c:idx val="1"/>
          <c:order val="1"/>
          <c:tx>
            <c:strRef>
              <c:f>'EBITDA Backtest'!$O$5</c:f>
              <c:strCache>
                <c:ptCount val="1"/>
                <c:pt idx="0">
                  <c:v>NPI Premium - $80/t</c:v>
                </c:pt>
              </c:strCache>
            </c:strRef>
          </c:tx>
          <c:spPr>
            <a:ln w="28575" cap="rnd">
              <a:solidFill>
                <a:schemeClr val="accent2"/>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Backtest'!$O$6:$O$66</c:f>
              <c:numCache>
                <c:formatCode>#,##0.00_);\(#,##0.00\)</c:formatCode>
                <c:ptCount val="61"/>
                <c:pt idx="0">
                  <c:v>70.523142914989421</c:v>
                </c:pt>
                <c:pt idx="1">
                  <c:v>47.235661594581508</c:v>
                </c:pt>
                <c:pt idx="2">
                  <c:v>52.128581981450921</c:v>
                </c:pt>
                <c:pt idx="3">
                  <c:v>43.523371324251542</c:v>
                </c:pt>
                <c:pt idx="4">
                  <c:v>40.462891821984833</c:v>
                </c:pt>
                <c:pt idx="5">
                  <c:v>48.290099489396617</c:v>
                </c:pt>
                <c:pt idx="6">
                  <c:v>61.84405291393778</c:v>
                </c:pt>
                <c:pt idx="7">
                  <c:v>56.605696861501514</c:v>
                </c:pt>
                <c:pt idx="8">
                  <c:v>70.460656184568847</c:v>
                </c:pt>
                <c:pt idx="9">
                  <c:v>63.998966104255139</c:v>
                </c:pt>
                <c:pt idx="10">
                  <c:v>63.018147453380934</c:v>
                </c:pt>
                <c:pt idx="11">
                  <c:v>70.019739470585733</c:v>
                </c:pt>
                <c:pt idx="12">
                  <c:v>69.964768104115123</c:v>
                </c:pt>
                <c:pt idx="13">
                  <c:v>66.005482865999895</c:v>
                </c:pt>
                <c:pt idx="14">
                  <c:v>58.140708168279232</c:v>
                </c:pt>
                <c:pt idx="15">
                  <c:v>63.752781512875345</c:v>
                </c:pt>
                <c:pt idx="16">
                  <c:v>56.60668739819301</c:v>
                </c:pt>
                <c:pt idx="17">
                  <c:v>63.901618052167052</c:v>
                </c:pt>
                <c:pt idx="18">
                  <c:v>68.77689789753417</c:v>
                </c:pt>
                <c:pt idx="19">
                  <c:v>64.522590128998445</c:v>
                </c:pt>
                <c:pt idx="20">
                  <c:v>59.60842358555589</c:v>
                </c:pt>
                <c:pt idx="21">
                  <c:v>58.734968902299777</c:v>
                </c:pt>
                <c:pt idx="22">
                  <c:v>67.674452509882911</c:v>
                </c:pt>
                <c:pt idx="23">
                  <c:v>56.663970674352342</c:v>
                </c:pt>
                <c:pt idx="24">
                  <c:v>51.706899873739324</c:v>
                </c:pt>
                <c:pt idx="25">
                  <c:v>68.783596522325823</c:v>
                </c:pt>
                <c:pt idx="26">
                  <c:v>72.975637309812953</c:v>
                </c:pt>
                <c:pt idx="27">
                  <c:v>49.103778028777626</c:v>
                </c:pt>
                <c:pt idx="28">
                  <c:v>46.975188942048241</c:v>
                </c:pt>
                <c:pt idx="29">
                  <c:v>44.509530015224698</c:v>
                </c:pt>
                <c:pt idx="30">
                  <c:v>29.206508121450923</c:v>
                </c:pt>
                <c:pt idx="31">
                  <c:v>29.687578135753192</c:v>
                </c:pt>
                <c:pt idx="32">
                  <c:v>46.12585033772968</c:v>
                </c:pt>
                <c:pt idx="33">
                  <c:v>48.866976710247343</c:v>
                </c:pt>
                <c:pt idx="34">
                  <c:v>53.764977086573126</c:v>
                </c:pt>
                <c:pt idx="35">
                  <c:v>51.735654799523331</c:v>
                </c:pt>
                <c:pt idx="36">
                  <c:v>44.095206672175479</c:v>
                </c:pt>
                <c:pt idx="37">
                  <c:v>42.266985452015007</c:v>
                </c:pt>
                <c:pt idx="38">
                  <c:v>42.715677375058192</c:v>
                </c:pt>
                <c:pt idx="39">
                  <c:v>39.835884812010228</c:v>
                </c:pt>
                <c:pt idx="40">
                  <c:v>38.423912936998455</c:v>
                </c:pt>
                <c:pt idx="41">
                  <c:v>38.800968495021984</c:v>
                </c:pt>
                <c:pt idx="42">
                  <c:v>44.526444771568571</c:v>
                </c:pt>
                <c:pt idx="43">
                  <c:v>49.442985520202072</c:v>
                </c:pt>
                <c:pt idx="44">
                  <c:v>57.478739083893316</c:v>
                </c:pt>
                <c:pt idx="45">
                  <c:v>57.593599101411876</c:v>
                </c:pt>
                <c:pt idx="46">
                  <c:v>67.884312569070275</c:v>
                </c:pt>
                <c:pt idx="47">
                  <c:v>73.339803623807526</c:v>
                </c:pt>
                <c:pt idx="48">
                  <c:v>69.226735881592106</c:v>
                </c:pt>
                <c:pt idx="49">
                  <c:v>70.40351070266</c:v>
                </c:pt>
                <c:pt idx="50">
                  <c:v>81.404946819607275</c:v>
                </c:pt>
                <c:pt idx="51">
                  <c:v>83.077688857997572</c:v>
                </c:pt>
                <c:pt idx="52">
                  <c:v>80.218952495108908</c:v>
                </c:pt>
                <c:pt idx="53">
                  <c:v>78.635275945110735</c:v>
                </c:pt>
                <c:pt idx="54">
                  <c:v>75.772990425284647</c:v>
                </c:pt>
                <c:pt idx="55">
                  <c:v>72.096478885477424</c:v>
                </c:pt>
                <c:pt idx="56">
                  <c:v>43.550902741313962</c:v>
                </c:pt>
                <c:pt idx="57">
                  <c:v>45.096806624038521</c:v>
                </c:pt>
                <c:pt idx="58">
                  <c:v>38.70347217007</c:v>
                </c:pt>
                <c:pt idx="59">
                  <c:v>43.052167206179817</c:v>
                </c:pt>
                <c:pt idx="60">
                  <c:v>51.334399383217544</c:v>
                </c:pt>
              </c:numCache>
            </c:numRef>
          </c:val>
          <c:smooth val="0"/>
          <c:extLst>
            <c:ext xmlns:c16="http://schemas.microsoft.com/office/drawing/2014/chart" uri="{C3380CC4-5D6E-409C-BE32-E72D297353CC}">
              <c16:uniqueId val="{00000001-7968-40DC-A05B-7BE46E1AE21E}"/>
            </c:ext>
          </c:extLst>
        </c:ser>
        <c:ser>
          <c:idx val="2"/>
          <c:order val="2"/>
          <c:tx>
            <c:strRef>
              <c:f>'EBITDA Backtest'!$P$5</c:f>
              <c:strCache>
                <c:ptCount val="1"/>
                <c:pt idx="0">
                  <c:v>NPI Premium - $60/t</c:v>
                </c:pt>
              </c:strCache>
            </c:strRef>
          </c:tx>
          <c:spPr>
            <a:ln w="28575" cap="rnd">
              <a:solidFill>
                <a:schemeClr val="accent3"/>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Backtest'!$P$6:$P$66</c:f>
              <c:numCache>
                <c:formatCode>#,##0.00_);\(#,##0.00\)</c:formatCode>
                <c:ptCount val="61"/>
                <c:pt idx="0">
                  <c:v>70.523142914989421</c:v>
                </c:pt>
                <c:pt idx="1">
                  <c:v>38.863167898581523</c:v>
                </c:pt>
                <c:pt idx="2">
                  <c:v>43.756088285450915</c:v>
                </c:pt>
                <c:pt idx="3">
                  <c:v>35.150877628251536</c:v>
                </c:pt>
                <c:pt idx="4">
                  <c:v>32.090398125984848</c:v>
                </c:pt>
                <c:pt idx="5">
                  <c:v>39.917605793396604</c:v>
                </c:pt>
                <c:pt idx="6">
                  <c:v>53.471559217937795</c:v>
                </c:pt>
                <c:pt idx="7">
                  <c:v>48.233203165501529</c:v>
                </c:pt>
                <c:pt idx="8">
                  <c:v>62.088162488568862</c:v>
                </c:pt>
                <c:pt idx="9">
                  <c:v>55.626472408255161</c:v>
                </c:pt>
                <c:pt idx="10">
                  <c:v>54.645653757380892</c:v>
                </c:pt>
                <c:pt idx="11">
                  <c:v>61.647245774585755</c:v>
                </c:pt>
                <c:pt idx="12">
                  <c:v>61.592274408115138</c:v>
                </c:pt>
                <c:pt idx="13">
                  <c:v>57.63298916999991</c:v>
                </c:pt>
                <c:pt idx="14">
                  <c:v>49.768214472279247</c:v>
                </c:pt>
                <c:pt idx="15">
                  <c:v>55.380287816875331</c:v>
                </c:pt>
                <c:pt idx="16">
                  <c:v>48.234193702193004</c:v>
                </c:pt>
                <c:pt idx="17">
                  <c:v>55.529124356167046</c:v>
                </c:pt>
                <c:pt idx="18">
                  <c:v>60.404404201534192</c:v>
                </c:pt>
                <c:pt idx="19">
                  <c:v>56.150096432998438</c:v>
                </c:pt>
                <c:pt idx="20">
                  <c:v>51.235929889555884</c:v>
                </c:pt>
                <c:pt idx="21">
                  <c:v>50.36247520629977</c:v>
                </c:pt>
                <c:pt idx="22">
                  <c:v>59.301958813882905</c:v>
                </c:pt>
                <c:pt idx="23">
                  <c:v>48.291476978352335</c:v>
                </c:pt>
                <c:pt idx="24">
                  <c:v>43.334406177739318</c:v>
                </c:pt>
                <c:pt idx="25">
                  <c:v>60.411102826325781</c:v>
                </c:pt>
                <c:pt idx="26">
                  <c:v>64.603143613812946</c:v>
                </c:pt>
                <c:pt idx="27">
                  <c:v>40.731284332777648</c:v>
                </c:pt>
                <c:pt idx="28">
                  <c:v>38.602695246048263</c:v>
                </c:pt>
                <c:pt idx="29">
                  <c:v>36.137036319224691</c:v>
                </c:pt>
                <c:pt idx="30">
                  <c:v>20.834014425450938</c:v>
                </c:pt>
                <c:pt idx="31">
                  <c:v>21.315084439753178</c:v>
                </c:pt>
                <c:pt idx="32">
                  <c:v>37.753356641729646</c:v>
                </c:pt>
                <c:pt idx="33">
                  <c:v>40.494483014247329</c:v>
                </c:pt>
                <c:pt idx="34">
                  <c:v>45.392483390573112</c:v>
                </c:pt>
                <c:pt idx="35">
                  <c:v>43.363161103523346</c:v>
                </c:pt>
                <c:pt idx="36">
                  <c:v>35.722712976175501</c:v>
                </c:pt>
                <c:pt idx="37">
                  <c:v>33.894491756015029</c:v>
                </c:pt>
                <c:pt idx="38">
                  <c:v>34.343183679058178</c:v>
                </c:pt>
                <c:pt idx="39">
                  <c:v>31.463391116010243</c:v>
                </c:pt>
                <c:pt idx="40">
                  <c:v>30.051419240998442</c:v>
                </c:pt>
                <c:pt idx="41">
                  <c:v>30.42847479902197</c:v>
                </c:pt>
                <c:pt idx="42">
                  <c:v>36.153951075568564</c:v>
                </c:pt>
                <c:pt idx="43">
                  <c:v>41.070491824202065</c:v>
                </c:pt>
                <c:pt idx="44">
                  <c:v>49.106245387893338</c:v>
                </c:pt>
                <c:pt idx="45">
                  <c:v>49.221105405411862</c:v>
                </c:pt>
                <c:pt idx="46">
                  <c:v>59.511818873070268</c:v>
                </c:pt>
                <c:pt idx="47">
                  <c:v>64.96730992780752</c:v>
                </c:pt>
                <c:pt idx="48">
                  <c:v>60.854242185592121</c:v>
                </c:pt>
                <c:pt idx="49">
                  <c:v>62.031017006660022</c:v>
                </c:pt>
                <c:pt idx="50">
                  <c:v>73.032453123607254</c:v>
                </c:pt>
                <c:pt idx="51">
                  <c:v>74.705195161997594</c:v>
                </c:pt>
                <c:pt idx="52">
                  <c:v>71.84645879910893</c:v>
                </c:pt>
                <c:pt idx="53">
                  <c:v>70.262782249110728</c:v>
                </c:pt>
                <c:pt idx="54">
                  <c:v>67.400496729284626</c:v>
                </c:pt>
                <c:pt idx="55">
                  <c:v>63.723985189477411</c:v>
                </c:pt>
                <c:pt idx="56">
                  <c:v>35.178409045313956</c:v>
                </c:pt>
                <c:pt idx="57">
                  <c:v>36.724312928038536</c:v>
                </c:pt>
                <c:pt idx="58">
                  <c:v>30.330978474070019</c:v>
                </c:pt>
                <c:pt idx="59">
                  <c:v>34.679673510179803</c:v>
                </c:pt>
                <c:pt idx="60">
                  <c:v>42.961905687217531</c:v>
                </c:pt>
              </c:numCache>
            </c:numRef>
          </c:val>
          <c:smooth val="0"/>
          <c:extLst>
            <c:ext xmlns:c16="http://schemas.microsoft.com/office/drawing/2014/chart" uri="{C3380CC4-5D6E-409C-BE32-E72D297353CC}">
              <c16:uniqueId val="{00000002-7968-40DC-A05B-7BE46E1AE21E}"/>
            </c:ext>
          </c:extLst>
        </c:ser>
        <c:ser>
          <c:idx val="3"/>
          <c:order val="3"/>
          <c:tx>
            <c:strRef>
              <c:f>'EBITDA Backtest'!$Q$5</c:f>
              <c:strCache>
                <c:ptCount val="1"/>
                <c:pt idx="0">
                  <c:v>NPI Premium - $0/t</c:v>
                </c:pt>
              </c:strCache>
            </c:strRef>
          </c:tx>
          <c:spPr>
            <a:ln w="28575" cap="rnd">
              <a:solidFill>
                <a:schemeClr val="accent4"/>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Backtest'!$Q$6:$Q$66</c:f>
              <c:numCache>
                <c:formatCode>#,##0.00_);\(#,##0.00\)</c:formatCode>
                <c:ptCount val="61"/>
                <c:pt idx="0">
                  <c:v>37.033168130989409</c:v>
                </c:pt>
                <c:pt idx="1">
                  <c:v>13.745686810581523</c:v>
                </c:pt>
                <c:pt idx="2">
                  <c:v>18.638607197450938</c:v>
                </c:pt>
                <c:pt idx="3">
                  <c:v>10.033396540251534</c:v>
                </c:pt>
                <c:pt idx="4">
                  <c:v>6.972917037984848</c:v>
                </c:pt>
                <c:pt idx="5">
                  <c:v>14.800124705396602</c:v>
                </c:pt>
                <c:pt idx="6">
                  <c:v>28.354078129937793</c:v>
                </c:pt>
                <c:pt idx="7">
                  <c:v>23.115722077501555</c:v>
                </c:pt>
                <c:pt idx="8">
                  <c:v>36.970681400568886</c:v>
                </c:pt>
                <c:pt idx="9">
                  <c:v>30.508991320255184</c:v>
                </c:pt>
                <c:pt idx="10">
                  <c:v>29.528172669380947</c:v>
                </c:pt>
                <c:pt idx="11">
                  <c:v>36.52976468658575</c:v>
                </c:pt>
                <c:pt idx="12">
                  <c:v>36.474793320115161</c:v>
                </c:pt>
                <c:pt idx="13">
                  <c:v>32.515508081999933</c:v>
                </c:pt>
                <c:pt idx="14">
                  <c:v>24.65073338427927</c:v>
                </c:pt>
                <c:pt idx="15">
                  <c:v>30.262806728875329</c:v>
                </c:pt>
                <c:pt idx="16">
                  <c:v>23.116712614192998</c:v>
                </c:pt>
                <c:pt idx="17">
                  <c:v>30.41164326816704</c:v>
                </c:pt>
                <c:pt idx="18">
                  <c:v>35.286923113534186</c:v>
                </c:pt>
                <c:pt idx="19">
                  <c:v>31.032615344998433</c:v>
                </c:pt>
                <c:pt idx="20">
                  <c:v>26.118448801555907</c:v>
                </c:pt>
                <c:pt idx="21">
                  <c:v>25.244994118299793</c:v>
                </c:pt>
                <c:pt idx="22">
                  <c:v>34.184477725882928</c:v>
                </c:pt>
                <c:pt idx="23">
                  <c:v>23.173995890352302</c:v>
                </c:pt>
                <c:pt idx="24">
                  <c:v>18.216925089739313</c:v>
                </c:pt>
                <c:pt idx="25">
                  <c:v>35.293621738325783</c:v>
                </c:pt>
                <c:pt idx="26">
                  <c:v>39.485662525812948</c:v>
                </c:pt>
                <c:pt idx="27">
                  <c:v>15.613803244777642</c:v>
                </c:pt>
                <c:pt idx="28">
                  <c:v>13.485214158048258</c:v>
                </c:pt>
                <c:pt idx="29">
                  <c:v>11.019555231224688</c:v>
                </c:pt>
                <c:pt idx="30">
                  <c:v>-4.2834666625490643</c:v>
                </c:pt>
                <c:pt idx="31">
                  <c:v>-3.8023966482468232</c:v>
                </c:pt>
                <c:pt idx="32">
                  <c:v>12.635875553729669</c:v>
                </c:pt>
                <c:pt idx="33">
                  <c:v>15.377001926247328</c:v>
                </c:pt>
                <c:pt idx="34">
                  <c:v>20.27500230257311</c:v>
                </c:pt>
                <c:pt idx="35">
                  <c:v>18.245680015523345</c:v>
                </c:pt>
                <c:pt idx="36">
                  <c:v>10.605231888175496</c:v>
                </c:pt>
                <c:pt idx="37">
                  <c:v>8.7770106680150235</c:v>
                </c:pt>
                <c:pt idx="38">
                  <c:v>9.2257025910581767</c:v>
                </c:pt>
                <c:pt idx="39">
                  <c:v>6.3459100280102403</c:v>
                </c:pt>
                <c:pt idx="40">
                  <c:v>4.933938152998441</c:v>
                </c:pt>
                <c:pt idx="41">
                  <c:v>5.3109937110219692</c:v>
                </c:pt>
                <c:pt idx="42">
                  <c:v>11.036469987568559</c:v>
                </c:pt>
                <c:pt idx="43">
                  <c:v>15.953010736202089</c:v>
                </c:pt>
                <c:pt idx="44">
                  <c:v>23.988764299893333</c:v>
                </c:pt>
                <c:pt idx="45">
                  <c:v>24.10362431741186</c:v>
                </c:pt>
                <c:pt idx="46">
                  <c:v>34.394337785070263</c:v>
                </c:pt>
                <c:pt idx="47">
                  <c:v>39.849828839807543</c:v>
                </c:pt>
                <c:pt idx="48">
                  <c:v>35.736761097592115</c:v>
                </c:pt>
                <c:pt idx="49">
                  <c:v>36.913535918660017</c:v>
                </c:pt>
                <c:pt idx="50">
                  <c:v>47.914972035607256</c:v>
                </c:pt>
                <c:pt idx="51">
                  <c:v>49.587714073997589</c:v>
                </c:pt>
                <c:pt idx="52">
                  <c:v>46.728977711108925</c:v>
                </c:pt>
                <c:pt idx="53">
                  <c:v>45.145301161110716</c:v>
                </c:pt>
                <c:pt idx="54">
                  <c:v>42.283015641284628</c:v>
                </c:pt>
                <c:pt idx="55">
                  <c:v>38.606504101477412</c:v>
                </c:pt>
                <c:pt idx="56">
                  <c:v>10.060927957313949</c:v>
                </c:pt>
                <c:pt idx="57">
                  <c:v>11.606831840038536</c:v>
                </c:pt>
                <c:pt idx="58">
                  <c:v>5.2134973860700153</c:v>
                </c:pt>
                <c:pt idx="59">
                  <c:v>9.5621924221798018</c:v>
                </c:pt>
                <c:pt idx="60">
                  <c:v>17.844424599217543</c:v>
                </c:pt>
              </c:numCache>
            </c:numRef>
          </c:val>
          <c:smooth val="0"/>
          <c:extLst>
            <c:ext xmlns:c16="http://schemas.microsoft.com/office/drawing/2014/chart" uri="{C3380CC4-5D6E-409C-BE32-E72D297353CC}">
              <c16:uniqueId val="{00000003-7968-40DC-A05B-7BE46E1AE21E}"/>
            </c:ext>
          </c:extLst>
        </c:ser>
        <c:dLbls>
          <c:showLegendKey val="0"/>
          <c:showVal val="0"/>
          <c:showCatName val="0"/>
          <c:showSerName val="0"/>
          <c:showPercent val="0"/>
          <c:showBubbleSize val="0"/>
        </c:dLbls>
        <c:smooth val="0"/>
        <c:axId val="666912304"/>
        <c:axId val="666655760"/>
      </c:lineChart>
      <c:dateAx>
        <c:axId val="66691230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655760"/>
        <c:crosses val="autoZero"/>
        <c:auto val="1"/>
        <c:lblOffset val="100"/>
        <c:baseTimeUnit val="days"/>
        <c:majorUnit val="6"/>
        <c:majorTimeUnit val="months"/>
      </c:dateAx>
      <c:valAx>
        <c:axId val="66665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NAIC Project EBITDA p.a. ($m)</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912304"/>
        <c:crosses val="autoZero"/>
        <c:crossBetween val="between"/>
      </c:valAx>
      <c:spPr>
        <a:noFill/>
        <a:ln>
          <a:noFill/>
        </a:ln>
        <a:effectLst/>
      </c:spPr>
    </c:plotArea>
    <c:legend>
      <c:legendPos val="b"/>
      <c:layout>
        <c:manualLayout>
          <c:xMode val="edge"/>
          <c:yMode val="edge"/>
          <c:x val="0.103079241249578"/>
          <c:y val="0.93645800524934397"/>
          <c:w val="0.86601229191039297"/>
          <c:h val="4.68753280839894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078133698267"/>
          <c:y val="2.7978111934107652E-2"/>
          <c:w val="0.84477233961469478"/>
          <c:h val="0.81147968263892845"/>
        </c:manualLayout>
      </c:layout>
      <c:lineChart>
        <c:grouping val="standard"/>
        <c:varyColors val="0"/>
        <c:ser>
          <c:idx val="0"/>
          <c:order val="0"/>
          <c:tx>
            <c:strRef>
              <c:f>'Charts 2'!$B$187</c:f>
              <c:strCache>
                <c:ptCount val="1"/>
                <c:pt idx="0">
                  <c:v>Opex</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2'!$D$187:$J$187</c:f>
              <c:numCache>
                <c:formatCode>#,##0.0_);\(#,##0.0\)</c:formatCode>
                <c:ptCount val="7"/>
                <c:pt idx="0">
                  <c:v>550.50094210868542</c:v>
                </c:pt>
                <c:pt idx="1">
                  <c:v>431.25619719560882</c:v>
                </c:pt>
                <c:pt idx="2">
                  <c:v>309.91531644868797</c:v>
                </c:pt>
                <c:pt idx="3">
                  <c:v>466.47861646229853</c:v>
                </c:pt>
                <c:pt idx="4">
                  <c:v>67.175612750663362</c:v>
                </c:pt>
                <c:pt idx="5">
                  <c:v>-54.194239098348845</c:v>
                </c:pt>
                <c:pt idx="6">
                  <c:v>-175.56409094736114</c:v>
                </c:pt>
              </c:numCache>
            </c:numRef>
          </c:val>
          <c:smooth val="0"/>
          <c:extLst>
            <c:ext xmlns:c16="http://schemas.microsoft.com/office/drawing/2014/chart" uri="{C3380CC4-5D6E-409C-BE32-E72D297353CC}">
              <c16:uniqueId val="{00000000-8A25-4539-82C9-EE0E7F0B8FEB}"/>
            </c:ext>
          </c:extLst>
        </c:ser>
        <c:ser>
          <c:idx val="1"/>
          <c:order val="1"/>
          <c:tx>
            <c:strRef>
              <c:f>'Charts 2'!$B$188</c:f>
              <c:strCache>
                <c:ptCount val="1"/>
                <c:pt idx="0">
                  <c:v>Iron ore price</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2'!$D$188:$J$188</c:f>
              <c:numCache>
                <c:formatCode>#,##0.0_);\(#,##0.0\)</c:formatCode>
                <c:ptCount val="7"/>
                <c:pt idx="0">
                  <c:v>236.37355548304254</c:v>
                </c:pt>
                <c:pt idx="1">
                  <c:v>220.43085852192038</c:v>
                </c:pt>
                <c:pt idx="2">
                  <c:v>204.48816156079798</c:v>
                </c:pt>
                <c:pt idx="3">
                  <c:v>466.47861646229853</c:v>
                </c:pt>
                <c:pt idx="4">
                  <c:v>172.60276763855379</c:v>
                </c:pt>
                <c:pt idx="5">
                  <c:v>156.66007067743197</c:v>
                </c:pt>
                <c:pt idx="6">
                  <c:v>140.71737371630968</c:v>
                </c:pt>
              </c:numCache>
            </c:numRef>
          </c:val>
          <c:smooth val="0"/>
          <c:extLst>
            <c:ext xmlns:c16="http://schemas.microsoft.com/office/drawing/2014/chart" uri="{C3380CC4-5D6E-409C-BE32-E72D297353CC}">
              <c16:uniqueId val="{00000001-8A25-4539-82C9-EE0E7F0B8FEB}"/>
            </c:ext>
          </c:extLst>
        </c:ser>
        <c:ser>
          <c:idx val="2"/>
          <c:order val="2"/>
          <c:tx>
            <c:strRef>
              <c:f>'Charts 2'!$B$189</c:f>
              <c:strCache>
                <c:ptCount val="1"/>
                <c:pt idx="0">
                  <c:v>Capex</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2'!$D$189:$J$189</c:f>
              <c:numCache>
                <c:formatCode>#,##0.0_);\(#,##0.0\)</c:formatCode>
                <c:ptCount val="7"/>
                <c:pt idx="0">
                  <c:v>283.16185417716213</c:v>
                </c:pt>
                <c:pt idx="1">
                  <c:v>251.650573942211</c:v>
                </c:pt>
                <c:pt idx="2">
                  <c:v>220.12014117768146</c:v>
                </c:pt>
                <c:pt idx="3">
                  <c:v>466.47861646229853</c:v>
                </c:pt>
                <c:pt idx="4">
                  <c:v>157.27290554656673</c:v>
                </c:pt>
                <c:pt idx="5">
                  <c:v>125.69822901531086</c:v>
                </c:pt>
                <c:pt idx="6">
                  <c:v>94.123552452351291</c:v>
                </c:pt>
              </c:numCache>
            </c:numRef>
          </c:val>
          <c:smooth val="0"/>
          <c:extLst>
            <c:ext xmlns:c16="http://schemas.microsoft.com/office/drawing/2014/chart" uri="{C3380CC4-5D6E-409C-BE32-E72D297353CC}">
              <c16:uniqueId val="{00000002-8A25-4539-82C9-EE0E7F0B8FEB}"/>
            </c:ext>
          </c:extLst>
        </c:ser>
        <c:ser>
          <c:idx val="3"/>
          <c:order val="3"/>
          <c:tx>
            <c:strRef>
              <c:f>'Charts 2'!$B$190</c:f>
              <c:strCache>
                <c:ptCount val="1"/>
                <c:pt idx="0">
                  <c:v>FX Rate</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2'!$D$190:$J$190</c:f>
              <c:numCache>
                <c:formatCode>#,##0.0_);\(#,##0.0\)</c:formatCode>
                <c:ptCount val="7"/>
                <c:pt idx="0">
                  <c:v>266.7600078891881</c:v>
                </c:pt>
                <c:pt idx="1">
                  <c:v>240.68849345935061</c:v>
                </c:pt>
                <c:pt idx="2">
                  <c:v>214.61697902951303</c:v>
                </c:pt>
                <c:pt idx="3">
                  <c:v>466.47861646229853</c:v>
                </c:pt>
                <c:pt idx="4">
                  <c:v>162.47395016983796</c:v>
                </c:pt>
                <c:pt idx="5">
                  <c:v>136.40243574000039</c:v>
                </c:pt>
                <c:pt idx="6">
                  <c:v>110.33092131016295</c:v>
                </c:pt>
              </c:numCache>
            </c:numRef>
          </c:val>
          <c:smooth val="0"/>
          <c:extLst>
            <c:ext xmlns:c16="http://schemas.microsoft.com/office/drawing/2014/chart" uri="{C3380CC4-5D6E-409C-BE32-E72D297353CC}">
              <c16:uniqueId val="{00000003-8A25-4539-82C9-EE0E7F0B8FEB}"/>
            </c:ext>
          </c:extLst>
        </c:ser>
        <c:dLbls>
          <c:showLegendKey val="0"/>
          <c:showVal val="0"/>
          <c:showCatName val="0"/>
          <c:showSerName val="0"/>
          <c:showPercent val="0"/>
          <c:showBubbleSize val="0"/>
        </c:dLbls>
        <c:smooth val="0"/>
        <c:axId val="665292992"/>
        <c:axId val="663070992"/>
      </c:lineChart>
      <c:catAx>
        <c:axId val="665292992"/>
        <c:scaling>
          <c:orientation val="minMax"/>
        </c:scaling>
        <c:delete val="0"/>
        <c:axPos val="b"/>
        <c:numFmt formatCode="0%" sourceLinked="1"/>
        <c:majorTickMark val="out"/>
        <c:minorTickMark val="none"/>
        <c:tickLblPos val="nextTo"/>
        <c:crossAx val="663070992"/>
        <c:crosses val="autoZero"/>
        <c:auto val="1"/>
        <c:lblAlgn val="ctr"/>
        <c:lblOffset val="100"/>
        <c:noMultiLvlLbl val="0"/>
      </c:catAx>
      <c:valAx>
        <c:axId val="663070992"/>
        <c:scaling>
          <c:orientation val="minMax"/>
        </c:scaling>
        <c:delete val="0"/>
        <c:axPos val="l"/>
        <c:majorGridlines/>
        <c:title>
          <c:tx>
            <c:rich>
              <a:bodyPr/>
              <a:lstStyle/>
              <a:p>
                <a:pPr>
                  <a:defRPr/>
                </a:pPr>
                <a:r>
                  <a:rPr lang="en-US"/>
                  <a:t>NPV (US$m)</a:t>
                </a:r>
              </a:p>
            </c:rich>
          </c:tx>
          <c:overlay val="0"/>
        </c:title>
        <c:numFmt formatCode="#,##0.0_);\(#,##0.0\)" sourceLinked="1"/>
        <c:majorTickMark val="out"/>
        <c:minorTickMark val="none"/>
        <c:tickLblPos val="nextTo"/>
        <c:crossAx val="665292992"/>
        <c:crosses val="autoZero"/>
        <c:crossBetween val="between"/>
      </c:valAx>
    </c:plotArea>
    <c:legend>
      <c:legendPos val="b"/>
      <c:layout>
        <c:manualLayout>
          <c:xMode val="edge"/>
          <c:yMode val="edge"/>
          <c:x val="0"/>
          <c:y val="0.91328272614575534"/>
          <c:w val="0.99943074565162204"/>
          <c:h val="8.671727385424465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384005927134157E-2"/>
          <c:y val="5.0932429518283577E-2"/>
          <c:w val="0.89532861676910569"/>
          <c:h val="0.77948629774531475"/>
        </c:manualLayout>
      </c:layout>
      <c:lineChart>
        <c:grouping val="standard"/>
        <c:varyColors val="0"/>
        <c:ser>
          <c:idx val="0"/>
          <c:order val="0"/>
          <c:tx>
            <c:strRef>
              <c:f>'Charts 2'!$B$220</c:f>
              <c:strCache>
                <c:ptCount val="1"/>
                <c:pt idx="0">
                  <c:v>Opex</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2'!$D$220:$J$220</c:f>
              <c:numCache>
                <c:formatCode>0.0%</c:formatCode>
                <c:ptCount val="7"/>
                <c:pt idx="0">
                  <c:v>0.25369725539074661</c:v>
                </c:pt>
                <c:pt idx="1">
                  <c:v>0.22255714268313609</c:v>
                </c:pt>
                <c:pt idx="2">
                  <c:v>0.18950698578159342</c:v>
                </c:pt>
                <c:pt idx="3">
                  <c:v>0.20405463977629545</c:v>
                </c:pt>
                <c:pt idx="4">
                  <c:v>0.11490952751361094</c:v>
                </c:pt>
                <c:pt idx="5">
                  <c:v>7.0300521768470237E-2</c:v>
                </c:pt>
                <c:pt idx="6">
                  <c:v>6.8049620792822729E-3</c:v>
                </c:pt>
              </c:numCache>
            </c:numRef>
          </c:val>
          <c:smooth val="0"/>
          <c:extLst>
            <c:ext xmlns:c16="http://schemas.microsoft.com/office/drawing/2014/chart" uri="{C3380CC4-5D6E-409C-BE32-E72D297353CC}">
              <c16:uniqueId val="{00000000-A986-403E-AE7F-3DB3E1270B3C}"/>
            </c:ext>
          </c:extLst>
        </c:ser>
        <c:ser>
          <c:idx val="1"/>
          <c:order val="1"/>
          <c:tx>
            <c:strRef>
              <c:f>'Charts 2'!$B$221</c:f>
              <c:strCache>
                <c:ptCount val="1"/>
                <c:pt idx="0">
                  <c:v>Iron ore price</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2'!$D$221:$J$221</c:f>
              <c:numCache>
                <c:formatCode>0.0%</c:formatCode>
                <c:ptCount val="7"/>
                <c:pt idx="0">
                  <c:v>0.16941129515358089</c:v>
                </c:pt>
                <c:pt idx="1">
                  <c:v>0.16424457613563237</c:v>
                </c:pt>
                <c:pt idx="2">
                  <c:v>0.15908578868420498</c:v>
                </c:pt>
                <c:pt idx="3">
                  <c:v>0.20405463977629545</c:v>
                </c:pt>
                <c:pt idx="4">
                  <c:v>0.14875255911122265</c:v>
                </c:pt>
                <c:pt idx="5">
                  <c:v>0.14356993636431437</c:v>
                </c:pt>
                <c:pt idx="6">
                  <c:v>0.13838688724268677</c:v>
                </c:pt>
              </c:numCache>
            </c:numRef>
          </c:val>
          <c:smooth val="0"/>
          <c:extLst>
            <c:ext xmlns:c16="http://schemas.microsoft.com/office/drawing/2014/chart" uri="{C3380CC4-5D6E-409C-BE32-E72D297353CC}">
              <c16:uniqueId val="{00000001-A986-403E-AE7F-3DB3E1270B3C}"/>
            </c:ext>
          </c:extLst>
        </c:ser>
        <c:ser>
          <c:idx val="2"/>
          <c:order val="2"/>
          <c:tx>
            <c:strRef>
              <c:f>'Charts 2'!$B$222</c:f>
              <c:strCache>
                <c:ptCount val="1"/>
                <c:pt idx="0">
                  <c:v>Capex</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2'!$D$222:$J$222</c:f>
              <c:numCache>
                <c:formatCode>0.0%</c:formatCode>
                <c:ptCount val="7"/>
                <c:pt idx="0">
                  <c:v>0.2108645281224184</c:v>
                </c:pt>
                <c:pt idx="1">
                  <c:v>0.18847507371244432</c:v>
                </c:pt>
                <c:pt idx="2">
                  <c:v>0.16981177987672069</c:v>
                </c:pt>
                <c:pt idx="3">
                  <c:v>0.20405463977629545</c:v>
                </c:pt>
                <c:pt idx="4">
                  <c:v>0.14052997672239309</c:v>
                </c:pt>
                <c:pt idx="5">
                  <c:v>0.12854194509243255</c:v>
                </c:pt>
                <c:pt idx="6">
                  <c:v>0.11794957505848336</c:v>
                </c:pt>
              </c:numCache>
            </c:numRef>
          </c:val>
          <c:smooth val="0"/>
          <c:extLst>
            <c:ext xmlns:c16="http://schemas.microsoft.com/office/drawing/2014/chart" uri="{C3380CC4-5D6E-409C-BE32-E72D297353CC}">
              <c16:uniqueId val="{00000002-A986-403E-AE7F-3DB3E1270B3C}"/>
            </c:ext>
          </c:extLst>
        </c:ser>
        <c:ser>
          <c:idx val="3"/>
          <c:order val="3"/>
          <c:tx>
            <c:strRef>
              <c:f>'Charts 2'!$B$223</c:f>
              <c:strCache>
                <c:ptCount val="1"/>
                <c:pt idx="0">
                  <c:v>FX Rate</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2'!$D$223:$J$223</c:f>
              <c:numCache>
                <c:formatCode>0.0%</c:formatCode>
                <c:ptCount val="7"/>
                <c:pt idx="0">
                  <c:v>0.17778449315493372</c:v>
                </c:pt>
                <c:pt idx="1">
                  <c:v>0.16999399896557965</c:v>
                </c:pt>
                <c:pt idx="2">
                  <c:v>0.16203043063893419</c:v>
                </c:pt>
                <c:pt idx="3">
                  <c:v>0.20405463977629545</c:v>
                </c:pt>
                <c:pt idx="4">
                  <c:v>0.14562775253672999</c:v>
                </c:pt>
                <c:pt idx="5">
                  <c:v>0.13714791273921945</c:v>
                </c:pt>
                <c:pt idx="6">
                  <c:v>0.12845127221016805</c:v>
                </c:pt>
              </c:numCache>
            </c:numRef>
          </c:val>
          <c:smooth val="0"/>
          <c:extLst>
            <c:ext xmlns:c16="http://schemas.microsoft.com/office/drawing/2014/chart" uri="{C3380CC4-5D6E-409C-BE32-E72D297353CC}">
              <c16:uniqueId val="{00000003-A986-403E-AE7F-3DB3E1270B3C}"/>
            </c:ext>
          </c:extLst>
        </c:ser>
        <c:dLbls>
          <c:showLegendKey val="0"/>
          <c:showVal val="0"/>
          <c:showCatName val="0"/>
          <c:showSerName val="0"/>
          <c:showPercent val="0"/>
          <c:showBubbleSize val="0"/>
        </c:dLbls>
        <c:smooth val="0"/>
        <c:axId val="667954176"/>
        <c:axId val="667958176"/>
      </c:lineChart>
      <c:catAx>
        <c:axId val="667954176"/>
        <c:scaling>
          <c:orientation val="minMax"/>
        </c:scaling>
        <c:delete val="0"/>
        <c:axPos val="b"/>
        <c:numFmt formatCode="0%" sourceLinked="1"/>
        <c:majorTickMark val="out"/>
        <c:minorTickMark val="none"/>
        <c:tickLblPos val="nextTo"/>
        <c:crossAx val="667958176"/>
        <c:crosses val="autoZero"/>
        <c:auto val="1"/>
        <c:lblAlgn val="ctr"/>
        <c:lblOffset val="100"/>
        <c:noMultiLvlLbl val="0"/>
      </c:catAx>
      <c:valAx>
        <c:axId val="667958176"/>
        <c:scaling>
          <c:orientation val="minMax"/>
        </c:scaling>
        <c:delete val="0"/>
        <c:axPos val="l"/>
        <c:majorGridlines/>
        <c:numFmt formatCode="0.0%" sourceLinked="1"/>
        <c:majorTickMark val="out"/>
        <c:minorTickMark val="none"/>
        <c:tickLblPos val="nextTo"/>
        <c:crossAx val="667954176"/>
        <c:crosses val="autoZero"/>
        <c:crossBetween val="between"/>
        <c:majorUnit val="0.08"/>
      </c:valAx>
    </c:plotArea>
    <c:legend>
      <c:legendPos val="b"/>
      <c:layout>
        <c:manualLayout>
          <c:xMode val="edge"/>
          <c:yMode val="edge"/>
          <c:x val="7.9194374327750327E-4"/>
          <c:y val="0.88570527591078352"/>
          <c:w val="0.99841595297602692"/>
          <c:h val="0.1142947240892164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1188012670879"/>
          <c:y val="5.090152175341342E-2"/>
          <c:w val="0.85244828676549644"/>
          <c:h val="0.76586606808288815"/>
        </c:manualLayout>
      </c:layout>
      <c:lineChart>
        <c:grouping val="standard"/>
        <c:varyColors val="0"/>
        <c:ser>
          <c:idx val="0"/>
          <c:order val="0"/>
          <c:tx>
            <c:strRef>
              <c:f>'Charts 2'!$B$254</c:f>
              <c:strCache>
                <c:ptCount val="1"/>
                <c:pt idx="0">
                  <c:v>Opex</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2'!$D$254:$J$254</c:f>
              <c:numCache>
                <c:formatCode>#,##0.0_);\(#,##0.0\)</c:formatCode>
                <c:ptCount val="7"/>
                <c:pt idx="0">
                  <c:v>469.57488454157215</c:v>
                </c:pt>
                <c:pt idx="1">
                  <c:v>412.83997050804902</c:v>
                </c:pt>
                <c:pt idx="2">
                  <c:v>354.4557292258537</c:v>
                </c:pt>
                <c:pt idx="3">
                  <c:v>458.55534678290945</c:v>
                </c:pt>
                <c:pt idx="4">
                  <c:v>213.3250921296268</c:v>
                </c:pt>
                <c:pt idx="5">
                  <c:v>140.65976338549069</c:v>
                </c:pt>
                <c:pt idx="6">
                  <c:v>67.994434641354459</c:v>
                </c:pt>
              </c:numCache>
            </c:numRef>
          </c:val>
          <c:smooth val="0"/>
          <c:extLst>
            <c:ext xmlns:c16="http://schemas.microsoft.com/office/drawing/2014/chart" uri="{C3380CC4-5D6E-409C-BE32-E72D297353CC}">
              <c16:uniqueId val="{00000000-E265-4FDA-A680-5BDE368DB8D7}"/>
            </c:ext>
          </c:extLst>
        </c:ser>
        <c:ser>
          <c:idx val="1"/>
          <c:order val="1"/>
          <c:tx>
            <c:strRef>
              <c:f>'Charts 2'!$B$255</c:f>
              <c:strCache>
                <c:ptCount val="1"/>
                <c:pt idx="0">
                  <c:v>Iron ore price</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2'!$D$255:$J$255</c:f>
              <c:numCache>
                <c:formatCode>#,##0.0_);\(#,##0.0\)</c:formatCode>
                <c:ptCount val="7"/>
                <c:pt idx="0">
                  <c:v>316.50118375788298</c:v>
                </c:pt>
                <c:pt idx="1">
                  <c:v>306.49235858249398</c:v>
                </c:pt>
                <c:pt idx="2">
                  <c:v>296.24138972812841</c:v>
                </c:pt>
                <c:pt idx="3">
                  <c:v>458.55534678290945</c:v>
                </c:pt>
                <c:pt idx="4">
                  <c:v>275.73945201939779</c:v>
                </c:pt>
                <c:pt idx="5">
                  <c:v>265.48848316503273</c:v>
                </c:pt>
                <c:pt idx="6">
                  <c:v>255.23751431066736</c:v>
                </c:pt>
              </c:numCache>
            </c:numRef>
          </c:val>
          <c:smooth val="0"/>
          <c:extLst>
            <c:ext xmlns:c16="http://schemas.microsoft.com/office/drawing/2014/chart" uri="{C3380CC4-5D6E-409C-BE32-E72D297353CC}">
              <c16:uniqueId val="{00000001-E265-4FDA-A680-5BDE368DB8D7}"/>
            </c:ext>
          </c:extLst>
        </c:ser>
        <c:ser>
          <c:idx val="2"/>
          <c:order val="2"/>
          <c:tx>
            <c:strRef>
              <c:f>'Charts 2'!$B$256</c:f>
              <c:strCache>
                <c:ptCount val="1"/>
                <c:pt idx="0">
                  <c:v>Capex</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2'!$D$256:$J$256</c:f>
              <c:numCache>
                <c:formatCode>#,##0.0_);\(#,##0.0\)</c:formatCode>
                <c:ptCount val="7"/>
                <c:pt idx="0">
                  <c:v>283.61439246118744</c:v>
                </c:pt>
                <c:pt idx="1">
                  <c:v>286.45241287564926</c:v>
                </c:pt>
                <c:pt idx="2">
                  <c:v>287.22400594543296</c:v>
                </c:pt>
                <c:pt idx="3">
                  <c:v>458.55534678290945</c:v>
                </c:pt>
                <c:pt idx="4">
                  <c:v>284.76179571919755</c:v>
                </c:pt>
                <c:pt idx="5">
                  <c:v>283.52817000792845</c:v>
                </c:pt>
                <c:pt idx="6">
                  <c:v>282.29457136953664</c:v>
                </c:pt>
              </c:numCache>
            </c:numRef>
          </c:val>
          <c:smooth val="0"/>
          <c:extLst>
            <c:ext xmlns:c16="http://schemas.microsoft.com/office/drawing/2014/chart" uri="{C3380CC4-5D6E-409C-BE32-E72D297353CC}">
              <c16:uniqueId val="{00000002-E265-4FDA-A680-5BDE368DB8D7}"/>
            </c:ext>
          </c:extLst>
        </c:ser>
        <c:ser>
          <c:idx val="3"/>
          <c:order val="3"/>
          <c:tx>
            <c:strRef>
              <c:f>'Charts 2'!$B$257</c:f>
              <c:strCache>
                <c:ptCount val="1"/>
                <c:pt idx="0">
                  <c:v>FX Rate</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2'!$D$257:$J$257</c:f>
              <c:numCache>
                <c:formatCode>#,##0.0_);\(#,##0.0\)</c:formatCode>
                <c:ptCount val="7"/>
                <c:pt idx="0">
                  <c:v>331.44307394283976</c:v>
                </c:pt>
                <c:pt idx="1">
                  <c:v>317.05934737100222</c:v>
                </c:pt>
                <c:pt idx="2">
                  <c:v>301.77637611476376</c:v>
                </c:pt>
                <c:pt idx="3">
                  <c:v>458.55534678290945</c:v>
                </c:pt>
                <c:pt idx="4">
                  <c:v>270.20446563276215</c:v>
                </c:pt>
                <c:pt idx="5">
                  <c:v>254.41851039176129</c:v>
                </c:pt>
                <c:pt idx="6">
                  <c:v>238.63255515076057</c:v>
                </c:pt>
              </c:numCache>
            </c:numRef>
          </c:val>
          <c:smooth val="0"/>
          <c:extLst>
            <c:ext xmlns:c16="http://schemas.microsoft.com/office/drawing/2014/chart" uri="{C3380CC4-5D6E-409C-BE32-E72D297353CC}">
              <c16:uniqueId val="{00000003-E265-4FDA-A680-5BDE368DB8D7}"/>
            </c:ext>
          </c:extLst>
        </c:ser>
        <c:dLbls>
          <c:showLegendKey val="0"/>
          <c:showVal val="0"/>
          <c:showCatName val="0"/>
          <c:showSerName val="0"/>
          <c:showPercent val="0"/>
          <c:showBubbleSize val="0"/>
        </c:dLbls>
        <c:smooth val="0"/>
        <c:axId val="668032224"/>
        <c:axId val="668036224"/>
      </c:lineChart>
      <c:catAx>
        <c:axId val="668032224"/>
        <c:scaling>
          <c:orientation val="minMax"/>
        </c:scaling>
        <c:delete val="0"/>
        <c:axPos val="b"/>
        <c:numFmt formatCode="0%" sourceLinked="1"/>
        <c:majorTickMark val="out"/>
        <c:minorTickMark val="none"/>
        <c:tickLblPos val="nextTo"/>
        <c:crossAx val="668036224"/>
        <c:crosses val="autoZero"/>
        <c:auto val="1"/>
        <c:lblAlgn val="ctr"/>
        <c:lblOffset val="100"/>
        <c:noMultiLvlLbl val="0"/>
      </c:catAx>
      <c:valAx>
        <c:axId val="668036224"/>
        <c:scaling>
          <c:orientation val="minMax"/>
        </c:scaling>
        <c:delete val="0"/>
        <c:axPos val="l"/>
        <c:majorGridlines/>
        <c:title>
          <c:tx>
            <c:rich>
              <a:bodyPr/>
              <a:lstStyle/>
              <a:p>
                <a:pPr>
                  <a:defRPr/>
                </a:pPr>
                <a:r>
                  <a:rPr lang="en-US"/>
                  <a:t>Debt Capacity (US$m)</a:t>
                </a:r>
              </a:p>
            </c:rich>
          </c:tx>
          <c:overlay val="0"/>
        </c:title>
        <c:numFmt formatCode="#,##0.0_);\(#,##0.0\)" sourceLinked="1"/>
        <c:majorTickMark val="out"/>
        <c:minorTickMark val="none"/>
        <c:tickLblPos val="nextTo"/>
        <c:crossAx val="668032224"/>
        <c:crosses val="autoZero"/>
        <c:crossBetween val="between"/>
      </c:valAx>
    </c:plotArea>
    <c:legend>
      <c:legendPos val="b"/>
      <c:layout>
        <c:manualLayout>
          <c:xMode val="edge"/>
          <c:yMode val="edge"/>
          <c:x val="2.8454764717747021E-4"/>
          <c:y val="0.89494399829031068"/>
          <c:w val="0.99943074565162204"/>
          <c:h val="0.1050560017096892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2'!$B$287</c:f>
              <c:strCache>
                <c:ptCount val="1"/>
                <c:pt idx="0">
                  <c:v>9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2'!$D$287:$J$287</c:f>
              <c:numCache>
                <c:formatCode>#,##0.0_);\(#,##0.0\)</c:formatCode>
                <c:ptCount val="7"/>
                <c:pt idx="0">
                  <c:v>744.67216088120779</c:v>
                </c:pt>
                <c:pt idx="1">
                  <c:v>558.50412066090587</c:v>
                </c:pt>
                <c:pt idx="2">
                  <c:v>446.80329652872467</c:v>
                </c:pt>
                <c:pt idx="3">
                  <c:v>372.33608044060389</c:v>
                </c:pt>
                <c:pt idx="4">
                  <c:v>319.14521180623194</c:v>
                </c:pt>
                <c:pt idx="5">
                  <c:v>279.25206033045293</c:v>
                </c:pt>
                <c:pt idx="6">
                  <c:v>248.22405362706928</c:v>
                </c:pt>
              </c:numCache>
            </c:numRef>
          </c:val>
          <c:smooth val="0"/>
          <c:extLst>
            <c:ext xmlns:c16="http://schemas.microsoft.com/office/drawing/2014/chart" uri="{C3380CC4-5D6E-409C-BE32-E72D297353CC}">
              <c16:uniqueId val="{00000000-D094-42F2-A431-78640DB38D92}"/>
            </c:ext>
          </c:extLst>
        </c:ser>
        <c:ser>
          <c:idx val="1"/>
          <c:order val="1"/>
          <c:tx>
            <c:strRef>
              <c:f>'Charts 2'!$B$288</c:f>
              <c:strCache>
                <c:ptCount val="1"/>
                <c:pt idx="0">
                  <c:v>10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2'!$D$288:$J$288</c:f>
              <c:numCache>
                <c:formatCode>#,##0.0_);\(#,##0.0\)</c:formatCode>
                <c:ptCount val="7"/>
                <c:pt idx="0">
                  <c:v>834.51199121879233</c:v>
                </c:pt>
                <c:pt idx="1">
                  <c:v>625.88399341409422</c:v>
                </c:pt>
                <c:pt idx="2">
                  <c:v>500.70719473127537</c:v>
                </c:pt>
                <c:pt idx="3">
                  <c:v>417.25599560939617</c:v>
                </c:pt>
                <c:pt idx="4">
                  <c:v>357.64799623662526</c:v>
                </c:pt>
                <c:pt idx="5">
                  <c:v>312.94199670704711</c:v>
                </c:pt>
                <c:pt idx="6">
                  <c:v>278.17066373959744</c:v>
                </c:pt>
              </c:numCache>
            </c:numRef>
          </c:val>
          <c:smooth val="0"/>
          <c:extLst>
            <c:ext xmlns:c16="http://schemas.microsoft.com/office/drawing/2014/chart" uri="{C3380CC4-5D6E-409C-BE32-E72D297353CC}">
              <c16:uniqueId val="{00000001-D094-42F2-A431-78640DB38D92}"/>
            </c:ext>
          </c:extLst>
        </c:ser>
        <c:ser>
          <c:idx val="2"/>
          <c:order val="2"/>
          <c:tx>
            <c:strRef>
              <c:f>'Charts 2'!$B$289</c:f>
              <c:strCache>
                <c:ptCount val="1"/>
                <c:pt idx="0">
                  <c:v>11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2'!$D$289:$J$289</c:f>
              <c:numCache>
                <c:formatCode>#,##0.0_);\(#,##0.0\)</c:formatCode>
                <c:ptCount val="7"/>
                <c:pt idx="0">
                  <c:v>917.11069356581891</c:v>
                </c:pt>
                <c:pt idx="1">
                  <c:v>687.83302017436415</c:v>
                </c:pt>
                <c:pt idx="2">
                  <c:v>550.2664161394913</c:v>
                </c:pt>
                <c:pt idx="3">
                  <c:v>458.55534678290945</c:v>
                </c:pt>
                <c:pt idx="4">
                  <c:v>393.04744009963667</c:v>
                </c:pt>
                <c:pt idx="5">
                  <c:v>343.91651008718208</c:v>
                </c:pt>
                <c:pt idx="6">
                  <c:v>305.7035645219396</c:v>
                </c:pt>
              </c:numCache>
            </c:numRef>
          </c:val>
          <c:smooth val="0"/>
          <c:extLst>
            <c:ext xmlns:c16="http://schemas.microsoft.com/office/drawing/2014/chart" uri="{C3380CC4-5D6E-409C-BE32-E72D297353CC}">
              <c16:uniqueId val="{00000002-D094-42F2-A431-78640DB38D92}"/>
            </c:ext>
          </c:extLst>
        </c:ser>
        <c:dLbls>
          <c:showLegendKey val="0"/>
          <c:showVal val="0"/>
          <c:showCatName val="0"/>
          <c:showSerName val="0"/>
          <c:showPercent val="0"/>
          <c:showBubbleSize val="0"/>
        </c:dLbls>
        <c:smooth val="0"/>
        <c:axId val="665905264"/>
        <c:axId val="666249552"/>
      </c:lineChart>
      <c:catAx>
        <c:axId val="665905264"/>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6249552"/>
        <c:crosses val="autoZero"/>
        <c:auto val="1"/>
        <c:lblAlgn val="ctr"/>
        <c:lblOffset val="100"/>
        <c:noMultiLvlLbl val="0"/>
      </c:catAx>
      <c:valAx>
        <c:axId val="666249552"/>
        <c:scaling>
          <c:orientation val="minMax"/>
        </c:scaling>
        <c:delete val="0"/>
        <c:axPos val="l"/>
        <c:majorGridlines/>
        <c:title>
          <c:tx>
            <c:rich>
              <a:bodyPr/>
              <a:lstStyle/>
              <a:p>
                <a:pPr>
                  <a:defRPr/>
                </a:pPr>
                <a:r>
                  <a:rPr lang="en-US"/>
                  <a:t>Debt quantum (US$m)</a:t>
                </a:r>
              </a:p>
            </c:rich>
          </c:tx>
          <c:overlay val="0"/>
        </c:title>
        <c:numFmt formatCode="0.0" sourceLinked="0"/>
        <c:majorTickMark val="out"/>
        <c:minorTickMark val="none"/>
        <c:tickLblPos val="nextTo"/>
        <c:crossAx val="66590526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9</xdr:row>
      <xdr:rowOff>114300</xdr:rowOff>
    </xdr:from>
    <xdr:to>
      <xdr:col>6</xdr:col>
      <xdr:colOff>66675</xdr:colOff>
      <xdr:row>15</xdr:row>
      <xdr:rowOff>76200</xdr:rowOff>
    </xdr:to>
    <xdr:pic>
      <xdr:nvPicPr>
        <xdr:cNvPr id="3" name="il_fi" descr="20080728-bpvic20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1584960"/>
          <a:ext cx="177165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411480</xdr:colOff>
      <xdr:row>12</xdr:row>
      <xdr:rowOff>91440</xdr:rowOff>
    </xdr:from>
    <xdr:to>
      <xdr:col>7</xdr:col>
      <xdr:colOff>704473</xdr:colOff>
      <xdr:row>16</xdr:row>
      <xdr:rowOff>94428</xdr:rowOff>
    </xdr:to>
    <xdr:pic>
      <xdr:nvPicPr>
        <xdr:cNvPr id="6" name="Picture 5" descr="http://www.grandriverironsands.com/images/gri-logo.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69920" y="2034540"/>
          <a:ext cx="1954153" cy="73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704849</xdr:colOff>
      <xdr:row>5</xdr:row>
      <xdr:rowOff>90487</xdr:rowOff>
    </xdr:from>
    <xdr:to>
      <xdr:col>7</xdr:col>
      <xdr:colOff>447675</xdr:colOff>
      <xdr:row>10</xdr:row>
      <xdr:rowOff>33337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083" b="13750"/>
        <a:stretch/>
      </xdr:blipFill>
      <xdr:spPr bwMode="auto">
        <a:xfrm>
          <a:off x="3538537" y="933450"/>
          <a:ext cx="1476376"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419740</xdr:colOff>
      <xdr:row>1802</xdr:row>
      <xdr:rowOff>71077</xdr:rowOff>
    </xdr:from>
    <xdr:to>
      <xdr:col>19</xdr:col>
      <xdr:colOff>102440</xdr:colOff>
      <xdr:row>1831</xdr:row>
      <xdr:rowOff>56031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1834</xdr:row>
      <xdr:rowOff>800</xdr:rowOff>
    </xdr:from>
    <xdr:to>
      <xdr:col>19</xdr:col>
      <xdr:colOff>135683</xdr:colOff>
      <xdr:row>1862</xdr:row>
      <xdr:rowOff>151866</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419740</xdr:colOff>
      <xdr:row>1802</xdr:row>
      <xdr:rowOff>71077</xdr:rowOff>
    </xdr:from>
    <xdr:to>
      <xdr:col>10</xdr:col>
      <xdr:colOff>419740</xdr:colOff>
      <xdr:row>1828</xdr:row>
      <xdr:rowOff>56031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1834</xdr:row>
      <xdr:rowOff>800</xdr:rowOff>
    </xdr:from>
    <xdr:to>
      <xdr:col>10</xdr:col>
      <xdr:colOff>455397</xdr:colOff>
      <xdr:row>1890</xdr:row>
      <xdr:rowOff>56620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1</xdr:row>
          <xdr:rowOff>152400</xdr:rowOff>
        </xdr:from>
        <xdr:to>
          <xdr:col>11</xdr:col>
          <xdr:colOff>219075</xdr:colOff>
          <xdr:row>4</xdr:row>
          <xdr:rowOff>180975</xdr:rowOff>
        </xdr:to>
        <xdr:sp macro="" textlink="">
          <xdr:nvSpPr>
            <xdr:cNvPr id="9227" name="Button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CA" sz="1100" b="0" i="0" u="none" strike="noStrike" baseline="0">
                  <a:solidFill>
                    <a:srgbClr val="000000"/>
                  </a:solidFill>
                  <a:latin typeface="Calibri"/>
                  <a:cs typeface="Calibri"/>
                </a:rPr>
                <a:t>Run Back Test</a:t>
              </a:r>
            </a:p>
          </xdr:txBody>
        </xdr:sp>
        <xdr:clientData fPrintsWithSheet="0"/>
      </xdr:twoCellAnchor>
    </mc:Choice>
    <mc:Fallback/>
  </mc:AlternateContent>
  <xdr:twoCellAnchor>
    <xdr:from>
      <xdr:col>17</xdr:col>
      <xdr:colOff>381000</xdr:colOff>
      <xdr:row>2</xdr:row>
      <xdr:rowOff>138112</xdr:rowOff>
    </xdr:from>
    <xdr:to>
      <xdr:col>30</xdr:col>
      <xdr:colOff>374904</xdr:colOff>
      <xdr:row>15</xdr:row>
      <xdr:rowOff>139636</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207406</xdr:colOff>
      <xdr:row>12</xdr:row>
      <xdr:rowOff>346</xdr:rowOff>
    </xdr:to>
    <xdr:pic>
      <xdr:nvPicPr>
        <xdr:cNvPr id="2" name="Picture 1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l="43133" t="46323" r="38810" b="23701"/>
        <a:stretch>
          <a:fillRect/>
        </a:stretch>
      </xdr:blipFill>
      <xdr:spPr bwMode="auto">
        <a:xfrm>
          <a:off x="0" y="0"/>
          <a:ext cx="2312431" cy="2054225"/>
        </a:xfrm>
        <a:prstGeom prst="rect">
          <a:avLst/>
        </a:prstGeom>
        <a:noFill/>
        <a:ln w="1">
          <a:solidFill>
            <a:schemeClr val="accent1"/>
          </a:solid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582705</xdr:colOff>
      <xdr:row>197</xdr:row>
      <xdr:rowOff>147917</xdr:rowOff>
    </xdr:from>
    <xdr:to>
      <xdr:col>3</xdr:col>
      <xdr:colOff>602427</xdr:colOff>
      <xdr:row>213</xdr:row>
      <xdr:rowOff>22411</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230</xdr:row>
      <xdr:rowOff>0</xdr:rowOff>
    </xdr:from>
    <xdr:to>
      <xdr:col>3</xdr:col>
      <xdr:colOff>629322</xdr:colOff>
      <xdr:row>245</xdr:row>
      <xdr:rowOff>53788</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582705</xdr:colOff>
      <xdr:row>265</xdr:row>
      <xdr:rowOff>147917</xdr:rowOff>
    </xdr:from>
    <xdr:to>
      <xdr:col>3</xdr:col>
      <xdr:colOff>602427</xdr:colOff>
      <xdr:row>281</xdr:row>
      <xdr:rowOff>22411</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489858</xdr:colOff>
      <xdr:row>290</xdr:row>
      <xdr:rowOff>108857</xdr:rowOff>
    </xdr:from>
    <xdr:to>
      <xdr:col>7</xdr:col>
      <xdr:colOff>135418</xdr:colOff>
      <xdr:row>315</xdr:row>
      <xdr:rowOff>159367</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2136</xdr:colOff>
      <xdr:row>3</xdr:row>
      <xdr:rowOff>63500</xdr:rowOff>
    </xdr:from>
    <xdr:to>
      <xdr:col>21</xdr:col>
      <xdr:colOff>66342</xdr:colOff>
      <xdr:row>29</xdr:row>
      <xdr:rowOff>66596</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280555</xdr:colOff>
      <xdr:row>3</xdr:row>
      <xdr:rowOff>89621</xdr:rowOff>
    </xdr:from>
    <xdr:to>
      <xdr:col>33</xdr:col>
      <xdr:colOff>411942</xdr:colOff>
      <xdr:row>29</xdr:row>
      <xdr:rowOff>97479</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198</xdr:row>
      <xdr:rowOff>0</xdr:rowOff>
    </xdr:from>
    <xdr:to>
      <xdr:col>19</xdr:col>
      <xdr:colOff>367104</xdr:colOff>
      <xdr:row>213</xdr:row>
      <xdr:rowOff>64994</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266</xdr:row>
      <xdr:rowOff>0</xdr:rowOff>
    </xdr:from>
    <xdr:to>
      <xdr:col>19</xdr:col>
      <xdr:colOff>367104</xdr:colOff>
      <xdr:row>281</xdr:row>
      <xdr:rowOff>64994</xdr:rowOff>
    </xdr:to>
    <xdr:graphicFrame macro="">
      <xdr:nvGraphicFramePr>
        <xdr:cNvPr id="10" name="Chart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290</xdr:row>
      <xdr:rowOff>0</xdr:rowOff>
    </xdr:from>
    <xdr:to>
      <xdr:col>23</xdr:col>
      <xdr:colOff>93795</xdr:colOff>
      <xdr:row>315</xdr:row>
      <xdr:rowOff>50510</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7</xdr:col>
      <xdr:colOff>27213</xdr:colOff>
      <xdr:row>366</xdr:row>
      <xdr:rowOff>40822</xdr:rowOff>
    </xdr:from>
    <xdr:to>
      <xdr:col>14</xdr:col>
      <xdr:colOff>236444</xdr:colOff>
      <xdr:row>382</xdr:row>
      <xdr:rowOff>126148</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7</xdr:col>
      <xdr:colOff>0</xdr:colOff>
      <xdr:row>387</xdr:row>
      <xdr:rowOff>0</xdr:rowOff>
    </xdr:from>
    <xdr:to>
      <xdr:col>14</xdr:col>
      <xdr:colOff>209231</xdr:colOff>
      <xdr:row>403</xdr:row>
      <xdr:rowOff>85325</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9524</xdr:colOff>
      <xdr:row>4</xdr:row>
      <xdr:rowOff>180974</xdr:rowOff>
    </xdr:from>
    <xdr:to>
      <xdr:col>20</xdr:col>
      <xdr:colOff>325055</xdr:colOff>
      <xdr:row>27</xdr:row>
      <xdr:rowOff>169417</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16668</xdr:colOff>
      <xdr:row>29</xdr:row>
      <xdr:rowOff>7143</xdr:rowOff>
    </xdr:from>
    <xdr:to>
      <xdr:col>17</xdr:col>
      <xdr:colOff>200025</xdr:colOff>
      <xdr:row>44</xdr:row>
      <xdr:rowOff>35718</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evin kemper" id="{0860C8FD-6960-4385-B776-DD21891D383C}" userId="7e82e78f863e69f8"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0" dT="2021-07-10T22:19:59.62" personId="{0860C8FD-6960-4385-B776-DD21891D383C}" id="{EEE704ED-387B-42EB-9BE1-5B850FD72EAE}">
    <text>This cell mus stay a link to the Plant Model tab cell e10.</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ancis@ironsands.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C53"/>
  <sheetViews>
    <sheetView showGridLines="0" view="pageBreakPreview" zoomScaleSheetLayoutView="100" workbookViewId="0">
      <selection activeCell="K14" sqref="K14"/>
    </sheetView>
  </sheetViews>
  <sheetFormatPr defaultColWidth="0" defaultRowHeight="13.5" customHeight="1" zeroHeight="1" x14ac:dyDescent="0.2"/>
  <cols>
    <col min="1" max="1" width="10" style="192" customWidth="1"/>
    <col min="2" max="2" width="1.42578125" style="204" customWidth="1"/>
    <col min="3" max="3" width="6.42578125" style="204" customWidth="1"/>
    <col min="4" max="6" width="10.7109375" style="192" customWidth="1"/>
    <col min="7" max="12" width="13.42578125" style="192" customWidth="1"/>
    <col min="13" max="13" width="13.42578125" style="204" customWidth="1"/>
    <col min="14" max="14" width="7" style="204" customWidth="1"/>
    <col min="15" max="15" width="1.42578125" style="192" customWidth="1"/>
    <col min="16" max="16" width="11.42578125" style="192" customWidth="1"/>
    <col min="17" max="81" width="12.42578125" style="192" hidden="1" customWidth="1"/>
    <col min="82" max="16384" width="9.42578125" style="192" hidden="1"/>
  </cols>
  <sheetData>
    <row r="1" spans="1:81" ht="10.5" customHeight="1" x14ac:dyDescent="0.2">
      <c r="A1" s="190"/>
      <c r="B1" s="190"/>
      <c r="C1" s="190"/>
      <c r="D1" s="190"/>
      <c r="E1" s="190"/>
      <c r="F1" s="190"/>
      <c r="G1" s="190"/>
      <c r="H1" s="190"/>
      <c r="I1" s="190"/>
      <c r="J1" s="190"/>
      <c r="K1" s="190"/>
      <c r="L1" s="190"/>
      <c r="M1" s="191"/>
      <c r="N1" s="191"/>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row>
    <row r="2" spans="1:81" ht="15.75" thickBot="1" x14ac:dyDescent="0.25">
      <c r="A2" s="190"/>
      <c r="B2" s="193"/>
      <c r="C2" s="193"/>
      <c r="D2" s="193"/>
      <c r="E2" s="193"/>
      <c r="F2" s="193"/>
      <c r="G2" s="193"/>
      <c r="H2" s="193"/>
      <c r="I2" s="193"/>
      <c r="J2" s="193"/>
      <c r="K2" s="193"/>
      <c r="L2" s="193"/>
      <c r="M2" s="194"/>
      <c r="N2" s="194"/>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row>
    <row r="3" spans="1:81" ht="12.75" customHeight="1" x14ac:dyDescent="0.2">
      <c r="A3" s="190"/>
      <c r="B3" s="195"/>
      <c r="C3" s="196"/>
      <c r="D3" s="196"/>
      <c r="E3" s="196"/>
      <c r="F3" s="196"/>
      <c r="G3" s="196"/>
      <c r="H3" s="196"/>
      <c r="I3" s="196"/>
      <c r="J3" s="196"/>
      <c r="K3" s="196"/>
      <c r="L3" s="196"/>
      <c r="M3" s="197"/>
      <c r="N3" s="197"/>
      <c r="O3" s="198"/>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row>
    <row r="4" spans="1:81" ht="15" x14ac:dyDescent="0.2">
      <c r="A4" s="190"/>
      <c r="B4" s="199"/>
      <c r="C4" s="190"/>
      <c r="D4" s="193"/>
      <c r="E4" s="193"/>
      <c r="F4" s="193"/>
      <c r="G4" s="193"/>
      <c r="H4" s="193"/>
      <c r="I4" s="193"/>
      <c r="J4" s="193"/>
      <c r="K4" s="193"/>
      <c r="L4" s="193"/>
      <c r="M4" s="194"/>
      <c r="N4" s="194"/>
      <c r="O4" s="200"/>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row>
    <row r="5" spans="1:81" ht="15" x14ac:dyDescent="0.2">
      <c r="A5" s="190"/>
      <c r="B5" s="199"/>
      <c r="C5" s="190"/>
      <c r="D5" s="201" t="s">
        <v>344</v>
      </c>
      <c r="E5" s="193"/>
      <c r="F5" s="193"/>
      <c r="G5" s="202" t="s">
        <v>889</v>
      </c>
      <c r="H5" s="193"/>
      <c r="I5" s="193"/>
      <c r="J5" s="193"/>
      <c r="K5" s="193"/>
      <c r="L5" s="193"/>
      <c r="M5" s="194"/>
      <c r="N5" s="194"/>
      <c r="O5" s="200"/>
      <c r="P5" s="193"/>
      <c r="Q5" s="193"/>
      <c r="R5" s="193"/>
      <c r="S5" s="193"/>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row>
    <row r="6" spans="1:81" ht="15" x14ac:dyDescent="0.2">
      <c r="A6" s="190"/>
      <c r="B6" s="199"/>
      <c r="C6" s="190"/>
      <c r="D6" s="193"/>
      <c r="E6" s="193"/>
      <c r="F6" s="193"/>
      <c r="G6" s="193"/>
      <c r="H6" s="193"/>
      <c r="I6" s="193"/>
      <c r="J6" s="193"/>
      <c r="K6" s="193"/>
      <c r="L6" s="193"/>
      <c r="M6" s="194"/>
      <c r="N6" s="194"/>
      <c r="O6" s="200"/>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row>
    <row r="7" spans="1:81" ht="15" x14ac:dyDescent="0.2">
      <c r="A7" s="190"/>
      <c r="B7" s="199"/>
      <c r="C7" s="190"/>
      <c r="D7" s="193"/>
      <c r="E7" s="193"/>
      <c r="F7" s="193"/>
      <c r="G7" s="193"/>
      <c r="H7" s="193"/>
      <c r="I7" s="193"/>
      <c r="J7" s="193"/>
      <c r="K7" s="193"/>
      <c r="L7" s="193"/>
      <c r="M7" s="194"/>
      <c r="N7" s="194"/>
      <c r="O7" s="200"/>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row>
    <row r="8" spans="1:81" ht="15" x14ac:dyDescent="0.2">
      <c r="A8" s="190"/>
      <c r="B8" s="199"/>
      <c r="C8" s="190"/>
      <c r="E8" s="201"/>
      <c r="F8" s="190"/>
      <c r="H8" s="202"/>
      <c r="I8" s="193"/>
      <c r="J8" s="193"/>
      <c r="K8" s="193"/>
      <c r="L8" s="193"/>
      <c r="M8" s="194"/>
      <c r="N8" s="194"/>
      <c r="O8" s="200"/>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row>
    <row r="9" spans="1:81" ht="15" x14ac:dyDescent="0.2">
      <c r="A9" s="190"/>
      <c r="B9" s="199"/>
      <c r="C9" s="190"/>
      <c r="D9" s="193"/>
      <c r="E9" s="193"/>
      <c r="F9" s="193"/>
      <c r="G9" s="190"/>
      <c r="H9" s="193"/>
      <c r="I9" s="193"/>
      <c r="J9" s="193"/>
      <c r="K9" s="193"/>
      <c r="L9" s="193"/>
      <c r="M9" s="194"/>
      <c r="N9" s="194"/>
      <c r="O9" s="200"/>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row>
    <row r="10" spans="1:81" ht="15" x14ac:dyDescent="0.2">
      <c r="A10" s="190"/>
      <c r="B10" s="199"/>
      <c r="C10" s="190"/>
      <c r="D10" s="193"/>
      <c r="E10" s="193"/>
      <c r="F10" s="193"/>
      <c r="G10" s="193"/>
      <c r="H10" s="193"/>
      <c r="I10" s="193"/>
      <c r="J10" s="193"/>
      <c r="K10" s="193"/>
      <c r="L10" s="193"/>
      <c r="M10" s="194"/>
      <c r="N10" s="194"/>
      <c r="O10" s="200"/>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row>
    <row r="11" spans="1:81" ht="15" x14ac:dyDescent="0.2">
      <c r="A11" s="190"/>
      <c r="B11" s="199"/>
      <c r="C11" s="190"/>
      <c r="D11" s="193"/>
      <c r="E11" s="193"/>
      <c r="F11" s="193"/>
      <c r="G11" s="193"/>
      <c r="H11" s="193"/>
      <c r="I11" s="193"/>
      <c r="J11" s="193"/>
      <c r="K11" s="193"/>
      <c r="L11" s="193"/>
      <c r="M11" s="194"/>
      <c r="N11" s="194"/>
      <c r="O11" s="200"/>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row>
    <row r="12" spans="1:81" ht="15" x14ac:dyDescent="0.2">
      <c r="A12" s="190"/>
      <c r="B12" s="199"/>
      <c r="C12" s="190"/>
      <c r="D12" s="202" t="s">
        <v>354</v>
      </c>
      <c r="E12" s="202"/>
      <c r="F12" s="193"/>
      <c r="G12" s="202" t="s">
        <v>355</v>
      </c>
      <c r="H12" s="193"/>
      <c r="I12" s="201"/>
      <c r="J12" s="193"/>
      <c r="K12" s="193"/>
      <c r="L12" s="193"/>
      <c r="M12" s="194"/>
      <c r="N12" s="194"/>
      <c r="O12" s="200"/>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row>
    <row r="13" spans="1:81" ht="15" x14ac:dyDescent="0.25">
      <c r="A13" s="190"/>
      <c r="B13" s="199"/>
      <c r="C13" s="190"/>
      <c r="D13" s="193"/>
      <c r="E13" s="193"/>
      <c r="F13" s="193"/>
      <c r="G13" s="203"/>
      <c r="H13" s="193"/>
      <c r="I13" s="193"/>
      <c r="J13" s="193"/>
      <c r="K13" s="193"/>
      <c r="L13" s="193"/>
      <c r="M13" s="194"/>
      <c r="N13" s="194"/>
      <c r="O13" s="200"/>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row>
    <row r="14" spans="1:81" s="204" customFormat="1" ht="15" x14ac:dyDescent="0.25">
      <c r="A14" s="190"/>
      <c r="B14" s="199"/>
      <c r="C14" s="193"/>
      <c r="D14" s="193"/>
      <c r="E14" s="193"/>
      <c r="F14" s="193"/>
      <c r="G14" s="203"/>
      <c r="H14" s="193"/>
      <c r="I14" s="193"/>
      <c r="J14" s="193"/>
      <c r="K14" s="193"/>
      <c r="L14" s="193"/>
      <c r="M14" s="194"/>
      <c r="N14" s="194"/>
      <c r="O14" s="200"/>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row>
    <row r="15" spans="1:81" s="204" customFormat="1" ht="15" x14ac:dyDescent="0.25">
      <c r="A15" s="190"/>
      <c r="B15" s="199"/>
      <c r="C15" s="193"/>
      <c r="D15" s="193"/>
      <c r="E15" s="193"/>
      <c r="F15" s="193"/>
      <c r="G15" s="203"/>
      <c r="H15" s="193"/>
      <c r="I15" s="193"/>
      <c r="J15" s="193"/>
      <c r="K15" s="193"/>
      <c r="L15" s="193"/>
      <c r="M15" s="194"/>
      <c r="N15" s="194"/>
      <c r="O15" s="200"/>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row>
    <row r="16" spans="1:81" s="204" customFormat="1" ht="15" x14ac:dyDescent="0.25">
      <c r="A16" s="190"/>
      <c r="B16" s="199"/>
      <c r="C16" s="193"/>
      <c r="D16" s="193"/>
      <c r="E16" s="193"/>
      <c r="F16" s="193"/>
      <c r="G16" s="203"/>
      <c r="H16" s="193"/>
      <c r="I16" s="193"/>
      <c r="J16" s="193"/>
      <c r="K16" s="193"/>
      <c r="L16" s="193"/>
      <c r="M16" s="194"/>
      <c r="N16" s="194"/>
      <c r="O16" s="200"/>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row>
    <row r="17" spans="1:81" s="204" customFormat="1" ht="15" x14ac:dyDescent="0.25">
      <c r="A17" s="190"/>
      <c r="B17" s="199"/>
      <c r="C17" s="190"/>
      <c r="E17" s="201"/>
      <c r="F17" s="190"/>
      <c r="G17" s="202"/>
      <c r="H17" s="193"/>
      <c r="I17" s="193"/>
      <c r="J17" s="205"/>
      <c r="K17" s="193"/>
      <c r="L17" s="254"/>
      <c r="M17" s="206"/>
      <c r="N17" s="194"/>
      <c r="O17" s="200"/>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row>
    <row r="18" spans="1:81" s="204" customFormat="1" ht="15" x14ac:dyDescent="0.25">
      <c r="A18" s="190"/>
      <c r="B18" s="199"/>
      <c r="C18" s="193"/>
      <c r="D18" s="193"/>
      <c r="E18" s="193"/>
      <c r="F18" s="193"/>
      <c r="G18" s="193"/>
      <c r="H18" s="193"/>
      <c r="I18" s="193"/>
      <c r="J18" s="193"/>
      <c r="K18" s="193"/>
      <c r="L18" s="193"/>
      <c r="M18" s="206"/>
      <c r="N18" s="194"/>
      <c r="O18" s="200"/>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row>
    <row r="19" spans="1:81" s="204" customFormat="1" ht="15" x14ac:dyDescent="0.25">
      <c r="A19" s="190"/>
      <c r="B19" s="199"/>
      <c r="C19" s="190"/>
      <c r="D19" s="202" t="s">
        <v>345</v>
      </c>
      <c r="E19" s="202"/>
      <c r="F19" s="190"/>
      <c r="G19" s="201" t="str">
        <f ca="1">"Plant Model - Stand Alone ("&amp;TEXT(TODAY(),"mm/dd/yy")&amp;")"</f>
        <v>Plant Model - Stand Alone (07/25/22)</v>
      </c>
      <c r="H19" s="201"/>
      <c r="I19" s="201"/>
      <c r="K19" s="193"/>
      <c r="L19" s="202"/>
      <c r="M19" s="190"/>
      <c r="N19" s="194"/>
      <c r="O19" s="200"/>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row>
    <row r="20" spans="1:81" s="204" customFormat="1" ht="15" x14ac:dyDescent="0.25">
      <c r="A20" s="190"/>
      <c r="B20" s="199"/>
      <c r="C20" s="190"/>
      <c r="D20" s="193"/>
      <c r="E20" s="193"/>
      <c r="F20" s="193"/>
      <c r="G20" s="193"/>
      <c r="H20" s="193"/>
      <c r="I20" s="193"/>
      <c r="K20" s="193"/>
      <c r="L20" s="193"/>
      <c r="M20" s="193"/>
      <c r="N20" s="194"/>
      <c r="O20" s="200"/>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row>
    <row r="21" spans="1:81" s="204" customFormat="1" ht="15" x14ac:dyDescent="0.25">
      <c r="A21" s="190"/>
      <c r="B21" s="199"/>
      <c r="C21" s="193"/>
      <c r="D21" s="193"/>
      <c r="E21" s="193"/>
      <c r="F21" s="193"/>
      <c r="G21" s="193"/>
      <c r="H21" s="193"/>
      <c r="I21" s="193"/>
      <c r="K21" s="193"/>
      <c r="L21" s="193"/>
      <c r="M21" s="193"/>
      <c r="N21" s="194"/>
      <c r="O21" s="200"/>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row>
    <row r="22" spans="1:81" s="204" customFormat="1" ht="15" x14ac:dyDescent="0.25">
      <c r="A22" s="190"/>
      <c r="B22" s="199"/>
      <c r="C22" s="190"/>
      <c r="D22" s="201" t="s">
        <v>346</v>
      </c>
      <c r="E22" s="201"/>
      <c r="F22" s="190"/>
      <c r="G22" s="202"/>
      <c r="H22" s="193"/>
      <c r="I22" s="193"/>
      <c r="K22" s="193"/>
      <c r="L22" s="193"/>
      <c r="M22" s="193"/>
      <c r="N22" s="191"/>
      <c r="O22" s="200"/>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row>
    <row r="23" spans="1:81" s="204" customFormat="1" ht="15" x14ac:dyDescent="0.25">
      <c r="A23" s="190"/>
      <c r="B23" s="199"/>
      <c r="C23" s="190"/>
      <c r="D23" s="223" t="s">
        <v>241</v>
      </c>
      <c r="E23" s="202"/>
      <c r="F23" s="201"/>
      <c r="G23" s="201" t="s">
        <v>479</v>
      </c>
      <c r="H23" s="201"/>
      <c r="I23" s="193"/>
      <c r="K23" s="193"/>
      <c r="L23" s="193"/>
      <c r="M23" s="193"/>
      <c r="N23" s="191"/>
      <c r="O23" s="200"/>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row>
    <row r="24" spans="1:81" s="204" customFormat="1" ht="15" x14ac:dyDescent="0.25">
      <c r="A24" s="190"/>
      <c r="B24" s="199"/>
      <c r="C24" s="190"/>
      <c r="D24" s="223" t="s">
        <v>520</v>
      </c>
      <c r="E24" s="202"/>
      <c r="F24" s="201"/>
      <c r="G24" s="201" t="s">
        <v>530</v>
      </c>
      <c r="H24" s="201"/>
      <c r="I24" s="193"/>
      <c r="M24" s="193"/>
      <c r="N24" s="191"/>
      <c r="O24" s="200"/>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row>
    <row r="25" spans="1:81" s="204" customFormat="1" ht="15" x14ac:dyDescent="0.25">
      <c r="A25" s="190"/>
      <c r="B25" s="199"/>
      <c r="C25" s="190"/>
      <c r="D25" s="223" t="s">
        <v>356</v>
      </c>
      <c r="E25" s="202"/>
      <c r="F25" s="201"/>
      <c r="G25" s="232" t="str">
        <f>IF('Plant model'!E193=0,"Current Price","LT Projections")</f>
        <v>Current Price</v>
      </c>
      <c r="H25" s="201"/>
      <c r="I25" s="193"/>
      <c r="M25" s="193"/>
      <c r="N25" s="191"/>
      <c r="O25" s="200"/>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row>
    <row r="26" spans="1:81" s="204" customFormat="1" ht="15" x14ac:dyDescent="0.25">
      <c r="A26" s="190"/>
      <c r="B26" s="199"/>
      <c r="C26" s="190"/>
      <c r="D26" s="202"/>
      <c r="E26" s="190"/>
      <c r="F26" s="201"/>
      <c r="G26" s="201"/>
      <c r="H26" s="201"/>
      <c r="I26" s="193"/>
      <c r="J26" s="193"/>
      <c r="K26" s="193"/>
      <c r="L26" s="193"/>
      <c r="M26" s="193"/>
      <c r="N26" s="191"/>
      <c r="O26" s="200"/>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row>
    <row r="27" spans="1:81" s="204" customFormat="1" ht="15" x14ac:dyDescent="0.25">
      <c r="A27" s="190"/>
      <c r="B27" s="199"/>
      <c r="C27" s="190"/>
      <c r="D27" s="201" t="s">
        <v>347</v>
      </c>
      <c r="E27" s="201"/>
      <c r="F27" s="202"/>
      <c r="G27" s="201" t="s">
        <v>975</v>
      </c>
      <c r="H27" s="201"/>
      <c r="I27" s="193"/>
      <c r="J27" s="193"/>
      <c r="K27" s="202"/>
      <c r="L27" s="190"/>
      <c r="M27" s="194"/>
      <c r="N27" s="194"/>
      <c r="O27" s="200"/>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row>
    <row r="28" spans="1:81" s="204" customFormat="1" ht="15" x14ac:dyDescent="0.25">
      <c r="A28" s="190"/>
      <c r="B28" s="199"/>
      <c r="C28" s="190"/>
      <c r="D28" s="202"/>
      <c r="E28" s="207" t="s">
        <v>357</v>
      </c>
      <c r="F28" s="202"/>
      <c r="G28" s="208" t="s">
        <v>974</v>
      </c>
      <c r="H28" s="201"/>
      <c r="I28" s="193"/>
      <c r="J28" s="193"/>
      <c r="K28" s="202"/>
      <c r="L28" s="209"/>
      <c r="M28" s="194"/>
      <c r="N28" s="194"/>
      <c r="O28" s="200"/>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row>
    <row r="29" spans="1:81" s="204" customFormat="1" ht="15" x14ac:dyDescent="0.25">
      <c r="A29" s="190"/>
      <c r="B29" s="199"/>
      <c r="C29" s="190"/>
      <c r="D29" s="202"/>
      <c r="E29" s="207" t="s">
        <v>348</v>
      </c>
      <c r="F29" s="202"/>
      <c r="G29" s="224" t="s">
        <v>973</v>
      </c>
      <c r="H29" s="210"/>
      <c r="I29" s="210"/>
      <c r="J29" s="190"/>
      <c r="K29" s="202"/>
      <c r="L29" s="190"/>
      <c r="M29" s="194"/>
      <c r="N29" s="194"/>
      <c r="O29" s="200"/>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row>
    <row r="30" spans="1:81" s="204" customFormat="1" ht="15" x14ac:dyDescent="0.25">
      <c r="A30" s="190"/>
      <c r="B30" s="199"/>
      <c r="C30" s="190"/>
      <c r="D30" s="202"/>
      <c r="E30" s="193"/>
      <c r="F30" s="193"/>
      <c r="G30" s="193"/>
      <c r="H30" s="193"/>
      <c r="I30" s="193"/>
      <c r="J30" s="193"/>
      <c r="K30" s="193"/>
      <c r="L30" s="193"/>
      <c r="M30" s="194"/>
      <c r="N30" s="194"/>
      <c r="O30" s="200"/>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row>
    <row r="31" spans="1:81" s="204" customFormat="1" ht="15" x14ac:dyDescent="0.25">
      <c r="A31" s="190"/>
      <c r="B31" s="199"/>
      <c r="C31" s="190"/>
      <c r="D31" s="202"/>
      <c r="E31" s="193"/>
      <c r="F31" s="193"/>
      <c r="G31" s="193"/>
      <c r="H31" s="193"/>
      <c r="I31" s="193"/>
      <c r="J31" s="193"/>
      <c r="K31" s="193"/>
      <c r="L31" s="193"/>
      <c r="M31" s="194"/>
      <c r="N31" s="194"/>
      <c r="O31" s="200"/>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row>
    <row r="32" spans="1:81" s="204" customFormat="1" ht="15" x14ac:dyDescent="0.25">
      <c r="A32" s="190"/>
      <c r="B32" s="199"/>
      <c r="C32" s="193"/>
      <c r="D32" s="193"/>
      <c r="E32" s="193"/>
      <c r="F32" s="193"/>
      <c r="G32" s="193"/>
      <c r="H32" s="193"/>
      <c r="I32" s="193"/>
      <c r="J32" s="193"/>
      <c r="K32" s="193"/>
      <c r="L32" s="193"/>
      <c r="M32" s="194"/>
      <c r="N32" s="194"/>
      <c r="O32" s="200"/>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row>
    <row r="33" spans="1:81" s="204" customFormat="1" ht="38.25" x14ac:dyDescent="0.25">
      <c r="A33" s="190"/>
      <c r="B33" s="199"/>
      <c r="C33" s="190"/>
      <c r="D33" s="201" t="s">
        <v>349</v>
      </c>
      <c r="E33" s="201"/>
      <c r="F33" s="190"/>
      <c r="G33" s="233" t="s">
        <v>361</v>
      </c>
      <c r="H33" s="225" t="s">
        <v>350</v>
      </c>
      <c r="I33" s="226" t="s">
        <v>358</v>
      </c>
      <c r="J33" s="227" t="s">
        <v>359</v>
      </c>
      <c r="K33" s="211" t="s">
        <v>351</v>
      </c>
      <c r="L33" s="212" t="s">
        <v>352</v>
      </c>
      <c r="N33" s="191"/>
      <c r="O33" s="200"/>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row>
    <row r="34" spans="1:81" s="204" customFormat="1" ht="15" x14ac:dyDescent="0.25">
      <c r="A34" s="190"/>
      <c r="B34" s="199"/>
      <c r="C34" s="193"/>
      <c r="D34" s="193"/>
      <c r="E34" s="193"/>
      <c r="F34" s="193"/>
      <c r="G34" s="193"/>
      <c r="H34" s="193"/>
      <c r="I34" s="193"/>
      <c r="J34" s="193"/>
      <c r="K34" s="193"/>
      <c r="L34" s="193"/>
      <c r="M34" s="194"/>
      <c r="N34" s="194"/>
      <c r="O34" s="200"/>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193"/>
      <c r="CA34" s="193"/>
      <c r="CB34" s="193"/>
      <c r="CC34" s="193"/>
    </row>
    <row r="35" spans="1:81" s="204" customFormat="1" ht="15" x14ac:dyDescent="0.25">
      <c r="A35" s="190"/>
      <c r="B35" s="199"/>
      <c r="C35" s="193"/>
      <c r="D35" s="193"/>
      <c r="E35" s="193"/>
      <c r="F35" s="193"/>
      <c r="G35" s="193"/>
      <c r="H35" s="193"/>
      <c r="I35" s="193"/>
      <c r="J35" s="193"/>
      <c r="K35" s="193"/>
      <c r="L35" s="193"/>
      <c r="M35" s="194"/>
      <c r="N35" s="194"/>
      <c r="O35" s="200"/>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row>
    <row r="36" spans="1:81" s="204" customFormat="1" ht="15" x14ac:dyDescent="0.25">
      <c r="A36" s="190"/>
      <c r="B36" s="199"/>
      <c r="C36" s="193"/>
      <c r="D36" s="193"/>
      <c r="E36" s="193"/>
      <c r="F36" s="193"/>
      <c r="G36" s="193"/>
      <c r="H36" s="193"/>
      <c r="I36" s="193"/>
      <c r="J36" s="193"/>
      <c r="K36" s="193"/>
      <c r="L36" s="193"/>
      <c r="M36" s="194"/>
      <c r="N36" s="194"/>
      <c r="O36" s="200"/>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row>
    <row r="37" spans="1:81" s="204" customFormat="1" ht="15" x14ac:dyDescent="0.25">
      <c r="A37" s="190"/>
      <c r="B37" s="199"/>
      <c r="C37" s="193"/>
      <c r="D37" s="193"/>
      <c r="E37" s="193"/>
      <c r="F37" s="193"/>
      <c r="G37" s="193"/>
      <c r="H37" s="193"/>
      <c r="I37" s="193"/>
      <c r="J37" s="193"/>
      <c r="K37" s="193"/>
      <c r="L37" s="193"/>
      <c r="M37" s="194"/>
      <c r="N37" s="194"/>
      <c r="O37" s="200"/>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row>
    <row r="38" spans="1:81" s="204" customFormat="1" ht="15" x14ac:dyDescent="0.25">
      <c r="A38" s="190"/>
      <c r="B38" s="199"/>
      <c r="C38" s="193"/>
      <c r="D38" s="193"/>
      <c r="E38" s="193"/>
      <c r="F38" s="193"/>
      <c r="G38" s="193"/>
      <c r="H38" s="193"/>
      <c r="I38" s="193"/>
      <c r="J38" s="193"/>
      <c r="K38" s="193"/>
      <c r="L38" s="193"/>
      <c r="M38" s="194"/>
      <c r="N38" s="194"/>
      <c r="O38" s="200"/>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row>
    <row r="39" spans="1:81" s="204" customFormat="1" ht="15" x14ac:dyDescent="0.25">
      <c r="A39" s="190"/>
      <c r="B39" s="199"/>
      <c r="C39" s="190"/>
      <c r="D39" s="213" t="s">
        <v>353</v>
      </c>
      <c r="E39" s="214"/>
      <c r="F39" s="214"/>
      <c r="G39" s="214"/>
      <c r="H39" s="214"/>
      <c r="I39" s="214"/>
      <c r="J39" s="214"/>
      <c r="K39" s="214"/>
      <c r="L39" s="214"/>
      <c r="M39" s="215"/>
      <c r="N39" s="190"/>
      <c r="O39" s="200"/>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row>
    <row r="40" spans="1:81" ht="86.25" customHeight="1" x14ac:dyDescent="0.2">
      <c r="A40" s="190"/>
      <c r="B40" s="199"/>
      <c r="C40" s="190"/>
      <c r="D40" s="608" t="s">
        <v>890</v>
      </c>
      <c r="E40" s="608"/>
      <c r="F40" s="608"/>
      <c r="G40" s="608"/>
      <c r="H40" s="608"/>
      <c r="I40" s="608"/>
      <c r="J40" s="608"/>
      <c r="K40" s="608"/>
      <c r="L40" s="608"/>
      <c r="M40" s="608"/>
      <c r="N40" s="216"/>
      <c r="O40" s="200"/>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row>
    <row r="41" spans="1:81" ht="12.75" customHeight="1" x14ac:dyDescent="0.25">
      <c r="A41" s="190"/>
      <c r="B41" s="199"/>
      <c r="C41" s="190"/>
      <c r="D41" s="217"/>
      <c r="E41" s="218"/>
      <c r="F41" s="218"/>
      <c r="G41" s="218"/>
      <c r="H41" s="218"/>
      <c r="I41" s="218"/>
      <c r="J41" s="218"/>
      <c r="K41" s="218"/>
      <c r="L41" s="218"/>
      <c r="M41" s="218"/>
      <c r="N41" s="216"/>
      <c r="O41" s="200"/>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c r="BR41" s="193"/>
      <c r="BS41" s="193"/>
      <c r="BT41" s="193"/>
      <c r="BU41" s="193"/>
      <c r="BV41" s="193"/>
      <c r="BW41" s="193"/>
      <c r="BX41" s="193"/>
      <c r="BY41" s="193"/>
      <c r="BZ41" s="193"/>
      <c r="CA41" s="193"/>
      <c r="CB41" s="193"/>
      <c r="CC41" s="193"/>
    </row>
    <row r="42" spans="1:81" ht="12.75" customHeight="1" x14ac:dyDescent="0.25">
      <c r="A42" s="190"/>
      <c r="B42" s="199"/>
      <c r="C42" s="190"/>
      <c r="D42" s="217"/>
      <c r="E42" s="218"/>
      <c r="F42" s="218"/>
      <c r="G42" s="218"/>
      <c r="H42" s="218"/>
      <c r="I42" s="218"/>
      <c r="J42" s="218"/>
      <c r="K42" s="218"/>
      <c r="L42" s="218"/>
      <c r="M42" s="218"/>
      <c r="N42" s="216"/>
      <c r="O42" s="200"/>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row>
    <row r="43" spans="1:81" ht="12.75" customHeight="1" x14ac:dyDescent="0.25">
      <c r="A43" s="190"/>
      <c r="B43" s="199"/>
      <c r="C43" s="190"/>
      <c r="D43" s="217"/>
      <c r="E43" s="218"/>
      <c r="F43" s="218"/>
      <c r="G43" s="218"/>
      <c r="H43" s="218"/>
      <c r="I43" s="218"/>
      <c r="J43" s="218"/>
      <c r="K43" s="218"/>
      <c r="L43" s="218"/>
      <c r="M43" s="218"/>
      <c r="N43" s="216"/>
      <c r="O43" s="200"/>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193"/>
      <c r="CA43" s="193"/>
      <c r="CB43" s="193"/>
      <c r="CC43" s="193"/>
    </row>
    <row r="44" spans="1:81" ht="12.75" customHeight="1" thickBot="1" x14ac:dyDescent="0.25">
      <c r="A44" s="190"/>
      <c r="B44" s="219"/>
      <c r="C44" s="220"/>
      <c r="D44" s="220"/>
      <c r="E44" s="220"/>
      <c r="F44" s="220"/>
      <c r="G44" s="220"/>
      <c r="H44" s="220"/>
      <c r="I44" s="220"/>
      <c r="J44" s="220"/>
      <c r="K44" s="220"/>
      <c r="L44" s="220"/>
      <c r="M44" s="221"/>
      <c r="N44" s="221"/>
      <c r="O44" s="222"/>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row>
    <row r="45" spans="1:81" ht="10.5" customHeight="1" x14ac:dyDescent="0.2">
      <c r="A45" s="190"/>
      <c r="B45" s="193"/>
      <c r="C45" s="193"/>
      <c r="D45" s="193"/>
      <c r="E45" s="193"/>
      <c r="F45" s="193"/>
      <c r="G45" s="193"/>
      <c r="H45" s="193"/>
      <c r="I45" s="193"/>
      <c r="J45" s="193"/>
      <c r="K45" s="193"/>
      <c r="L45" s="193"/>
      <c r="M45" s="194"/>
      <c r="N45" s="194"/>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row>
    <row r="46" spans="1:81" ht="12.75" x14ac:dyDescent="0.2"/>
    <row r="47" spans="1:81" ht="12.75" x14ac:dyDescent="0.2"/>
    <row r="48" spans="1:81" ht="13.5" customHeight="1" x14ac:dyDescent="0.2"/>
    <row r="49" ht="13.5" customHeight="1" x14ac:dyDescent="0.2"/>
    <row r="50" ht="13.5" customHeight="1" x14ac:dyDescent="0.2"/>
    <row r="51" ht="13.5" customHeight="1" x14ac:dyDescent="0.2"/>
    <row r="52" ht="13.5" customHeight="1" x14ac:dyDescent="0.2"/>
    <row r="53" ht="13.5" customHeight="1" x14ac:dyDescent="0.2"/>
  </sheetData>
  <mergeCells count="1">
    <mergeCell ref="D40:M40"/>
  </mergeCells>
  <hyperlinks>
    <hyperlink ref="G29" r:id="rId1" xr:uid="{00000000-0004-0000-0000-000000000000}"/>
  </hyperlinks>
  <pageMargins left="0.7" right="0.7" top="0.75" bottom="0.75" header="0.3" footer="0.3"/>
  <pageSetup scale="73"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2:R89"/>
  <sheetViews>
    <sheetView showGridLines="0" topLeftCell="A34" zoomScale="95" workbookViewId="0">
      <selection activeCell="D5" sqref="D5"/>
    </sheetView>
  </sheetViews>
  <sheetFormatPr defaultColWidth="8.7109375" defaultRowHeight="12.75" outlineLevelRow="1" x14ac:dyDescent="0.2"/>
  <cols>
    <col min="1" max="1" width="8.7109375" style="155"/>
    <col min="2" max="2" width="22" style="155" bestFit="1" customWidth="1"/>
    <col min="3" max="3" width="8.7109375" style="155"/>
    <col min="4" max="10" width="12.42578125" style="155" customWidth="1"/>
    <col min="11" max="16384" width="8.7109375" style="155"/>
  </cols>
  <sheetData>
    <row r="2" spans="2:18" x14ac:dyDescent="0.2">
      <c r="D2" s="253">
        <f>'Plant model'!I2</f>
        <v>-2</v>
      </c>
      <c r="E2" s="253">
        <f>'Plant model'!J2</f>
        <v>-1</v>
      </c>
      <c r="F2" s="253">
        <f>'Plant model'!K2</f>
        <v>0</v>
      </c>
      <c r="G2" s="253">
        <f>'Plant model'!L2</f>
        <v>1</v>
      </c>
      <c r="H2" s="253">
        <f>'Plant model'!M2</f>
        <v>2</v>
      </c>
      <c r="I2" s="253">
        <f>'Plant model'!N2</f>
        <v>3</v>
      </c>
      <c r="J2" s="253">
        <f>'Plant model'!O2</f>
        <v>4</v>
      </c>
    </row>
    <row r="5" spans="2:18" x14ac:dyDescent="0.2">
      <c r="D5" s="330">
        <f>'3 statements (USD)'!D5</f>
        <v>2022</v>
      </c>
      <c r="E5" s="252">
        <f t="shared" ref="E5:J5" si="0">D5+1</f>
        <v>2023</v>
      </c>
      <c r="F5" s="252">
        <f t="shared" si="0"/>
        <v>2024</v>
      </c>
      <c r="G5" s="252">
        <f t="shared" si="0"/>
        <v>2025</v>
      </c>
      <c r="H5" s="252">
        <f t="shared" si="0"/>
        <v>2026</v>
      </c>
      <c r="I5" s="252">
        <f t="shared" si="0"/>
        <v>2027</v>
      </c>
      <c r="J5" s="252">
        <f t="shared" si="0"/>
        <v>2028</v>
      </c>
      <c r="N5" s="158"/>
      <c r="O5" s="158"/>
      <c r="P5" s="158"/>
      <c r="Q5" s="158"/>
      <c r="R5" s="158"/>
    </row>
    <row r="6" spans="2:18" x14ac:dyDescent="0.2">
      <c r="N6" s="157"/>
      <c r="O6" s="157"/>
      <c r="P6" s="157"/>
      <c r="Q6" s="157"/>
    </row>
    <row r="7" spans="2:18" x14ac:dyDescent="0.2">
      <c r="B7" s="156" t="s">
        <v>330</v>
      </c>
      <c r="N7" s="157"/>
      <c r="O7" s="157"/>
      <c r="P7" s="157"/>
      <c r="Q7" s="157"/>
    </row>
    <row r="8" spans="2:18" x14ac:dyDescent="0.2">
      <c r="B8" s="156"/>
    </row>
    <row r="9" spans="2:18" x14ac:dyDescent="0.2">
      <c r="B9" s="228" t="str">
        <f>'Plant model'!C1213</f>
        <v>Revenue</v>
      </c>
      <c r="C9" s="228"/>
      <c r="D9" s="229">
        <f>'3 statements (USD)'!D9/'Plant model'!$E$14</f>
        <v>0</v>
      </c>
      <c r="E9" s="229">
        <f>'3 statements (USD)'!E9/'Plant model'!$E$14</f>
        <v>0</v>
      </c>
      <c r="F9" s="229">
        <f>'3 statements (USD)'!F9/'Plant model'!$E$14</f>
        <v>118.97846915584414</v>
      </c>
      <c r="G9" s="229">
        <f>'3 statements (USD)'!G9/'Plant model'!$E$14</f>
        <v>190.36555064935064</v>
      </c>
      <c r="H9" s="229">
        <f>'3 statements (USD)'!H9/'Plant model'!$E$14</f>
        <v>380.73110129870128</v>
      </c>
      <c r="I9" s="229">
        <f>'3 statements (USD)'!I9/'Plant model'!$E$14</f>
        <v>380.73110129870128</v>
      </c>
      <c r="J9" s="229">
        <f>'3 statements (USD)'!J9/'Plant model'!$E$14</f>
        <v>380.73110129870128</v>
      </c>
    </row>
    <row r="10" spans="2:18" x14ac:dyDescent="0.2">
      <c r="B10" s="228" t="str">
        <f>'Plant model'!C1214</f>
        <v>Operating costs</v>
      </c>
      <c r="C10" s="228"/>
      <c r="D10" s="229">
        <f>'3 statements (USD)'!D10/'Plant model'!$E$14</f>
        <v>0</v>
      </c>
      <c r="E10" s="229">
        <f>'3 statements (USD)'!E10/'Plant model'!$E$14</f>
        <v>0</v>
      </c>
      <c r="F10" s="229">
        <f>'3 statements (USD)'!F10/'Plant model'!$E$14</f>
        <v>-62.146541513668147</v>
      </c>
      <c r="G10" s="229">
        <f>'3 statements (USD)'!G10/'Plant model'!$E$14</f>
        <v>-95.319023547541875</v>
      </c>
      <c r="H10" s="229">
        <f>'3 statements (USD)'!H10/'Plant model'!$E$14</f>
        <v>-193.43557461472699</v>
      </c>
      <c r="I10" s="229">
        <f>'3 statements (USD)'!I10/'Plant model'!$E$14</f>
        <v>-193.43557461472699</v>
      </c>
      <c r="J10" s="229">
        <f>'3 statements (USD)'!J10/'Plant model'!$E$14</f>
        <v>-193.43557461472705</v>
      </c>
    </row>
    <row r="11" spans="2:18" x14ac:dyDescent="0.2">
      <c r="B11" s="228" t="str">
        <f>'Plant model'!C1215</f>
        <v>SG&amp;A</v>
      </c>
      <c r="C11" s="228"/>
      <c r="D11" s="229">
        <f>'3 statements (USD)'!D11/'Plant model'!$E$14</f>
        <v>0</v>
      </c>
      <c r="E11" s="229">
        <f>'3 statements (USD)'!E11/'Plant model'!$E$14</f>
        <v>0</v>
      </c>
      <c r="F11" s="229">
        <f>'3 statements (USD)'!F11/'Plant model'!$E$14</f>
        <v>-2.9773355396522221</v>
      </c>
      <c r="G11" s="229">
        <f>'3 statements (USD)'!G11/'Plant model'!$E$14</f>
        <v>-4.0481417620548195</v>
      </c>
      <c r="H11" s="229">
        <f>'3 statements (USD)'!H11/'Plant model'!$E$14</f>
        <v>-8.0962835241096389</v>
      </c>
      <c r="I11" s="229">
        <f>'3 statements (USD)'!I11/'Plant model'!$E$14</f>
        <v>-8.0962835241096389</v>
      </c>
      <c r="J11" s="229">
        <f>'3 statements (USD)'!J11/'Plant model'!$E$14</f>
        <v>-8.0962835241096389</v>
      </c>
    </row>
    <row r="12" spans="2:18" x14ac:dyDescent="0.2">
      <c r="B12" s="228" t="str">
        <f>'Plant model'!C1216</f>
        <v>Change in working capital</v>
      </c>
      <c r="C12" s="228"/>
      <c r="D12" s="229">
        <f>'3 statements (USD)'!D12/'Plant model'!$E$14</f>
        <v>0</v>
      </c>
      <c r="E12" s="229">
        <f>'3 statements (USD)'!E12/'Plant model'!$E$14</f>
        <v>0</v>
      </c>
      <c r="F12" s="229">
        <f>'3 statements (USD)'!F12/'Plant model'!$E$14</f>
        <v>-18.390540430773587</v>
      </c>
      <c r="G12" s="229">
        <f>'3 statements (USD)'!G12/'Plant model'!$E$14</f>
        <v>-6.5574913607529099</v>
      </c>
      <c r="H12" s="229">
        <f>'3 statements (USD)'!H12/'Plant model'!$E$14</f>
        <v>-24.670254214432425</v>
      </c>
      <c r="I12" s="229">
        <f>'3 statements (USD)'!I12/'Plant model'!$E$14</f>
        <v>0</v>
      </c>
      <c r="J12" s="229">
        <f>'3 statements (USD)'!J12/'Plant model'!$E$14</f>
        <v>0</v>
      </c>
    </row>
    <row r="13" spans="2:18" x14ac:dyDescent="0.2">
      <c r="B13" s="228" t="str">
        <f>'Plant model'!C1217</f>
        <v>Cash taxes</v>
      </c>
      <c r="C13" s="228"/>
      <c r="D13" s="229">
        <f>'3 statements (USD)'!D13/'Plant model'!$E$14</f>
        <v>0</v>
      </c>
      <c r="E13" s="229">
        <f>'3 statements (USD)'!E13/'Plant model'!$E$14</f>
        <v>0</v>
      </c>
      <c r="F13" s="229">
        <f>'3 statements (USD)'!F13/'Plant model'!$E$14</f>
        <v>0</v>
      </c>
      <c r="G13" s="229">
        <f>'3 statements (USD)'!G13/'Plant model'!$E$14</f>
        <v>0</v>
      </c>
      <c r="H13" s="229">
        <f>'3 statements (USD)'!H13/'Plant model'!$E$14</f>
        <v>0</v>
      </c>
      <c r="I13" s="229">
        <f>'3 statements (USD)'!I13/'Plant model'!$E$14</f>
        <v>0</v>
      </c>
      <c r="J13" s="229">
        <f>'3 statements (USD)'!J13/'Plant model'!$E$14</f>
        <v>0</v>
      </c>
    </row>
    <row r="14" spans="2:18" x14ac:dyDescent="0.2">
      <c r="B14" s="230" t="str">
        <f>'Plant model'!C1218</f>
        <v>Operating cash flow</v>
      </c>
      <c r="C14" s="228"/>
      <c r="D14" s="231">
        <f>'3 statements (USD)'!D14/'Plant model'!$E$14</f>
        <v>0</v>
      </c>
      <c r="E14" s="231">
        <f>'3 statements (USD)'!E14/'Plant model'!$E$14</f>
        <v>0</v>
      </c>
      <c r="F14" s="231">
        <f>'3 statements (USD)'!F14/'Plant model'!$E$14</f>
        <v>35.464051671750177</v>
      </c>
      <c r="G14" s="231">
        <f>'3 statements (USD)'!G14/'Plant model'!$E$14</f>
        <v>84.440893979001018</v>
      </c>
      <c r="H14" s="231">
        <f>'3 statements (USD)'!H14/'Plant model'!$E$14</f>
        <v>154.52898894543219</v>
      </c>
      <c r="I14" s="231">
        <f>'3 statements (USD)'!I14/'Plant model'!$E$14</f>
        <v>179.19924315986464</v>
      </c>
      <c r="J14" s="231">
        <f>'3 statements (USD)'!J14/'Plant model'!$E$14</f>
        <v>179.19924315986458</v>
      </c>
    </row>
    <row r="16" spans="2:18" x14ac:dyDescent="0.2">
      <c r="B16" s="228" t="str">
        <f>'Plant model'!C1220</f>
        <v>Capital expenditures</v>
      </c>
      <c r="C16" s="228"/>
      <c r="D16" s="229">
        <f>'3 statements (USD)'!D16/'Plant model'!$E$14</f>
        <v>-73.451352164258367</v>
      </c>
      <c r="E16" s="229">
        <f>'3 statements (USD)'!E16/'Plant model'!$E$14</f>
        <v>-347.67038151916091</v>
      </c>
      <c r="F16" s="229">
        <f>'3 statements (USD)'!F16/'Plant model'!$E$14</f>
        <v>-196.50934607604745</v>
      </c>
      <c r="G16" s="229">
        <f>'3 statements (USD)'!G16/'Plant model'!$E$14</f>
        <v>0</v>
      </c>
      <c r="H16" s="229">
        <f>'3 statements (USD)'!H16/'Plant model'!$E$14</f>
        <v>0</v>
      </c>
      <c r="I16" s="229">
        <f>'3 statements (USD)'!I16/'Plant model'!$E$14</f>
        <v>0</v>
      </c>
      <c r="J16" s="229">
        <f>'3 statements (USD)'!J16/'Plant model'!$E$14</f>
        <v>0</v>
      </c>
    </row>
    <row r="17" spans="2:10" x14ac:dyDescent="0.2">
      <c r="B17" s="230" t="str">
        <f>'Plant model'!C1221</f>
        <v>Pre-finance cash flow</v>
      </c>
      <c r="C17" s="228"/>
      <c r="D17" s="231">
        <f>'3 statements (USD)'!D17/'Plant model'!$E$14</f>
        <v>-73.451352164258367</v>
      </c>
      <c r="E17" s="231">
        <f>'3 statements (USD)'!E17/'Plant model'!$E$14</f>
        <v>-347.67038151916091</v>
      </c>
      <c r="F17" s="231">
        <f>'3 statements (USD)'!F17/'Plant model'!$E$14</f>
        <v>-161.04529440429727</v>
      </c>
      <c r="G17" s="231">
        <f>'3 statements (USD)'!G17/'Plant model'!$E$14</f>
        <v>84.440893979001018</v>
      </c>
      <c r="H17" s="231">
        <f>'3 statements (USD)'!H17/'Plant model'!$E$14</f>
        <v>154.52898894543219</v>
      </c>
      <c r="I17" s="231">
        <f>'3 statements (USD)'!I17/'Plant model'!$E$14</f>
        <v>179.19924315986464</v>
      </c>
      <c r="J17" s="231">
        <f>'3 statements (USD)'!J17/'Plant model'!$E$14</f>
        <v>179.19924315986458</v>
      </c>
    </row>
    <row r="19" spans="2:10" x14ac:dyDescent="0.2">
      <c r="B19" s="228" t="str">
        <f>'Plant model'!C1223</f>
        <v>Senior debt drawdown</v>
      </c>
      <c r="C19" s="228"/>
      <c r="D19" s="229">
        <f>'3 statements (USD)'!D19/'Plant model'!$E$14</f>
        <v>42.857142857142854</v>
      </c>
      <c r="E19" s="229">
        <f>'3 statements (USD)'!E19/'Plant model'!$E$14</f>
        <v>246.42857142857142</v>
      </c>
      <c r="F19" s="229">
        <f>'3 statements (USD)'!F19/'Plant model'!$E$14</f>
        <v>139.28571428571428</v>
      </c>
      <c r="G19" s="229">
        <f>'3 statements (USD)'!G19/'Plant model'!$E$14</f>
        <v>0</v>
      </c>
      <c r="H19" s="229">
        <f>'3 statements (USD)'!H19/'Plant model'!$E$14</f>
        <v>0</v>
      </c>
      <c r="I19" s="229">
        <f>'3 statements (USD)'!I19/'Plant model'!$E$14</f>
        <v>0</v>
      </c>
      <c r="J19" s="229">
        <f>'3 statements (USD)'!J19/'Plant model'!$E$14</f>
        <v>0</v>
      </c>
    </row>
    <row r="20" spans="2:10" x14ac:dyDescent="0.2">
      <c r="B20" s="228" t="str">
        <f>'Plant model'!C1224</f>
        <v>Senior debt repayment</v>
      </c>
      <c r="C20" s="228"/>
      <c r="D20" s="229">
        <f>'3 statements (USD)'!D20/'Plant model'!$E$14</f>
        <v>0</v>
      </c>
      <c r="E20" s="229">
        <f>'3 statements (USD)'!E20/'Plant model'!$E$14</f>
        <v>0</v>
      </c>
      <c r="F20" s="229">
        <f>'3 statements (USD)'!F20/'Plant model'!$E$14</f>
        <v>-22.556390977443609</v>
      </c>
      <c r="G20" s="229">
        <f>'3 statements (USD)'!G20/'Plant model'!$E$14</f>
        <v>-22.556390977443609</v>
      </c>
      <c r="H20" s="229">
        <f>'3 statements (USD)'!H20/'Plant model'!$E$14</f>
        <v>-45.112781954887218</v>
      </c>
      <c r="I20" s="229">
        <f>'3 statements (USD)'!I20/'Plant model'!$E$14</f>
        <v>-45.112781954887218</v>
      </c>
      <c r="J20" s="229">
        <f>'3 statements (USD)'!J20/'Plant model'!$E$14</f>
        <v>-45.112781954887218</v>
      </c>
    </row>
    <row r="21" spans="2:10" x14ac:dyDescent="0.2">
      <c r="B21" s="228" t="str">
        <f>'Plant model'!C1225</f>
        <v>Senior debt Financing fees</v>
      </c>
      <c r="C21" s="228"/>
      <c r="D21" s="229">
        <f>'3 statements (USD)'!D21/'Plant model'!$E$14</f>
        <v>-12.787792839243611</v>
      </c>
      <c r="E21" s="229">
        <f>'3 statements (USD)'!E21/'Plant model'!$E$14</f>
        <v>-2.6552420547316231</v>
      </c>
      <c r="F21" s="229">
        <f>'3 statements (USD)'!F21/'Plant model'!$E$14</f>
        <v>-0.36025897225001918</v>
      </c>
      <c r="G21" s="229">
        <f>'3 statements (USD)'!G21/'Plant model'!$E$14</f>
        <v>0</v>
      </c>
      <c r="H21" s="229">
        <f>'3 statements (USD)'!H21/'Plant model'!$E$14</f>
        <v>0</v>
      </c>
      <c r="I21" s="229">
        <f>'3 statements (USD)'!I21/'Plant model'!$E$14</f>
        <v>0</v>
      </c>
      <c r="J21" s="229">
        <f>'3 statements (USD)'!J21/'Plant model'!$E$14</f>
        <v>0</v>
      </c>
    </row>
    <row r="22" spans="2:10" x14ac:dyDescent="0.2">
      <c r="B22" s="228" t="str">
        <f>'Plant model'!C1226</f>
        <v>Senior debt Interest</v>
      </c>
      <c r="C22" s="228"/>
      <c r="D22" s="229">
        <f>'3 statements (USD)'!D22/'Plant model'!$E$14</f>
        <v>0</v>
      </c>
      <c r="E22" s="229">
        <f>'3 statements (USD)'!E22/'Plant model'!$E$14</f>
        <v>0</v>
      </c>
      <c r="F22" s="229">
        <f>'3 statements (USD)'!F22/'Plant model'!$E$14</f>
        <v>0</v>
      </c>
      <c r="G22" s="229">
        <f>'3 statements (USD)'!G22/'Plant model'!$E$14</f>
        <v>0</v>
      </c>
      <c r="H22" s="229">
        <f>'3 statements (USD)'!H22/'Plant model'!$E$14</f>
        <v>0</v>
      </c>
      <c r="I22" s="229">
        <f>'3 statements (USD)'!I22/'Plant model'!$E$14</f>
        <v>0</v>
      </c>
      <c r="J22" s="229">
        <f>'3 statements (USD)'!J22/'Plant model'!$E$14</f>
        <v>0</v>
      </c>
    </row>
    <row r="23" spans="2:10" x14ac:dyDescent="0.2">
      <c r="B23" s="228" t="str">
        <f>'Plant model'!C1227</f>
        <v>Working capital drawdown</v>
      </c>
      <c r="C23" s="228"/>
      <c r="D23" s="229">
        <f>'3 statements (USD)'!D23/'Plant model'!$E$14</f>
        <v>0</v>
      </c>
      <c r="E23" s="229">
        <f>'3 statements (USD)'!E23/'Plant model'!$E$14</f>
        <v>0</v>
      </c>
      <c r="F23" s="229">
        <f>'3 statements (USD)'!F23/'Plant model'!$E$14</f>
        <v>22.820101068559389</v>
      </c>
      <c r="G23" s="229">
        <f>'3 statements (USD)'!G23/'Plant model'!$E$14</f>
        <v>7.6067003561864537</v>
      </c>
      <c r="H23" s="229">
        <f>'3 statements (USD)'!H23/'Plant model'!$E$14</f>
        <v>30.426801424745843</v>
      </c>
      <c r="I23" s="229">
        <f>'3 statements (USD)'!I23/'Plant model'!$E$14</f>
        <v>0</v>
      </c>
      <c r="J23" s="229">
        <f>'3 statements (USD)'!J23/'Plant model'!$E$14</f>
        <v>0</v>
      </c>
    </row>
    <row r="24" spans="2:10" x14ac:dyDescent="0.2">
      <c r="B24" s="228" t="str">
        <f>'Plant model'!C1228</f>
        <v>Working capital repayment</v>
      </c>
      <c r="C24" s="228"/>
      <c r="D24" s="229">
        <f>'3 statements (USD)'!D24/'Plant model'!$E$14</f>
        <v>0</v>
      </c>
      <c r="E24" s="229">
        <f>'3 statements (USD)'!E24/'Plant model'!$E$14</f>
        <v>0</v>
      </c>
      <c r="F24" s="229">
        <f>'3 statements (USD)'!F24/'Plant model'!$E$14</f>
        <v>0</v>
      </c>
      <c r="G24" s="229">
        <f>'3 statements (USD)'!G24/'Plant model'!$E$14</f>
        <v>0</v>
      </c>
      <c r="H24" s="229">
        <f>'3 statements (USD)'!H24/'Plant model'!$E$14</f>
        <v>0</v>
      </c>
      <c r="I24" s="229">
        <f>'3 statements (USD)'!I24/'Plant model'!$E$14</f>
        <v>0</v>
      </c>
      <c r="J24" s="229">
        <f>'3 statements (USD)'!J24/'Plant model'!$E$14</f>
        <v>0</v>
      </c>
    </row>
    <row r="25" spans="2:10" x14ac:dyDescent="0.2">
      <c r="B25" s="228" t="str">
        <f>'Plant model'!C1229</f>
        <v>Working capital interest</v>
      </c>
      <c r="C25" s="228"/>
      <c r="D25" s="229">
        <f>'3 statements (USD)'!D25/'Plant model'!$E$14</f>
        <v>0</v>
      </c>
      <c r="E25" s="229">
        <f>'3 statements (USD)'!E25/'Plant model'!$E$14</f>
        <v>0</v>
      </c>
      <c r="F25" s="229">
        <f>'3 statements (USD)'!F25/'Plant model'!$E$14</f>
        <v>-0.51720172450322965</v>
      </c>
      <c r="G25" s="229">
        <f>'3 statements (USD)'!G25/'Plant model'!$E$14</f>
        <v>-1.1082894096497777</v>
      </c>
      <c r="H25" s="229">
        <f>'3 statements (USD)'!H25/'Plant model'!$E$14</f>
        <v>-3.6512161709695015</v>
      </c>
      <c r="I25" s="229">
        <f>'3 statements (USD)'!I25/'Plant model'!$E$14</f>
        <v>-4.8682882279593347</v>
      </c>
      <c r="J25" s="229">
        <f>'3 statements (USD)'!J25/'Plant model'!$E$14</f>
        <v>-4.8682882279593347</v>
      </c>
    </row>
    <row r="26" spans="2:10" x14ac:dyDescent="0.2">
      <c r="B26" s="228" t="str">
        <f>'Plant model'!C1230</f>
        <v>Cost overrun debt drawdown</v>
      </c>
      <c r="C26" s="228"/>
      <c r="D26" s="229">
        <f>'3 statements (USD)'!D26/'Plant model'!$E$14</f>
        <v>0</v>
      </c>
      <c r="E26" s="229">
        <f>'3 statements (USD)'!E26/'Plant model'!$E$14</f>
        <v>0</v>
      </c>
      <c r="F26" s="229">
        <f>'3 statements (USD)'!F26/'Plant model'!$E$14</f>
        <v>0</v>
      </c>
      <c r="G26" s="229">
        <f>'3 statements (USD)'!G26/'Plant model'!$E$14</f>
        <v>0</v>
      </c>
      <c r="H26" s="229">
        <f>'3 statements (USD)'!H26/'Plant model'!$E$14</f>
        <v>0</v>
      </c>
      <c r="I26" s="229">
        <f>'3 statements (USD)'!I26/'Plant model'!$E$14</f>
        <v>0</v>
      </c>
      <c r="J26" s="229">
        <f>'3 statements (USD)'!J26/'Plant model'!$E$14</f>
        <v>0</v>
      </c>
    </row>
    <row r="27" spans="2:10" x14ac:dyDescent="0.2">
      <c r="B27" s="228" t="str">
        <f>'Plant model'!C1231</f>
        <v>Cost overrun debt repayment</v>
      </c>
      <c r="C27" s="228"/>
      <c r="D27" s="229">
        <f>'3 statements (USD)'!D27/'Plant model'!$E$14</f>
        <v>0</v>
      </c>
      <c r="E27" s="229">
        <f>'3 statements (USD)'!E27/'Plant model'!$E$14</f>
        <v>0</v>
      </c>
      <c r="F27" s="229">
        <f>'3 statements (USD)'!F27/'Plant model'!$E$14</f>
        <v>0</v>
      </c>
      <c r="G27" s="229">
        <f>'3 statements (USD)'!G27/'Plant model'!$E$14</f>
        <v>0</v>
      </c>
      <c r="H27" s="229">
        <f>'3 statements (USD)'!H27/'Plant model'!$E$14</f>
        <v>0</v>
      </c>
      <c r="I27" s="229">
        <f>'3 statements (USD)'!I27/'Plant model'!$E$14</f>
        <v>0</v>
      </c>
      <c r="J27" s="229">
        <f>'3 statements (USD)'!J27/'Plant model'!$E$14</f>
        <v>0</v>
      </c>
    </row>
    <row r="28" spans="2:10" x14ac:dyDescent="0.2">
      <c r="B28" s="228" t="str">
        <f>'Plant model'!C1232</f>
        <v>Cost overrun debt interest</v>
      </c>
      <c r="C28" s="228"/>
      <c r="D28" s="229">
        <f>'3 statements (USD)'!D28/'Plant model'!$E$14</f>
        <v>0</v>
      </c>
      <c r="E28" s="229">
        <f>'3 statements (USD)'!E28/'Plant model'!$E$14</f>
        <v>0</v>
      </c>
      <c r="F28" s="229">
        <f>'3 statements (USD)'!F28/'Plant model'!$E$14</f>
        <v>0</v>
      </c>
      <c r="G28" s="229">
        <f>'3 statements (USD)'!G28/'Plant model'!$E$14</f>
        <v>0</v>
      </c>
      <c r="H28" s="229">
        <f>'3 statements (USD)'!H28/'Plant model'!$E$14</f>
        <v>0</v>
      </c>
      <c r="I28" s="229">
        <f>'3 statements (USD)'!I28/'Plant model'!$E$14</f>
        <v>0</v>
      </c>
      <c r="J28" s="229">
        <f>'3 statements (USD)'!J28/'Plant model'!$E$14</f>
        <v>0</v>
      </c>
    </row>
    <row r="29" spans="2:10" x14ac:dyDescent="0.2">
      <c r="B29" s="228" t="str">
        <f>'Plant model'!C1233</f>
        <v>Cost overrun debt fees</v>
      </c>
      <c r="C29" s="228"/>
      <c r="D29" s="229">
        <f>'3 statements (USD)'!D29/'Plant model'!$E$14</f>
        <v>-0.30119493128761948</v>
      </c>
      <c r="E29" s="229">
        <f>'3 statements (USD)'!E29/'Plant model'!$E$14</f>
        <v>-0.30119493128761948</v>
      </c>
      <c r="F29" s="229">
        <f>'3 statements (USD)'!F29/'Plant model'!$E$14</f>
        <v>-0.15059746564380974</v>
      </c>
      <c r="G29" s="229">
        <f>'3 statements (USD)'!G29/'Plant model'!$E$14</f>
        <v>0</v>
      </c>
      <c r="H29" s="229">
        <f>'3 statements (USD)'!H29/'Plant model'!$E$14</f>
        <v>0</v>
      </c>
      <c r="I29" s="229">
        <f>'3 statements (USD)'!I29/'Plant model'!$E$14</f>
        <v>0</v>
      </c>
      <c r="J29" s="229">
        <f>'3 statements (USD)'!J29/'Plant model'!$E$14</f>
        <v>0</v>
      </c>
    </row>
    <row r="30" spans="2:10" x14ac:dyDescent="0.2">
      <c r="B30" s="228" t="str">
        <f>'Plant model'!C1234</f>
        <v>Pre-Construction 80/20 Loan Facility drawdown</v>
      </c>
      <c r="C30" s="228"/>
      <c r="D30" s="229">
        <f>'3 statements (USD)'!D30/'Plant model'!$E$14</f>
        <v>12.986937987012986</v>
      </c>
      <c r="E30" s="229">
        <f>'3 statements (USD)'!E30/'Plant model'!$E$14</f>
        <v>0</v>
      </c>
      <c r="F30" s="229">
        <f>'3 statements (USD)'!F30/'Plant model'!$E$14</f>
        <v>0</v>
      </c>
      <c r="G30" s="229">
        <f>'3 statements (USD)'!G30/'Plant model'!$E$14</f>
        <v>0</v>
      </c>
      <c r="H30" s="229">
        <f>'3 statements (USD)'!H30/'Plant model'!$E$14</f>
        <v>0</v>
      </c>
      <c r="I30" s="229">
        <f>'3 statements (USD)'!I30/'Plant model'!$E$14</f>
        <v>0</v>
      </c>
      <c r="J30" s="229">
        <f>'3 statements (USD)'!J30/'Plant model'!$E$14</f>
        <v>0</v>
      </c>
    </row>
    <row r="31" spans="2:10" x14ac:dyDescent="0.2">
      <c r="B31" s="228" t="str">
        <f>'Plant model'!C1235</f>
        <v>Pre-Construction 80/20 Loan Facility repayment</v>
      </c>
      <c r="C31" s="228"/>
      <c r="D31" s="229">
        <f>'3 statements (USD)'!D31/'Plant model'!$E$14</f>
        <v>0</v>
      </c>
      <c r="E31" s="229">
        <f>'3 statements (USD)'!E31/'Plant model'!$E$14</f>
        <v>0</v>
      </c>
      <c r="F31" s="229">
        <f>'3 statements (USD)'!F31/'Plant model'!$E$14</f>
        <v>0</v>
      </c>
      <c r="G31" s="229">
        <f>'3 statements (USD)'!G31/'Plant model'!$E$14</f>
        <v>0</v>
      </c>
      <c r="H31" s="229">
        <f>'3 statements (USD)'!H31/'Plant model'!$E$14</f>
        <v>0</v>
      </c>
      <c r="I31" s="229">
        <f>'3 statements (USD)'!I31/'Plant model'!$E$14</f>
        <v>0</v>
      </c>
      <c r="J31" s="229">
        <f>'3 statements (USD)'!J31/'Plant model'!$E$14</f>
        <v>0</v>
      </c>
    </row>
    <row r="32" spans="2:10" x14ac:dyDescent="0.2">
      <c r="B32" s="228" t="str">
        <f>'Plant model'!C1236</f>
        <v>Pre-Construction 80/20 Loan Facility interest</v>
      </c>
      <c r="C32" s="228"/>
      <c r="D32" s="229">
        <f>'3 statements (USD)'!D32/'Plant model'!$E$14</f>
        <v>-1.3116795965612826</v>
      </c>
      <c r="E32" s="229">
        <f>'3 statements (USD)'!E32/'Plant model'!$E$14</f>
        <v>-1.6421658411128248</v>
      </c>
      <c r="F32" s="229">
        <f>'3 statements (USD)'!F32/'Plant model'!$E$14</f>
        <v>-1.6421658411128248</v>
      </c>
      <c r="G32" s="229">
        <f>'3 statements (USD)'!G32/'Plant model'!$E$14</f>
        <v>-0.82108292055641241</v>
      </c>
      <c r="H32" s="229">
        <f>'3 statements (USD)'!H32/'Plant model'!$E$14</f>
        <v>-0.13684715342606874</v>
      </c>
      <c r="I32" s="229">
        <f>'3 statements (USD)'!I32/'Plant model'!$E$14</f>
        <v>-0.13684715342606874</v>
      </c>
      <c r="J32" s="229">
        <f>'3 statements (USD)'!J32/'Plant model'!$E$14</f>
        <v>-0.13684715342606874</v>
      </c>
    </row>
    <row r="33" spans="1:10" x14ac:dyDescent="0.2">
      <c r="B33" s="228" t="str">
        <f>'Plant model'!C1237</f>
        <v>Pre-Construction 80/20 Loan Facility fees</v>
      </c>
      <c r="C33" s="228"/>
      <c r="D33" s="229">
        <f>'3 statements (USD)'!D33/'Plant model'!$E$14</f>
        <v>-0.45454545454545453</v>
      </c>
      <c r="E33" s="229">
        <f>'3 statements (USD)'!E33/'Plant model'!$E$14</f>
        <v>0</v>
      </c>
      <c r="F33" s="229">
        <f>'3 statements (USD)'!F33/'Plant model'!$E$14</f>
        <v>0</v>
      </c>
      <c r="G33" s="229">
        <f>'3 statements (USD)'!G33/'Plant model'!$E$14</f>
        <v>0</v>
      </c>
      <c r="H33" s="229">
        <f>'3 statements (USD)'!H33/'Plant model'!$E$14</f>
        <v>0</v>
      </c>
      <c r="I33" s="229">
        <f>'3 statements (USD)'!I33/'Plant model'!$E$14</f>
        <v>0</v>
      </c>
      <c r="J33" s="229">
        <f>'3 statements (USD)'!J33/'Plant model'!$E$14</f>
        <v>0</v>
      </c>
    </row>
    <row r="34" spans="1:10" x14ac:dyDescent="0.2">
      <c r="A34" s="157"/>
      <c r="B34" s="228" t="str">
        <f>'Plant model'!C1238</f>
        <v>Equity issued</v>
      </c>
      <c r="C34" s="228"/>
      <c r="D34" s="229">
        <f>'3 statements (USD)'!D34/'Plant model'!$E$14</f>
        <v>32.462484141740489</v>
      </c>
      <c r="E34" s="229">
        <f>'3 statements (USD)'!E34/'Plant model'!$E$14</f>
        <v>105.84041291772154</v>
      </c>
      <c r="F34" s="229">
        <f>'3 statements (USD)'!F34/'Plant model'!$E$14</f>
        <v>49.778621338528453</v>
      </c>
      <c r="G34" s="229">
        <f>'3 statements (USD)'!G34/'Plant model'!$E$14</f>
        <v>0</v>
      </c>
      <c r="H34" s="229" t="e">
        <f ca="1">'3 statements (USD)'!H34/'Plant model'!$E$14</f>
        <v>#NAME?</v>
      </c>
      <c r="I34" s="229" t="e">
        <f ca="1">'3 statements (USD)'!I34/'Plant model'!$E$14</f>
        <v>#NAME?</v>
      </c>
      <c r="J34" s="229" t="e">
        <f ca="1">'3 statements (USD)'!J34/'Plant model'!$E$14</f>
        <v>#NAME?</v>
      </c>
    </row>
    <row r="35" spans="1:10" x14ac:dyDescent="0.2">
      <c r="B35" s="230" t="str">
        <f>'Plant model'!C1239</f>
        <v>Financing cash flows</v>
      </c>
      <c r="C35" s="230"/>
      <c r="D35" s="231">
        <f>'3 statements (USD)'!D35/'Plant model'!$E$14</f>
        <v>73.451352164258353</v>
      </c>
      <c r="E35" s="231">
        <f>'3 statements (USD)'!E35/'Plant model'!$E$14</f>
        <v>347.67038151916091</v>
      </c>
      <c r="F35" s="231">
        <f>'3 statements (USD)'!F35/'Plant model'!$E$14</f>
        <v>186.65782171184864</v>
      </c>
      <c r="G35" s="231">
        <f>'3 statements (USD)'!G35/'Plant model'!$E$14</f>
        <v>-16.879062951463343</v>
      </c>
      <c r="H35" s="231" t="e">
        <f ca="1">'3 statements (USD)'!H35/'Plant model'!$E$14</f>
        <v>#NAME?</v>
      </c>
      <c r="I35" s="231" t="e">
        <f ca="1">'3 statements (USD)'!I35/'Plant model'!$E$14</f>
        <v>#NAME?</v>
      </c>
      <c r="J35" s="231" t="e">
        <f ca="1">'3 statements (USD)'!J35/'Plant model'!$E$14</f>
        <v>#NAME?</v>
      </c>
    </row>
    <row r="37" spans="1:10" x14ac:dyDescent="0.2">
      <c r="B37" s="228" t="str">
        <f>'Plant model'!C1241</f>
        <v>Dividends</v>
      </c>
      <c r="C37" s="228"/>
      <c r="D37" s="229">
        <f>'3 statements (USD)'!D37/'Plant model'!$E$14</f>
        <v>0</v>
      </c>
      <c r="E37" s="229">
        <f>'3 statements (USD)'!E37/'Plant model'!$E$14</f>
        <v>0</v>
      </c>
      <c r="F37" s="229">
        <f>'3 statements (USD)'!F37/'Plant model'!$E$14</f>
        <v>0</v>
      </c>
      <c r="G37" s="229">
        <f>'3 statements (USD)'!G37/'Plant model'!$E$14</f>
        <v>0</v>
      </c>
      <c r="H37" s="229">
        <f>'3 statements (USD)'!H37/'Plant model'!$E$14</f>
        <v>0</v>
      </c>
      <c r="I37" s="229">
        <f>'3 statements (USD)'!I37/'Plant model'!$E$14</f>
        <v>0</v>
      </c>
      <c r="J37" s="229">
        <f>'3 statements (USD)'!J37/'Plant model'!$E$14</f>
        <v>0</v>
      </c>
    </row>
    <row r="39" spans="1:10" x14ac:dyDescent="0.2">
      <c r="B39" s="230" t="str">
        <f>'Plant model'!C1243</f>
        <v>Total cash flows</v>
      </c>
      <c r="C39" s="228"/>
      <c r="D39" s="231">
        <f>'3 statements (USD)'!D39/'Plant model'!$E$14</f>
        <v>-9.2278277371441582E-15</v>
      </c>
      <c r="E39" s="231">
        <f>'3 statements (USD)'!E39/'Plant model'!$E$14</f>
        <v>0</v>
      </c>
      <c r="F39" s="231">
        <f>'3 statements (USD)'!F39/'Plant model'!$E$14</f>
        <v>25.612527307551368</v>
      </c>
      <c r="G39" s="231">
        <f>'3 statements (USD)'!G39/'Plant model'!$E$14</f>
        <v>67.561831027537679</v>
      </c>
      <c r="H39" s="231" t="e">
        <f ca="1">'3 statements (USD)'!H39/'Plant model'!$E$14</f>
        <v>#NAME?</v>
      </c>
      <c r="I39" s="231" t="e">
        <f ca="1">'3 statements (USD)'!I39/'Plant model'!$E$14</f>
        <v>#NAME?</v>
      </c>
      <c r="J39" s="231" t="e">
        <f ca="1">'3 statements (USD)'!J39/'Plant model'!$E$14</f>
        <v>#NAME?</v>
      </c>
    </row>
    <row r="42" spans="1:10" x14ac:dyDescent="0.2">
      <c r="D42" s="154">
        <f t="shared" ref="D42:J42" si="1">D5</f>
        <v>2022</v>
      </c>
      <c r="E42" s="154">
        <f t="shared" si="1"/>
        <v>2023</v>
      </c>
      <c r="F42" s="154">
        <f t="shared" si="1"/>
        <v>2024</v>
      </c>
      <c r="G42" s="154">
        <f t="shared" si="1"/>
        <v>2025</v>
      </c>
      <c r="H42" s="154">
        <f t="shared" si="1"/>
        <v>2026</v>
      </c>
      <c r="I42" s="154">
        <f t="shared" si="1"/>
        <v>2027</v>
      </c>
      <c r="J42" s="154">
        <f t="shared" si="1"/>
        <v>2028</v>
      </c>
    </row>
    <row r="44" spans="1:10" x14ac:dyDescent="0.2">
      <c r="B44" s="160" t="s">
        <v>332</v>
      </c>
      <c r="C44" s="161"/>
      <c r="D44" s="161"/>
      <c r="E44" s="161"/>
      <c r="F44" s="161"/>
      <c r="G44" s="161"/>
      <c r="H44" s="161"/>
      <c r="I44" s="161"/>
      <c r="J44" s="161"/>
    </row>
    <row r="46" spans="1:10" x14ac:dyDescent="0.2">
      <c r="B46" s="228" t="str">
        <f>'Plant model'!C1254</f>
        <v>Revenue</v>
      </c>
      <c r="C46" s="228"/>
      <c r="D46" s="229">
        <f>'3 statements (USD)'!D46/'Plant model'!$E$14</f>
        <v>0</v>
      </c>
      <c r="E46" s="229">
        <f>'3 statements (USD)'!E46/'Plant model'!$E$14</f>
        <v>0</v>
      </c>
      <c r="F46" s="229">
        <f>'3 statements (USD)'!F46/'Plant model'!$E$14</f>
        <v>118.97846915584414</v>
      </c>
      <c r="G46" s="229">
        <f>'3 statements (USD)'!G46/'Plant model'!$E$14</f>
        <v>190.36555064935064</v>
      </c>
      <c r="H46" s="229">
        <f>'3 statements (USD)'!H46/'Plant model'!$E$14</f>
        <v>380.73110129870128</v>
      </c>
      <c r="I46" s="229">
        <f>'3 statements (USD)'!I46/'Plant model'!$E$14</f>
        <v>380.73110129870128</v>
      </c>
      <c r="J46" s="229">
        <f>'3 statements (USD)'!J46/'Plant model'!$E$14</f>
        <v>380.73110129870128</v>
      </c>
    </row>
    <row r="47" spans="1:10" x14ac:dyDescent="0.2">
      <c r="B47" s="228" t="str">
        <f>'Plant model'!C1255</f>
        <v>Operating costs</v>
      </c>
      <c r="C47" s="228"/>
      <c r="D47" s="229">
        <f>'3 statements (USD)'!D47/'Plant model'!$E$14</f>
        <v>0</v>
      </c>
      <c r="E47" s="229">
        <f>'3 statements (USD)'!E47/'Plant model'!$E$14</f>
        <v>0</v>
      </c>
      <c r="F47" s="229">
        <f>'3 statements (USD)'!F47/'Plant model'!$E$14</f>
        <v>-62.146541513668147</v>
      </c>
      <c r="G47" s="229">
        <f>'3 statements (USD)'!G47/'Plant model'!$E$14</f>
        <v>-95.319023547541875</v>
      </c>
      <c r="H47" s="229">
        <f>'3 statements (USD)'!H47/'Plant model'!$E$14</f>
        <v>-193.43557461472699</v>
      </c>
      <c r="I47" s="229">
        <f>'3 statements (USD)'!I47/'Plant model'!$E$14</f>
        <v>-193.43557461472699</v>
      </c>
      <c r="J47" s="229">
        <f>'3 statements (USD)'!J47/'Plant model'!$E$14</f>
        <v>-193.43557461472705</v>
      </c>
    </row>
    <row r="48" spans="1:10" x14ac:dyDescent="0.2">
      <c r="B48" s="228" t="str">
        <f>'Plant model'!C1256</f>
        <v>SG&amp;A</v>
      </c>
      <c r="C48" s="228"/>
      <c r="D48" s="229">
        <f>'3 statements (USD)'!D48/'Plant model'!$E$14</f>
        <v>0</v>
      </c>
      <c r="E48" s="229">
        <f>'3 statements (USD)'!E48/'Plant model'!$E$14</f>
        <v>0</v>
      </c>
      <c r="F48" s="229">
        <f>'3 statements (USD)'!F48/'Plant model'!$E$14</f>
        <v>-2.9773355396522221</v>
      </c>
      <c r="G48" s="229">
        <f>'3 statements (USD)'!G48/'Plant model'!$E$14</f>
        <v>-4.0481417620548195</v>
      </c>
      <c r="H48" s="229">
        <f>'3 statements (USD)'!H48/'Plant model'!$E$14</f>
        <v>-8.0962835241096389</v>
      </c>
      <c r="I48" s="229">
        <f>'3 statements (USD)'!I48/'Plant model'!$E$14</f>
        <v>-8.0962835241096389</v>
      </c>
      <c r="J48" s="229">
        <f>'3 statements (USD)'!J48/'Plant model'!$E$14</f>
        <v>-8.0962835241096389</v>
      </c>
    </row>
    <row r="49" spans="2:10" x14ac:dyDescent="0.2">
      <c r="B49" s="230" t="str">
        <f>'Plant model'!C1257</f>
        <v>EBITDA</v>
      </c>
      <c r="C49" s="228"/>
      <c r="D49" s="231">
        <f>'3 statements (USD)'!D49/'Plant model'!$E$14</f>
        <v>0</v>
      </c>
      <c r="E49" s="231">
        <f>'3 statements (USD)'!E49/'Plant model'!$E$14</f>
        <v>0</v>
      </c>
      <c r="F49" s="231">
        <f>'3 statements (USD)'!F49/'Plant model'!$E$14</f>
        <v>53.854592102523767</v>
      </c>
      <c r="G49" s="231">
        <f>'3 statements (USD)'!G49/'Plant model'!$E$14</f>
        <v>90.998385339753938</v>
      </c>
      <c r="H49" s="231">
        <f>'3 statements (USD)'!H49/'Plant model'!$E$14</f>
        <v>179.19924315986464</v>
      </c>
      <c r="I49" s="231">
        <f>'3 statements (USD)'!I49/'Plant model'!$E$14</f>
        <v>179.19924315986464</v>
      </c>
      <c r="J49" s="231">
        <f>'3 statements (USD)'!J49/'Plant model'!$E$14</f>
        <v>179.19924315986458</v>
      </c>
    </row>
    <row r="50" spans="2:10" x14ac:dyDescent="0.2">
      <c r="B50" s="228"/>
      <c r="C50" s="228"/>
      <c r="D50" s="228"/>
      <c r="E50" s="228"/>
      <c r="F50" s="228"/>
      <c r="G50" s="228"/>
      <c r="H50" s="228"/>
      <c r="I50" s="228"/>
      <c r="J50" s="228"/>
    </row>
    <row r="51" spans="2:10" x14ac:dyDescent="0.2">
      <c r="B51" s="228" t="str">
        <f>'Plant model'!C1259</f>
        <v>Depreciation</v>
      </c>
      <c r="C51" s="228"/>
      <c r="D51" s="229">
        <f>'3 statements (USD)'!D51/'Plant model'!$E$14</f>
        <v>0</v>
      </c>
      <c r="E51" s="229">
        <f>'3 statements (USD)'!E51/'Plant model'!$E$14</f>
        <v>0</v>
      </c>
      <c r="F51" s="229">
        <f>'3 statements (USD)'!F51/'Plant model'!$E$14</f>
        <v>0</v>
      </c>
      <c r="G51" s="229">
        <f>'3 statements (USD)'!G51/'Plant model'!$E$14</f>
        <v>-15.440776993986667</v>
      </c>
      <c r="H51" s="229">
        <f>'3 statements (USD)'!H51/'Plant model'!$E$14</f>
        <v>-30.881553987973334</v>
      </c>
      <c r="I51" s="229">
        <f>'3 statements (USD)'!I51/'Plant model'!$E$14</f>
        <v>-30.881553987973334</v>
      </c>
      <c r="J51" s="229">
        <f>'3 statements (USD)'!J51/'Plant model'!$E$14</f>
        <v>-30.881553987973334</v>
      </c>
    </row>
    <row r="52" spans="2:10" x14ac:dyDescent="0.2">
      <c r="B52" s="228" t="str">
        <f>'Plant model'!C1260</f>
        <v>Amortization</v>
      </c>
      <c r="C52" s="228"/>
      <c r="D52" s="229">
        <f>'3 statements (USD)'!D52/'Plant model'!$E$14</f>
        <v>-0.34090909090909094</v>
      </c>
      <c r="E52" s="229">
        <f>'3 statements (USD)'!E52/'Plant model'!$E$14</f>
        <v>-0.22727272727272727</v>
      </c>
      <c r="F52" s="229">
        <f>'3 statements (USD)'!F52/'Plant model'!$E$14</f>
        <v>-2.0695351493055378</v>
      </c>
      <c r="G52" s="229">
        <f>'3 statements (USD)'!G52/'Plant model'!$E$14</f>
        <v>-1.0347675746527689</v>
      </c>
      <c r="H52" s="229">
        <f>'3 statements (USD)'!H52/'Plant model'!$E$14</f>
        <v>-2.0695351493055378</v>
      </c>
      <c r="I52" s="229">
        <f>'3 statements (USD)'!I52/'Plant model'!$E$14</f>
        <v>-2.0695351493055378</v>
      </c>
      <c r="J52" s="229">
        <f>'3 statements (USD)'!J52/'Plant model'!$E$14</f>
        <v>-2.0695351493055378</v>
      </c>
    </row>
    <row r="53" spans="2:10" x14ac:dyDescent="0.2">
      <c r="B53" s="230" t="str">
        <f>'Plant model'!C1261</f>
        <v>EBIT</v>
      </c>
      <c r="C53" s="228"/>
      <c r="D53" s="231">
        <f>'3 statements (USD)'!D53/'Plant model'!$E$14</f>
        <v>-0.34090909090909094</v>
      </c>
      <c r="E53" s="231">
        <f>'3 statements (USD)'!E53/'Plant model'!$E$14</f>
        <v>-0.22727272727272727</v>
      </c>
      <c r="F53" s="231">
        <f>'3 statements (USD)'!F53/'Plant model'!$E$14</f>
        <v>51.785056953218231</v>
      </c>
      <c r="G53" s="231">
        <f>'3 statements (USD)'!G53/'Plant model'!$E$14</f>
        <v>74.522840771114502</v>
      </c>
      <c r="H53" s="231">
        <f>'3 statements (USD)'!H53/'Plant model'!$E$14</f>
        <v>146.24815402258574</v>
      </c>
      <c r="I53" s="231">
        <f>'3 statements (USD)'!I53/'Plant model'!$E$14</f>
        <v>146.24815402258574</v>
      </c>
      <c r="J53" s="231">
        <f>'3 statements (USD)'!J53/'Plant model'!$E$14</f>
        <v>146.24815402258571</v>
      </c>
    </row>
    <row r="54" spans="2:10" x14ac:dyDescent="0.2">
      <c r="B54" s="228"/>
      <c r="C54" s="228"/>
      <c r="D54" s="228"/>
      <c r="E54" s="228"/>
      <c r="F54" s="228"/>
      <c r="G54" s="228"/>
      <c r="H54" s="228"/>
      <c r="I54" s="228"/>
      <c r="J54" s="228"/>
    </row>
    <row r="55" spans="2:10" x14ac:dyDescent="0.2">
      <c r="B55" s="228" t="str">
        <f>'Plant model'!C1263</f>
        <v>Senior Debt Interest</v>
      </c>
      <c r="C55" s="228"/>
      <c r="D55" s="229">
        <f>'3 statements (USD)'!D55/'Plant model'!$E$14</f>
        <v>0</v>
      </c>
      <c r="E55" s="229">
        <f>'3 statements (USD)'!E55/'Plant model'!$E$14</f>
        <v>0</v>
      </c>
      <c r="F55" s="229">
        <f>'3 statements (USD)'!F55/'Plant model'!$E$14</f>
        <v>0</v>
      </c>
      <c r="G55" s="229">
        <f>'3 statements (USD)'!G55/'Plant model'!$E$14</f>
        <v>0</v>
      </c>
      <c r="H55" s="229">
        <f>'3 statements (USD)'!H55/'Plant model'!$E$14</f>
        <v>0</v>
      </c>
      <c r="I55" s="229">
        <f>'3 statements (USD)'!I55/'Plant model'!$E$14</f>
        <v>0</v>
      </c>
      <c r="J55" s="229">
        <f>'3 statements (USD)'!J55/'Plant model'!$E$14</f>
        <v>0</v>
      </c>
    </row>
    <row r="56" spans="2:10" x14ac:dyDescent="0.2">
      <c r="B56" s="228" t="str">
        <f>'Plant model'!C1264</f>
        <v>Working capital interest</v>
      </c>
      <c r="C56" s="228"/>
      <c r="D56" s="229">
        <f>'3 statements (USD)'!D56/'Plant model'!$E$14</f>
        <v>0</v>
      </c>
      <c r="E56" s="229">
        <f>'3 statements (USD)'!E56/'Plant model'!$E$14</f>
        <v>0</v>
      </c>
      <c r="F56" s="229">
        <f>'3 statements (USD)'!F56/'Plant model'!$E$14</f>
        <v>-0.51720172450322965</v>
      </c>
      <c r="G56" s="229">
        <f>'3 statements (USD)'!G56/'Plant model'!$E$14</f>
        <v>-1.1082894096497777</v>
      </c>
      <c r="H56" s="229">
        <f>'3 statements (USD)'!H56/'Plant model'!$E$14</f>
        <v>-3.6512161709695015</v>
      </c>
      <c r="I56" s="229">
        <f>'3 statements (USD)'!I56/'Plant model'!$E$14</f>
        <v>-4.8682882279593347</v>
      </c>
      <c r="J56" s="229">
        <f>'3 statements (USD)'!J56/'Plant model'!$E$14</f>
        <v>-4.8682882279593347</v>
      </c>
    </row>
    <row r="57" spans="2:10" x14ac:dyDescent="0.2">
      <c r="B57" s="228" t="str">
        <f>'Plant model'!C1265</f>
        <v>Cost overrun interest</v>
      </c>
      <c r="C57" s="228"/>
      <c r="D57" s="229">
        <f>'3 statements (USD)'!D57/'Plant model'!$E$14</f>
        <v>0</v>
      </c>
      <c r="E57" s="229">
        <f>'3 statements (USD)'!E57/'Plant model'!$E$14</f>
        <v>0</v>
      </c>
      <c r="F57" s="229">
        <f>'3 statements (USD)'!F57/'Plant model'!$E$14</f>
        <v>0</v>
      </c>
      <c r="G57" s="229">
        <f>'3 statements (USD)'!G57/'Plant model'!$E$14</f>
        <v>0</v>
      </c>
      <c r="H57" s="229">
        <f>'3 statements (USD)'!H57/'Plant model'!$E$14</f>
        <v>0</v>
      </c>
      <c r="I57" s="229">
        <f>'3 statements (USD)'!I57/'Plant model'!$E$14</f>
        <v>0</v>
      </c>
      <c r="J57" s="229">
        <f>'3 statements (USD)'!J57/'Plant model'!$E$14</f>
        <v>0</v>
      </c>
    </row>
    <row r="58" spans="2:10" x14ac:dyDescent="0.2">
      <c r="B58" s="228" t="str">
        <f>'Plant model'!C1266</f>
        <v>Pre-Construction 80/20 Loan Facility interest</v>
      </c>
      <c r="C58" s="228"/>
      <c r="D58" s="229">
        <f>'3 statements (USD)'!D58/'Plant model'!$E$14</f>
        <v>-1.3116795965612826</v>
      </c>
      <c r="E58" s="229">
        <f>'3 statements (USD)'!E58/'Plant model'!$E$14</f>
        <v>-1.6421658411128248</v>
      </c>
      <c r="F58" s="229">
        <f>'3 statements (USD)'!F58/'Plant model'!$E$14</f>
        <v>-1.6421658411128248</v>
      </c>
      <c r="G58" s="229">
        <f>'3 statements (USD)'!G58/'Plant model'!$E$14</f>
        <v>-0.82108292055641241</v>
      </c>
      <c r="H58" s="229">
        <f>'3 statements (USD)'!H58/'Plant model'!$E$14</f>
        <v>-0.13684715342606874</v>
      </c>
      <c r="I58" s="229">
        <f>'3 statements (USD)'!I58/'Plant model'!$E$14</f>
        <v>-0.13684715342606874</v>
      </c>
      <c r="J58" s="229">
        <f>'3 statements (USD)'!J58/'Plant model'!$E$14</f>
        <v>-0.13684715342606874</v>
      </c>
    </row>
    <row r="59" spans="2:10" x14ac:dyDescent="0.2">
      <c r="B59" s="230" t="str">
        <f>'Plant model'!C1267</f>
        <v>EBT</v>
      </c>
      <c r="C59" s="228"/>
      <c r="D59" s="231">
        <f>'3 statements (USD)'!D59/'Plant model'!$E$14</f>
        <v>-1.6525886874703735</v>
      </c>
      <c r="E59" s="231">
        <f>'3 statements (USD)'!E59/'Plant model'!$E$14</f>
        <v>-1.8694385683855521</v>
      </c>
      <c r="F59" s="231">
        <f>'3 statements (USD)'!F59/'Plant model'!$E$14</f>
        <v>49.625689387602179</v>
      </c>
      <c r="G59" s="231">
        <f>'3 statements (USD)'!G59/'Plant model'!$E$14</f>
        <v>72.59346844090831</v>
      </c>
      <c r="H59" s="231">
        <f>'3 statements (USD)'!H59/'Plant model'!$E$14</f>
        <v>142.46009069819019</v>
      </c>
      <c r="I59" s="231">
        <f>'3 statements (USD)'!I59/'Plant model'!$E$14</f>
        <v>141.24301864120034</v>
      </c>
      <c r="J59" s="231">
        <f>'3 statements (USD)'!J59/'Plant model'!$E$14</f>
        <v>141.24301864120031</v>
      </c>
    </row>
    <row r="60" spans="2:10" x14ac:dyDescent="0.2">
      <c r="B60" s="228"/>
      <c r="C60" s="228"/>
      <c r="D60" s="228"/>
      <c r="E60" s="228"/>
      <c r="F60" s="228"/>
      <c r="G60" s="228"/>
      <c r="H60" s="228"/>
      <c r="I60" s="228"/>
      <c r="J60" s="228"/>
    </row>
    <row r="61" spans="2:10" x14ac:dyDescent="0.2">
      <c r="B61" s="228" t="str">
        <f>'Plant model'!C1269</f>
        <v>Accounting Taxes</v>
      </c>
      <c r="C61" s="228"/>
      <c r="D61" s="229">
        <f>'3 statements (USD)'!D61/'Plant model'!$E$14</f>
        <v>0</v>
      </c>
      <c r="E61" s="229">
        <f>'3 statements (USD)'!E61/'Plant model'!$E$14</f>
        <v>0</v>
      </c>
      <c r="F61" s="229">
        <f>'3 statements (USD)'!F61/'Plant model'!$E$14</f>
        <v>-12.463491889696284</v>
      </c>
      <c r="G61" s="229">
        <f>'3 statements (USD)'!G61/'Plant model'!$E$14</f>
        <v>-18.231849598934122</v>
      </c>
      <c r="H61" s="229">
        <f>'3 statements (USD)'!H61/'Plant model'!$E$14</f>
        <v>-35.778851778850466</v>
      </c>
      <c r="I61" s="229">
        <f>'3 statements (USD)'!I61/'Plant model'!$E$14</f>
        <v>-35.473184131737469</v>
      </c>
      <c r="J61" s="229">
        <f>'3 statements (USD)'!J61/'Plant model'!$E$14</f>
        <v>-35.473184131737455</v>
      </c>
    </row>
    <row r="62" spans="2:10" x14ac:dyDescent="0.2">
      <c r="B62" s="230" t="str">
        <f>'Plant model'!C1270</f>
        <v>Net income</v>
      </c>
      <c r="C62" s="228"/>
      <c r="D62" s="231">
        <f>'3 statements (USD)'!D62/'Plant model'!$E$14</f>
        <v>-1.6525886874703735</v>
      </c>
      <c r="E62" s="231">
        <f>'3 statements (USD)'!E62/'Plant model'!$E$14</f>
        <v>-1.8694385683855521</v>
      </c>
      <c r="F62" s="231">
        <f>'3 statements (USD)'!F62/'Plant model'!$E$14</f>
        <v>37.162197497905893</v>
      </c>
      <c r="G62" s="231">
        <f>'3 statements (USD)'!G62/'Plant model'!$E$14</f>
        <v>54.361618841974192</v>
      </c>
      <c r="H62" s="231">
        <f>'3 statements (USD)'!H62/'Plant model'!$E$14</f>
        <v>106.68123891933972</v>
      </c>
      <c r="I62" s="231">
        <f>'3 statements (USD)'!I62/'Plant model'!$E$14</f>
        <v>105.76983450946287</v>
      </c>
      <c r="J62" s="231">
        <f>'3 statements (USD)'!J62/'Plant model'!$E$14</f>
        <v>105.76983450946285</v>
      </c>
    </row>
    <row r="64" spans="2:10" outlineLevel="1" x14ac:dyDescent="0.2"/>
    <row r="65" spans="2:10" outlineLevel="1" x14ac:dyDescent="0.2">
      <c r="D65" s="154">
        <f>D42</f>
        <v>2022</v>
      </c>
      <c r="E65" s="154">
        <f t="shared" ref="E65:J65" si="2">E42</f>
        <v>2023</v>
      </c>
      <c r="F65" s="154">
        <f t="shared" si="2"/>
        <v>2024</v>
      </c>
      <c r="G65" s="154">
        <f t="shared" si="2"/>
        <v>2025</v>
      </c>
      <c r="H65" s="154">
        <f t="shared" si="2"/>
        <v>2026</v>
      </c>
      <c r="I65" s="154">
        <f t="shared" si="2"/>
        <v>2027</v>
      </c>
      <c r="J65" s="154">
        <f t="shared" si="2"/>
        <v>2028</v>
      </c>
    </row>
    <row r="67" spans="2:10" x14ac:dyDescent="0.2">
      <c r="B67" s="160" t="s">
        <v>333</v>
      </c>
      <c r="C67" s="161"/>
      <c r="D67" s="161"/>
      <c r="E67" s="161"/>
      <c r="F67" s="161"/>
      <c r="G67" s="161"/>
      <c r="H67" s="161"/>
      <c r="I67" s="161"/>
      <c r="J67" s="161"/>
    </row>
    <row r="69" spans="2:10" x14ac:dyDescent="0.2">
      <c r="B69" s="230" t="str">
        <f>'Plant model'!C1295</f>
        <v>Assets</v>
      </c>
      <c r="C69" s="228"/>
      <c r="D69" s="228"/>
      <c r="E69" s="228"/>
      <c r="F69" s="228"/>
      <c r="G69" s="228"/>
      <c r="H69" s="228"/>
      <c r="I69" s="228"/>
      <c r="J69" s="228"/>
    </row>
    <row r="70" spans="2:10" x14ac:dyDescent="0.2">
      <c r="B70" s="228" t="str">
        <f>'Plant model'!C1296</f>
        <v>Cash</v>
      </c>
      <c r="C70" s="228"/>
      <c r="D70" s="229">
        <f>'3 statements (USD)'!D70/'Plant model'!$E$14</f>
        <v>-9.2278277371441582E-15</v>
      </c>
      <c r="E70" s="229">
        <f>'3 statements (USD)'!E70/'Plant model'!$E$14</f>
        <v>-9.2278277371441582E-15</v>
      </c>
      <c r="F70" s="229">
        <f>'3 statements (USD)'!F70/'Plant model'!$E$14</f>
        <v>25.61252730755136</v>
      </c>
      <c r="G70" s="229">
        <f>'3 statements (USD)'!G70/'Plant model'!$E$14</f>
        <v>93.174358335089025</v>
      </c>
      <c r="H70" s="229" t="e">
        <f ca="1">'3 statements (USD)'!H70/'Plant model'!$E$14</f>
        <v>#NAME?</v>
      </c>
      <c r="I70" s="229" t="e">
        <f ca="1">'3 statements (USD)'!I70/'Plant model'!$E$14</f>
        <v>#NAME?</v>
      </c>
      <c r="J70" s="229" t="e">
        <f ca="1">'3 statements (USD)'!J70/'Plant model'!$E$14</f>
        <v>#NAME?</v>
      </c>
    </row>
    <row r="71" spans="2:10" x14ac:dyDescent="0.2">
      <c r="B71" s="228" t="str">
        <f>'Plant model'!C1297</f>
        <v>Receivables</v>
      </c>
      <c r="C71" s="228"/>
      <c r="D71" s="229">
        <f>'3 statements (USD)'!D71/'Plant model'!$E$14</f>
        <v>0</v>
      </c>
      <c r="E71" s="229">
        <f>'3 statements (USD)'!E71/'Plant model'!$E$14</f>
        <v>0</v>
      </c>
      <c r="F71" s="229">
        <f>'3 statements (USD)'!F71/'Plant model'!$E$14</f>
        <v>23.469725422522682</v>
      </c>
      <c r="G71" s="229">
        <f>'3 statements (USD)'!G71/'Plant model'!$E$14</f>
        <v>0</v>
      </c>
      <c r="H71" s="229">
        <f>'3 statements (USD)'!H71/'Plant model'!$E$14</f>
        <v>31.292967230030239</v>
      </c>
      <c r="I71" s="229">
        <f>'3 statements (USD)'!I71/'Plant model'!$E$14</f>
        <v>31.292967230030239</v>
      </c>
      <c r="J71" s="229">
        <f>'3 statements (USD)'!J71/'Plant model'!$E$14</f>
        <v>31.292967230030239</v>
      </c>
    </row>
    <row r="72" spans="2:10" x14ac:dyDescent="0.2">
      <c r="B72" s="228" t="str">
        <f>'Plant model'!C1298</f>
        <v>PPE</v>
      </c>
      <c r="C72" s="228"/>
      <c r="D72" s="229">
        <f>'3 statements (USD)'!D72/'Plant model'!$E$14</f>
        <v>73.451352164258367</v>
      </c>
      <c r="E72" s="229">
        <f>'3 statements (USD)'!E72/'Plant model'!$E$14</f>
        <v>421.12173368341922</v>
      </c>
      <c r="F72" s="229">
        <f>'3 statements (USD)'!F72/'Plant model'!$E$14</f>
        <v>617.63107975946673</v>
      </c>
      <c r="G72" s="229">
        <f>'3 statements (USD)'!G72/'Plant model'!$E$14</f>
        <v>586.74952577149338</v>
      </c>
      <c r="H72" s="229">
        <f>'3 statements (USD)'!H72/'Plant model'!$E$14</f>
        <v>555.86797178352003</v>
      </c>
      <c r="I72" s="229">
        <f>'3 statements (USD)'!I72/'Plant model'!$E$14</f>
        <v>524.98641779554669</v>
      </c>
      <c r="J72" s="229">
        <f>'3 statements (USD)'!J72/'Plant model'!$E$14</f>
        <v>494.10486380757334</v>
      </c>
    </row>
    <row r="73" spans="2:10" x14ac:dyDescent="0.2">
      <c r="B73" s="228" t="str">
        <f>'Plant model'!C1299</f>
        <v>Inventory</v>
      </c>
      <c r="C73" s="228"/>
      <c r="D73" s="229">
        <f>'3 statements (USD)'!D73/'Plant model'!$E$14</f>
        <v>0</v>
      </c>
      <c r="E73" s="229">
        <f>'3 statements (USD)'!E73/'Plant model'!$E$14</f>
        <v>0</v>
      </c>
      <c r="F73" s="229">
        <f>'3 statements (USD)'!F73/'Plant model'!$E$14</f>
        <v>18.993336996195428</v>
      </c>
      <c r="G73" s="229">
        <f>'3 statements (USD)'!G73/'Plant model'!$E$14</f>
        <v>0</v>
      </c>
      <c r="H73" s="229">
        <f>'3 statements (USD)'!H73/'Plant model'!$E$14</f>
        <v>25.174915688192925</v>
      </c>
      <c r="I73" s="229">
        <f>'3 statements (USD)'!I73/'Plant model'!$E$14</f>
        <v>25.174915688192925</v>
      </c>
      <c r="J73" s="229">
        <f>'3 statements (USD)'!J73/'Plant model'!$E$14</f>
        <v>25.174915688192925</v>
      </c>
    </row>
    <row r="74" spans="2:10" x14ac:dyDescent="0.2">
      <c r="B74" s="228" t="str">
        <f>'Plant model'!C1300</f>
        <v>Deferred tax asset</v>
      </c>
      <c r="C74" s="228"/>
      <c r="D74" s="229">
        <f>'3 statements (USD)'!D74/'Plant model'!$E$14</f>
        <v>0</v>
      </c>
      <c r="E74" s="229">
        <f>'3 statements (USD)'!E74/'Plant model'!$E$14</f>
        <v>0</v>
      </c>
      <c r="F74" s="229">
        <f>'3 statements (USD)'!F74/'Plant model'!$E$14</f>
        <v>0</v>
      </c>
      <c r="G74" s="229">
        <f>'3 statements (USD)'!G74/'Plant model'!$E$14</f>
        <v>0</v>
      </c>
      <c r="H74" s="229">
        <f>'3 statements (USD)'!H74/'Plant model'!$E$14</f>
        <v>0</v>
      </c>
      <c r="I74" s="229">
        <f>'3 statements (USD)'!I74/'Plant model'!$E$14</f>
        <v>0</v>
      </c>
      <c r="J74" s="229">
        <f>'3 statements (USD)'!J74/'Plant model'!$E$14</f>
        <v>0</v>
      </c>
    </row>
    <row r="75" spans="2:10" x14ac:dyDescent="0.2">
      <c r="B75" s="228" t="str">
        <f>'Plant model'!C1301</f>
        <v>Capitalized financing costs</v>
      </c>
      <c r="C75" s="228"/>
      <c r="D75" s="229">
        <f>'3 statements (USD)'!D75/'Plant model'!$E$14</f>
        <v>13.31626049780396</v>
      </c>
      <c r="E75" s="229">
        <f>'3 statements (USD)'!E75/'Plant model'!$E$14</f>
        <v>16.045424756550474</v>
      </c>
      <c r="F75" s="229">
        <f>'3 statements (USD)'!F75/'Plant model'!$E$14</f>
        <v>14.486746045138766</v>
      </c>
      <c r="G75" s="229">
        <f>'3 statements (USD)'!G75/'Plant model'!$E$14</f>
        <v>12.417210895833227</v>
      </c>
      <c r="H75" s="229">
        <f>'3 statements (USD)'!H75/'Plant model'!$E$14</f>
        <v>10.347675746527688</v>
      </c>
      <c r="I75" s="229">
        <f>'3 statements (USD)'!I75/'Plant model'!$E$14</f>
        <v>8.2781405972221496</v>
      </c>
      <c r="J75" s="229">
        <f>'3 statements (USD)'!J75/'Plant model'!$E$14</f>
        <v>6.2086054479166117</v>
      </c>
    </row>
    <row r="76" spans="2:10" x14ac:dyDescent="0.2">
      <c r="B76" s="230" t="str">
        <f>'Plant model'!C1302</f>
        <v>Total assets</v>
      </c>
      <c r="C76" s="228"/>
      <c r="D76" s="231">
        <f>'3 statements (USD)'!D76/'Plant model'!$E$14</f>
        <v>86.767612662062305</v>
      </c>
      <c r="E76" s="231">
        <f>'3 statements (USD)'!E76/'Plant model'!$E$14</f>
        <v>437.16715843996974</v>
      </c>
      <c r="F76" s="231">
        <f>'3 statements (USD)'!F76/'Plant model'!$E$14</f>
        <v>700.19341553087474</v>
      </c>
      <c r="G76" s="231">
        <f>'3 statements (USD)'!G76/'Plant model'!$E$14</f>
        <v>692.3410950024155</v>
      </c>
      <c r="H76" s="231">
        <f ca="1">'3 statements (USD)'!H76/'Plant model'!$E$14</f>
        <v>0</v>
      </c>
      <c r="I76" s="231" t="e">
        <f ca="1">'3 statements (USD)'!I76/'Plant model'!$E$14</f>
        <v>#NAME?</v>
      </c>
      <c r="J76" s="231" t="e">
        <f ca="1">'3 statements (USD)'!J76/'Plant model'!$E$14</f>
        <v>#NAME?</v>
      </c>
    </row>
    <row r="77" spans="2:10" x14ac:dyDescent="0.2">
      <c r="B77" s="228"/>
      <c r="C77" s="228"/>
      <c r="D77" s="228"/>
      <c r="E77" s="228"/>
      <c r="F77" s="228"/>
      <c r="G77" s="228"/>
      <c r="H77" s="228"/>
      <c r="I77" s="228"/>
      <c r="J77" s="228"/>
    </row>
    <row r="78" spans="2:10" x14ac:dyDescent="0.2">
      <c r="B78" s="230" t="str">
        <f>'Plant model'!C1304</f>
        <v>Liabilities</v>
      </c>
      <c r="C78" s="228"/>
      <c r="D78" s="228"/>
      <c r="E78" s="228"/>
      <c r="F78" s="228"/>
      <c r="G78" s="228"/>
      <c r="H78" s="228"/>
      <c r="I78" s="228"/>
      <c r="J78" s="228"/>
    </row>
    <row r="79" spans="2:10" x14ac:dyDescent="0.2">
      <c r="B79" s="228" t="str">
        <f>'Plant model'!C1305</f>
        <v>Payables</v>
      </c>
      <c r="C79" s="228"/>
      <c r="D79" s="229">
        <f>'3 statements (USD)'!D79/'Plant model'!$E$14</f>
        <v>0</v>
      </c>
      <c r="E79" s="229">
        <f>'3 statements (USD)'!E79/'Plant model'!$E$14</f>
        <v>0</v>
      </c>
      <c r="F79" s="229">
        <f>'3 statements (USD)'!F79/'Plant model'!$E$14</f>
        <v>24.072521987944519</v>
      </c>
      <c r="G79" s="229">
        <f>'3 statements (USD)'!G79/'Plant model'!$E$14</f>
        <v>0</v>
      </c>
      <c r="H79" s="229">
        <f>'3 statements (USD)'!H79/'Plant model'!$E$14</f>
        <v>31.797628703790735</v>
      </c>
      <c r="I79" s="229">
        <f>'3 statements (USD)'!I79/'Plant model'!$E$14</f>
        <v>31.797628703790735</v>
      </c>
      <c r="J79" s="229">
        <f>'3 statements (USD)'!J79/'Plant model'!$E$14</f>
        <v>31.797628703790746</v>
      </c>
    </row>
    <row r="80" spans="2:10" x14ac:dyDescent="0.2">
      <c r="B80" s="228" t="str">
        <f>'Plant model'!C1306</f>
        <v>Senior debt</v>
      </c>
      <c r="C80" s="228"/>
      <c r="D80" s="229">
        <f>'3 statements (USD)'!D80/'Plant model'!$E$14</f>
        <v>42.857142857142854</v>
      </c>
      <c r="E80" s="229">
        <f>'3 statements (USD)'!E80/'Plant model'!$E$14</f>
        <v>289.28571428571428</v>
      </c>
      <c r="F80" s="229">
        <f>'3 statements (USD)'!F80/'Plant model'!$E$14</f>
        <v>406.01503759398497</v>
      </c>
      <c r="G80" s="229">
        <f>'3 statements (USD)'!G80/'Plant model'!$E$14</f>
        <v>383.45864661654139</v>
      </c>
      <c r="H80" s="229">
        <f>'3 statements (USD)'!H80/'Plant model'!$E$14</f>
        <v>338.34586466165416</v>
      </c>
      <c r="I80" s="229">
        <f>'3 statements (USD)'!I80/'Plant model'!$E$14</f>
        <v>293.23308270676694</v>
      </c>
      <c r="J80" s="229">
        <f>'3 statements (USD)'!J80/'Plant model'!$E$14</f>
        <v>248.12030075187974</v>
      </c>
    </row>
    <row r="81" spans="2:10" x14ac:dyDescent="0.2">
      <c r="B81" s="228" t="str">
        <f>'Plant model'!C1307</f>
        <v>Working capital financing</v>
      </c>
      <c r="C81" s="228"/>
      <c r="D81" s="229">
        <f>'3 statements (USD)'!D81/'Plant model'!$E$14</f>
        <v>0</v>
      </c>
      <c r="E81" s="229">
        <f>'3 statements (USD)'!E81/'Plant model'!$E$14</f>
        <v>0</v>
      </c>
      <c r="F81" s="229">
        <f>'3 statements (USD)'!F81/'Plant model'!$E$14</f>
        <v>22.820101068559389</v>
      </c>
      <c r="G81" s="229">
        <f>'3 statements (USD)'!G81/'Plant model'!$E$14</f>
        <v>30.426801424745843</v>
      </c>
      <c r="H81" s="229">
        <f>'3 statements (USD)'!H81/'Plant model'!$E$14</f>
        <v>60.853602849491686</v>
      </c>
      <c r="I81" s="229">
        <f>'3 statements (USD)'!I81/'Plant model'!$E$14</f>
        <v>60.853602849491686</v>
      </c>
      <c r="J81" s="229">
        <f>'3 statements (USD)'!J81/'Plant model'!$E$14</f>
        <v>60.853602849491686</v>
      </c>
    </row>
    <row r="82" spans="2:10" x14ac:dyDescent="0.2">
      <c r="B82" s="228" t="str">
        <f>'Plant model'!C1308</f>
        <v>Cost overrun debt</v>
      </c>
      <c r="C82" s="228"/>
      <c r="D82" s="229">
        <f>'3 statements (USD)'!D82/'Plant model'!$E$14</f>
        <v>0</v>
      </c>
      <c r="E82" s="229">
        <f>'3 statements (USD)'!E82/'Plant model'!$E$14</f>
        <v>0</v>
      </c>
      <c r="F82" s="229">
        <f>'3 statements (USD)'!F82/'Plant model'!$E$14</f>
        <v>0</v>
      </c>
      <c r="G82" s="229">
        <f>'3 statements (USD)'!G82/'Plant model'!$E$14</f>
        <v>0</v>
      </c>
      <c r="H82" s="229">
        <f>'3 statements (USD)'!H82/'Plant model'!$E$14</f>
        <v>0</v>
      </c>
      <c r="I82" s="229">
        <f>'3 statements (USD)'!I82/'Plant model'!$E$14</f>
        <v>0</v>
      </c>
      <c r="J82" s="229">
        <f>'3 statements (USD)'!J82/'Plant model'!$E$14</f>
        <v>0</v>
      </c>
    </row>
    <row r="83" spans="2:10" x14ac:dyDescent="0.2">
      <c r="B83" s="228" t="str">
        <f>'Plant model'!C1309</f>
        <v>Pre-Construction 80/20 Loan Facility</v>
      </c>
      <c r="C83" s="228"/>
      <c r="D83" s="229">
        <f>'3 statements (USD)'!D83/'Plant model'!$E$14</f>
        <v>12.986937987012986</v>
      </c>
      <c r="E83" s="229">
        <f>'3 statements (USD)'!E83/'Plant model'!$E$14</f>
        <v>12.986937987012986</v>
      </c>
      <c r="F83" s="229">
        <f>'3 statements (USD)'!F83/'Plant model'!$E$14</f>
        <v>12.986937987012986</v>
      </c>
      <c r="G83" s="229">
        <f>'3 statements (USD)'!G83/'Plant model'!$E$14</f>
        <v>12.986937987012986</v>
      </c>
      <c r="H83" s="229">
        <f>'3 statements (USD)'!H83/'Plant model'!$E$14</f>
        <v>12.986937987012986</v>
      </c>
      <c r="I83" s="229">
        <f>'3 statements (USD)'!I83/'Plant model'!$E$14</f>
        <v>12.986937987012986</v>
      </c>
      <c r="J83" s="229">
        <f>'3 statements (USD)'!J83/'Plant model'!$E$14</f>
        <v>12.986937987012986</v>
      </c>
    </row>
    <row r="84" spans="2:10" x14ac:dyDescent="0.2">
      <c r="B84" s="228" t="str">
        <f>'Plant model'!C1310</f>
        <v>Deferred tax liability</v>
      </c>
      <c r="C84" s="228"/>
      <c r="D84" s="229">
        <f>'3 statements (USD)'!D84/'Plant model'!$E$14</f>
        <v>0</v>
      </c>
      <c r="E84" s="229">
        <f>'3 statements (USD)'!E84/'Plant model'!$E$14</f>
        <v>0</v>
      </c>
      <c r="F84" s="229">
        <f>'3 statements (USD)'!F84/'Plant model'!$E$14</f>
        <v>12.463491889696284</v>
      </c>
      <c r="G84" s="229">
        <f>'3 statements (USD)'!G84/'Plant model'!$E$14</f>
        <v>30.695341488630405</v>
      </c>
      <c r="H84" s="229">
        <f>'3 statements (USD)'!H84/'Plant model'!$E$14</f>
        <v>66.474193267480871</v>
      </c>
      <c r="I84" s="229">
        <f>'3 statements (USD)'!I84/'Plant model'!$E$14</f>
        <v>101.94737739921834</v>
      </c>
      <c r="J84" s="229">
        <f>'3 statements (USD)'!J84/'Plant model'!$E$14</f>
        <v>137.42056153095581</v>
      </c>
    </row>
    <row r="85" spans="2:10" x14ac:dyDescent="0.2">
      <c r="B85" s="230" t="str">
        <f>'Plant model'!C1311</f>
        <v>Total liabilities</v>
      </c>
      <c r="C85" s="228"/>
      <c r="D85" s="231">
        <f>'3 statements (USD)'!D85/'Plant model'!$E$14</f>
        <v>55.844080844155847</v>
      </c>
      <c r="E85" s="231">
        <f>'3 statements (USD)'!E85/'Plant model'!$E$14</f>
        <v>302.27265227272727</v>
      </c>
      <c r="F85" s="231">
        <f>'3 statements (USD)'!F85/'Plant model'!$E$14</f>
        <v>478.3580905271981</v>
      </c>
      <c r="G85" s="231">
        <f>'3 statements (USD)'!G85/'Plant model'!$E$14</f>
        <v>457.56772751693069</v>
      </c>
      <c r="H85" s="231">
        <f>'3 statements (USD)'!H85/'Plant model'!$E$14</f>
        <v>510.45822746943037</v>
      </c>
      <c r="I85" s="231">
        <f>'3 statements (USD)'!I85/'Plant model'!$E$14</f>
        <v>500.81862964628067</v>
      </c>
      <c r="J85" s="231">
        <f>'3 statements (USD)'!J85/'Plant model'!$E$14</f>
        <v>491.17903182313097</v>
      </c>
    </row>
    <row r="86" spans="2:10" x14ac:dyDescent="0.2">
      <c r="B86" s="228"/>
      <c r="C86" s="228"/>
      <c r="D86" s="228"/>
      <c r="E86" s="228"/>
      <c r="F86" s="228"/>
      <c r="G86" s="228"/>
      <c r="H86" s="228"/>
      <c r="I86" s="228"/>
      <c r="J86" s="228"/>
    </row>
    <row r="87" spans="2:10" x14ac:dyDescent="0.2">
      <c r="B87" s="230" t="str">
        <f>'Plant model'!C1313</f>
        <v>Shareholder equity</v>
      </c>
      <c r="C87" s="228"/>
      <c r="D87" s="231">
        <f>'3 statements (USD)'!D87/'Plant model'!$E$14</f>
        <v>30.809895454270116</v>
      </c>
      <c r="E87" s="231">
        <f>'3 statements (USD)'!E87/'Plant model'!$E$14</f>
        <v>134.78086980360609</v>
      </c>
      <c r="F87" s="231">
        <f>'3 statements (USD)'!F87/'Plant model'!$E$14</f>
        <v>221.72168864004041</v>
      </c>
      <c r="G87" s="231">
        <f>'3 statements (USD)'!G87/'Plant model'!$E$14</f>
        <v>276.08330748201462</v>
      </c>
      <c r="H87" s="231" t="e">
        <f ca="1">'3 statements (USD)'!H87/'Plant model'!$E$14</f>
        <v>#NAME?</v>
      </c>
      <c r="I87" s="231" t="e">
        <f ca="1">'3 statements (USD)'!I87/'Plant model'!$E$14</f>
        <v>#NAME?</v>
      </c>
      <c r="J87" s="231" t="e">
        <f ca="1">'3 statements (USD)'!J87/'Plant model'!$E$14</f>
        <v>#NAME?</v>
      </c>
    </row>
    <row r="89" spans="2:10" x14ac:dyDescent="0.2">
      <c r="B89" s="159" t="s">
        <v>165</v>
      </c>
      <c r="D89" s="238">
        <f t="shared" ref="D89:J89" si="3">D76-D85-D87</f>
        <v>0.113636363636342</v>
      </c>
      <c r="E89" s="238">
        <f t="shared" si="3"/>
        <v>0.11363636363637397</v>
      </c>
      <c r="F89" s="238">
        <f t="shared" si="3"/>
        <v>0.11363636363623186</v>
      </c>
      <c r="G89" s="238">
        <f t="shared" si="3"/>
        <v>-41.309939996529806</v>
      </c>
      <c r="H89" s="238" t="e">
        <f t="shared" ca="1" si="3"/>
        <v>#NAME?</v>
      </c>
      <c r="I89" s="238" t="e">
        <f t="shared" ca="1" si="3"/>
        <v>#NAME?</v>
      </c>
      <c r="J89" s="238" t="e">
        <f t="shared" ca="1" si="3"/>
        <v>#NAME?</v>
      </c>
    </row>
  </sheetData>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F59"/>
  <sheetViews>
    <sheetView showGridLines="0" topLeftCell="A7" zoomScale="85" zoomScaleNormal="85" zoomScalePageLayoutView="115" workbookViewId="0"/>
  </sheetViews>
  <sheetFormatPr defaultColWidth="8.7109375" defaultRowHeight="15.75" x14ac:dyDescent="0.25"/>
  <cols>
    <col min="1" max="1" width="8.7109375" style="239"/>
    <col min="2" max="2" width="59" style="239" bestFit="1" customWidth="1"/>
    <col min="3" max="3" width="8.7109375" style="239"/>
    <col min="4" max="5" width="11" style="239" customWidth="1"/>
    <col min="6" max="6" width="11" style="239" bestFit="1" customWidth="1"/>
    <col min="7" max="16384" width="8.7109375" style="239"/>
  </cols>
  <sheetData>
    <row r="2" spans="2:6" x14ac:dyDescent="0.25">
      <c r="C2" s="300" t="s">
        <v>383</v>
      </c>
      <c r="D2" s="300" t="s">
        <v>511</v>
      </c>
      <c r="E2" s="300" t="s">
        <v>512</v>
      </c>
      <c r="F2" s="300" t="s">
        <v>513</v>
      </c>
    </row>
    <row r="3" spans="2:6" x14ac:dyDescent="0.25">
      <c r="B3" s="246" t="s">
        <v>406</v>
      </c>
    </row>
    <row r="4" spans="2:6" x14ac:dyDescent="0.25">
      <c r="B4" s="240" t="str">
        <f>'Plant model'!C272</f>
        <v>Manager of Melting/Casting Production</v>
      </c>
      <c r="C4" s="240">
        <f>'Plant model'!E272</f>
        <v>1</v>
      </c>
      <c r="D4" s="241">
        <f>'Plant model'!E330</f>
        <v>150011.34657503734</v>
      </c>
      <c r="E4" s="241">
        <f>D4*'Plant model'!E380</f>
        <v>75005.673287518672</v>
      </c>
      <c r="F4" s="245">
        <f>D4+E4</f>
        <v>225017.01986255602</v>
      </c>
    </row>
    <row r="5" spans="2:6" x14ac:dyDescent="0.25">
      <c r="B5" s="240" t="str">
        <f>'Plant model'!C273</f>
        <v>Supervisor/team Leader of Melting &amp; Casting</v>
      </c>
      <c r="C5" s="240">
        <f>'Plant model'!E273</f>
        <v>4</v>
      </c>
      <c r="D5" s="241">
        <f>'Plant model'!E331</f>
        <v>79058.352615000011</v>
      </c>
      <c r="E5" s="241">
        <f>D5*'Plant model'!E381</f>
        <v>19764.588153750003</v>
      </c>
      <c r="F5" s="245">
        <f t="shared" ref="F5:F10" si="0">D5+E5</f>
        <v>98822.940768750006</v>
      </c>
    </row>
    <row r="6" spans="2:6" x14ac:dyDescent="0.25">
      <c r="B6" s="240" t="str">
        <f>'Plant model'!C274</f>
        <v>Senior Operator - EAF</v>
      </c>
      <c r="C6" s="240">
        <f>'Plant model'!E274</f>
        <v>4</v>
      </c>
      <c r="D6" s="241">
        <f>'Plant model'!E332</f>
        <v>59204.571795714939</v>
      </c>
      <c r="E6" s="241">
        <f>D6*'Plant model'!E382</f>
        <v>14801.142948928735</v>
      </c>
      <c r="F6" s="245">
        <f t="shared" si="0"/>
        <v>74005.714744643672</v>
      </c>
    </row>
    <row r="7" spans="2:6" x14ac:dyDescent="0.25">
      <c r="B7" s="240" t="str">
        <f>'Plant model'!C276</f>
        <v>Operator - Ladle Crane</v>
      </c>
      <c r="C7" s="240">
        <f>'Plant model'!E276</f>
        <v>4</v>
      </c>
      <c r="D7" s="241">
        <f>'Plant model'!E333</f>
        <v>53529.148372007294</v>
      </c>
      <c r="E7" s="241">
        <f>D7*'Plant model'!E383</f>
        <v>13382.287093001823</v>
      </c>
      <c r="F7" s="245">
        <f t="shared" si="0"/>
        <v>66911.435465009112</v>
      </c>
    </row>
    <row r="8" spans="2:6" x14ac:dyDescent="0.25">
      <c r="B8" s="240" t="str">
        <f>'Plant model'!C277</f>
        <v>Operator</v>
      </c>
      <c r="C8" s="240">
        <f>'Plant model'!E277</f>
        <v>8</v>
      </c>
      <c r="D8" s="241">
        <f>'Plant model'!E334</f>
        <v>48844.152263100856</v>
      </c>
      <c r="E8" s="241">
        <f>D8*'Plant model'!E384</f>
        <v>12211.038065775214</v>
      </c>
      <c r="F8" s="245">
        <f t="shared" si="0"/>
        <v>61055.190328876066</v>
      </c>
    </row>
    <row r="9" spans="2:6" x14ac:dyDescent="0.25">
      <c r="B9" s="240" t="str">
        <f>'Plant model'!C278</f>
        <v>Team Leader - Refractory</v>
      </c>
      <c r="C9" s="240">
        <f>'Plant model'!E278</f>
        <v>1</v>
      </c>
      <c r="D9" s="241">
        <f>'Plant model'!E335</f>
        <v>50655.85146509661</v>
      </c>
      <c r="E9" s="241">
        <f>D9*'Plant model'!E385</f>
        <v>12663.962866274152</v>
      </c>
      <c r="F9" s="245">
        <f t="shared" si="0"/>
        <v>63319.814331370762</v>
      </c>
    </row>
    <row r="10" spans="2:6" x14ac:dyDescent="0.25">
      <c r="B10" s="240" t="str">
        <f>'Plant model'!C279</f>
        <v>Operator - Refractory</v>
      </c>
      <c r="C10" s="240">
        <f>'Plant model'!E279</f>
        <v>8</v>
      </c>
      <c r="D10" s="241">
        <f>'Plant model'!E336</f>
        <v>43912.859473807388</v>
      </c>
      <c r="E10" s="241">
        <f>D10*'Plant model'!E386</f>
        <v>10978.214868451847</v>
      </c>
      <c r="F10" s="245">
        <f t="shared" si="0"/>
        <v>54891.074342259235</v>
      </c>
    </row>
    <row r="11" spans="2:6" x14ac:dyDescent="0.25">
      <c r="B11" s="249" t="str">
        <f>'Plant model'!C280</f>
        <v>Total</v>
      </c>
      <c r="C11" s="250">
        <f>SUM(C4:C10)</f>
        <v>30</v>
      </c>
      <c r="D11" s="251">
        <f>SUMPRODUCT($C4:$C10,D4:D10)/SUM($C4:$C10)</f>
        <v>56996.386102209632</v>
      </c>
      <c r="E11" s="251">
        <f>SUMPRODUCT($C4:$C10,E4:E10)/SUM($C4:$C10)</f>
        <v>15499.191080344386</v>
      </c>
      <c r="F11" s="251">
        <f>SUMPRODUCT($C4:$C10,F4:F10)/SUM($C4:$C10)</f>
        <v>72495.577182554014</v>
      </c>
    </row>
    <row r="12" spans="2:6" x14ac:dyDescent="0.25">
      <c r="B12" s="247"/>
      <c r="C12" s="242"/>
    </row>
    <row r="13" spans="2:6" x14ac:dyDescent="0.25">
      <c r="B13" s="296" t="str">
        <f>'Plant model'!C282</f>
        <v>Casting</v>
      </c>
      <c r="C13" s="242"/>
    </row>
    <row r="14" spans="2:6" x14ac:dyDescent="0.25">
      <c r="B14" s="297" t="str">
        <f>'Plant model'!C283</f>
        <v xml:space="preserve">Senior Casting Operator </v>
      </c>
      <c r="C14" s="240">
        <f>'Plant model'!E283</f>
        <v>4</v>
      </c>
      <c r="D14" s="241">
        <f>'Plant model'!E340</f>
        <v>59506.690127676644</v>
      </c>
      <c r="E14" s="241">
        <f>D14*'Plant model'!E389</f>
        <v>14876.672531919161</v>
      </c>
      <c r="F14" s="245">
        <f>D14+E14</f>
        <v>74383.362659595805</v>
      </c>
    </row>
    <row r="15" spans="2:6" x14ac:dyDescent="0.25">
      <c r="B15" s="297" t="str">
        <f>'Plant model'!C284</f>
        <v>Operator</v>
      </c>
      <c r="C15" s="240">
        <f>'Plant model'!E284</f>
        <v>8</v>
      </c>
      <c r="D15" s="241">
        <f>'Plant model'!E341</f>
        <v>52534.74917185567</v>
      </c>
      <c r="E15" s="241">
        <f>D15*'Plant model'!E390</f>
        <v>13133.687292963918</v>
      </c>
      <c r="F15" s="245">
        <f>D15+E15</f>
        <v>65668.436464819591</v>
      </c>
    </row>
    <row r="16" spans="2:6" x14ac:dyDescent="0.25">
      <c r="B16" s="297" t="str">
        <f>'Plant model'!C285</f>
        <v>Operator - Casting bay</v>
      </c>
      <c r="C16" s="240">
        <f>'Plant model'!E285</f>
        <v>4</v>
      </c>
      <c r="D16" s="241">
        <f>'Plant model'!E342</f>
        <v>42342.322405234663</v>
      </c>
      <c r="E16" s="241">
        <f>D16*'Plant model'!E391</f>
        <v>10585.580601308666</v>
      </c>
      <c r="F16" s="245">
        <f>D16+E16</f>
        <v>52927.903006543333</v>
      </c>
    </row>
    <row r="17" spans="2:6" x14ac:dyDescent="0.25">
      <c r="B17" s="297" t="str">
        <f>'Plant model'!C286</f>
        <v>Total</v>
      </c>
      <c r="C17" s="250">
        <f>SUM(C14:C16)</f>
        <v>16</v>
      </c>
      <c r="D17" s="251">
        <f>SUMPRODUCT(C14:C16,D14:D16)/SUM(C14:C16)</f>
        <v>51729.627719155658</v>
      </c>
      <c r="E17" s="251">
        <f>SUMPRODUCT($C14:$C16,E14:E16)/SUM($C14:$C16)</f>
        <v>12932.406929788915</v>
      </c>
      <c r="F17" s="251">
        <f>SUMPRODUCT($C14:$C16,F14:F16)/SUM($C14:$C16)</f>
        <v>64662.03464894458</v>
      </c>
    </row>
    <row r="18" spans="2:6" x14ac:dyDescent="0.25">
      <c r="B18" s="247"/>
      <c r="C18" s="240"/>
      <c r="D18" s="241"/>
    </row>
    <row r="19" spans="2:6" x14ac:dyDescent="0.25">
      <c r="B19" s="298" t="str">
        <f>'Plant model'!C288</f>
        <v>HYL</v>
      </c>
      <c r="C19" s="240"/>
      <c r="D19" s="241"/>
    </row>
    <row r="20" spans="2:6" x14ac:dyDescent="0.25">
      <c r="B20" s="297" t="str">
        <f>'Plant model'!C289</f>
        <v>Manager of HYL Production</v>
      </c>
      <c r="C20" s="240">
        <f>'Plant model'!E289</f>
        <v>1</v>
      </c>
      <c r="D20" s="241">
        <f>'Plant model'!E345</f>
        <v>132985.07630391439</v>
      </c>
      <c r="E20" s="241">
        <f>D20*'Plant model'!E394</f>
        <v>66492.538151957197</v>
      </c>
      <c r="F20" s="245">
        <f>D20+E20</f>
        <v>199477.61445587158</v>
      </c>
    </row>
    <row r="21" spans="2:6" x14ac:dyDescent="0.25">
      <c r="B21" s="297" t="str">
        <f>'Plant model'!C290</f>
        <v>Supervisor/Team Leader of HYL</v>
      </c>
      <c r="C21" s="240">
        <f>'Plant model'!E290</f>
        <v>4</v>
      </c>
      <c r="D21" s="241">
        <f>'Plant model'!E346</f>
        <v>70555.418643130251</v>
      </c>
      <c r="E21" s="241">
        <f>D21*'Plant model'!E395</f>
        <v>17638.854660782563</v>
      </c>
      <c r="F21" s="245">
        <f>D21+E21</f>
        <v>88194.273303912807</v>
      </c>
    </row>
    <row r="22" spans="2:6" x14ac:dyDescent="0.25">
      <c r="B22" s="297" t="str">
        <f>'Plant model'!C291</f>
        <v>Senior Operator - Mechanical</v>
      </c>
      <c r="C22" s="240">
        <f>'Plant model'!E291</f>
        <v>4</v>
      </c>
      <c r="D22" s="241">
        <f>'Plant model'!E347</f>
        <v>59204.571795714939</v>
      </c>
      <c r="E22" s="241">
        <f>D22*'Plant model'!E396</f>
        <v>14801.142948928735</v>
      </c>
      <c r="F22" s="245">
        <f>D22+E22</f>
        <v>74005.714744643672</v>
      </c>
    </row>
    <row r="23" spans="2:6" x14ac:dyDescent="0.25">
      <c r="B23" s="297" t="str">
        <f>'Plant model'!C292</f>
        <v>Operator</v>
      </c>
      <c r="C23" s="240">
        <f>'Plant model'!E292</f>
        <v>8</v>
      </c>
      <c r="D23" s="241">
        <f>'Plant model'!E348</f>
        <v>42342.322405234663</v>
      </c>
      <c r="E23" s="241">
        <f>D23*'Plant model'!E397</f>
        <v>10585.580601308666</v>
      </c>
      <c r="F23" s="245">
        <f>D23+E23</f>
        <v>52927.903006543333</v>
      </c>
    </row>
    <row r="24" spans="2:6" x14ac:dyDescent="0.25">
      <c r="B24" s="297" t="str">
        <f>'Plant model'!C293</f>
        <v>Total</v>
      </c>
      <c r="C24" s="250">
        <f>SUM(C20:C23)</f>
        <v>17</v>
      </c>
      <c r="D24" s="251">
        <f>SUMPRODUCT($C20:$C23,D20:D23)/SUM($C20:$C23)</f>
        <v>58280.212782421906</v>
      </c>
      <c r="E24" s="251">
        <f>SUMPRODUCT($C20:$C23,E20:E23)/SUM($C20:$C23)</f>
        <v>16525.716082427745</v>
      </c>
      <c r="F24" s="251">
        <f>SUMPRODUCT($C20:$C23,F20:F23)/SUM($C20:$C23)</f>
        <v>74805.928864849644</v>
      </c>
    </row>
    <row r="25" spans="2:6" x14ac:dyDescent="0.25">
      <c r="B25" s="248"/>
      <c r="C25" s="243"/>
      <c r="D25" s="244"/>
    </row>
    <row r="26" spans="2:6" x14ac:dyDescent="0.25">
      <c r="B26" s="298" t="str">
        <f>'Plant model'!C295</f>
        <v>Cold Processing</v>
      </c>
    </row>
    <row r="27" spans="2:6" x14ac:dyDescent="0.25">
      <c r="B27" s="297" t="str">
        <f>'Plant model'!C296</f>
        <v>Manager of Cold Processing Production</v>
      </c>
      <c r="C27" s="240">
        <f>'Plant model'!E296</f>
        <v>1</v>
      </c>
      <c r="D27" s="241">
        <f>'Plant model'!E351</f>
        <v>132985.07630391439</v>
      </c>
      <c r="E27" s="241">
        <f>D27*'Plant model'!E400</f>
        <v>66492.538151957197</v>
      </c>
      <c r="F27" s="245">
        <f>D27+E27</f>
        <v>199477.61445587158</v>
      </c>
    </row>
    <row r="28" spans="2:6" x14ac:dyDescent="0.25">
      <c r="B28" s="297" t="str">
        <f>'Plant model'!C297</f>
        <v xml:space="preserve">Senior Operator </v>
      </c>
      <c r="C28" s="240">
        <f>'Plant model'!E297</f>
        <v>4</v>
      </c>
      <c r="D28" s="241">
        <f>'Plant model'!E352</f>
        <v>53529.148372007294</v>
      </c>
      <c r="E28" s="241">
        <f>D28*'Plant model'!E401</f>
        <v>13382.287093001823</v>
      </c>
      <c r="F28" s="245">
        <f>D28+E28</f>
        <v>66911.435465009112</v>
      </c>
    </row>
    <row r="29" spans="2:6" x14ac:dyDescent="0.25">
      <c r="B29" s="297" t="str">
        <f>'Plant model'!C298</f>
        <v>Operator</v>
      </c>
      <c r="C29" s="240">
        <f>'Plant model'!E298</f>
        <v>0</v>
      </c>
      <c r="D29" s="241">
        <f>'Plant model'!E353</f>
        <v>44233.552631578947</v>
      </c>
      <c r="E29" s="241">
        <f>D29*'Plant model'!E402</f>
        <v>11058.388157894737</v>
      </c>
      <c r="F29" s="245">
        <f>D29+E29</f>
        <v>55291.94078947368</v>
      </c>
    </row>
    <row r="30" spans="2:6" x14ac:dyDescent="0.25">
      <c r="B30" s="299" t="str">
        <f>'Plant model'!C299</f>
        <v>Total</v>
      </c>
      <c r="C30" s="250">
        <f>SUM(C27:C29)</f>
        <v>5</v>
      </c>
      <c r="D30" s="251">
        <f>SUMPRODUCT($C27:$C29,D27:D29)/SUM($C27:$C29)</f>
        <v>69420.333958388714</v>
      </c>
      <c r="E30" s="251">
        <f>SUMPRODUCT($C27:$C29,E27:E29)/SUM($C27:$C29)</f>
        <v>24004.337304792898</v>
      </c>
      <c r="F30" s="251">
        <f>SUMPRODUCT($C27:$C29,F27:F29)/SUM($C27:$C29)</f>
        <v>93424.671263181604</v>
      </c>
    </row>
    <row r="31" spans="2:6" x14ac:dyDescent="0.25">
      <c r="B31" s="297"/>
      <c r="C31" s="240"/>
      <c r="D31" s="241"/>
    </row>
    <row r="32" spans="2:6" x14ac:dyDescent="0.25">
      <c r="B32" s="298" t="str">
        <f>'Plant model'!C301</f>
        <v>Shared Personnel</v>
      </c>
      <c r="C32" s="240"/>
      <c r="D32" s="241"/>
    </row>
    <row r="33" spans="2:6" x14ac:dyDescent="0.25">
      <c r="B33" s="297" t="str">
        <f>'Plant model'!C302</f>
        <v>Maintenance Manager</v>
      </c>
      <c r="C33" s="240">
        <f>'Plant model'!E302</f>
        <v>1</v>
      </c>
      <c r="D33" s="241">
        <f>'Plant model'!E356</f>
        <v>115958.80603279143</v>
      </c>
      <c r="E33" s="241">
        <f>D33*'Plant model'!E405</f>
        <v>46383.522413116574</v>
      </c>
      <c r="F33" s="245">
        <f>D33+E33</f>
        <v>162342.328445908</v>
      </c>
    </row>
    <row r="34" spans="2:6" x14ac:dyDescent="0.25">
      <c r="B34" s="297" t="str">
        <f>'Plant model'!C303</f>
        <v>Mechanical Engineer</v>
      </c>
      <c r="C34" s="240">
        <f>'Plant model'!E303</f>
        <v>1</v>
      </c>
      <c r="D34" s="241">
        <f>'Plant model'!E357</f>
        <v>95648.48119959161</v>
      </c>
      <c r="E34" s="241">
        <f>D34*'Plant model'!E406</f>
        <v>23912.120299897902</v>
      </c>
      <c r="F34" s="245">
        <f t="shared" ref="F34:F39" si="1">D34+E34</f>
        <v>119560.60149948951</v>
      </c>
    </row>
    <row r="35" spans="2:6" x14ac:dyDescent="0.25">
      <c r="B35" s="297" t="str">
        <f>'Plant model'!C304</f>
        <v>Electrical Engineer</v>
      </c>
      <c r="C35" s="240">
        <f>'Plant model'!E304</f>
        <v>1</v>
      </c>
      <c r="D35" s="241">
        <f>'Plant model'!E358</f>
        <v>95648.48119959161</v>
      </c>
      <c r="E35" s="241">
        <f>D35*'Plant model'!E407</f>
        <v>23912.120299897902</v>
      </c>
      <c r="F35" s="245">
        <f t="shared" si="1"/>
        <v>119560.60149948951</v>
      </c>
    </row>
    <row r="36" spans="2:6" x14ac:dyDescent="0.25">
      <c r="B36" s="297" t="str">
        <f>'Plant model'!C305</f>
        <v>Information Systems Technician</v>
      </c>
      <c r="C36" s="240">
        <f>'Plant model'!E305</f>
        <v>2</v>
      </c>
      <c r="D36" s="241">
        <f>'Plant model'!E359</f>
        <v>70555.418643130251</v>
      </c>
      <c r="E36" s="241">
        <f>D36*'Plant model'!E408</f>
        <v>17638.854660782563</v>
      </c>
      <c r="F36" s="245">
        <f t="shared" si="1"/>
        <v>88194.273303912807</v>
      </c>
    </row>
    <row r="37" spans="2:6" x14ac:dyDescent="0.25">
      <c r="B37" s="297" t="str">
        <f>'Plant model'!C306</f>
        <v>Craft Maintenance - Electrical</v>
      </c>
      <c r="C37" s="240">
        <f>'Plant model'!E306</f>
        <v>8</v>
      </c>
      <c r="D37" s="241">
        <f>'Plant model'!E360</f>
        <v>59204.571795714939</v>
      </c>
      <c r="E37" s="241">
        <f>D37*'Plant model'!E409</f>
        <v>14801.142948928735</v>
      </c>
      <c r="F37" s="245">
        <f t="shared" si="1"/>
        <v>74005.714744643672</v>
      </c>
    </row>
    <row r="38" spans="2:6" x14ac:dyDescent="0.25">
      <c r="B38" s="297" t="str">
        <f>'Plant model'!C307</f>
        <v>Craft Maintenance - Mechanical</v>
      </c>
      <c r="C38" s="240">
        <f>'Plant model'!E307</f>
        <v>9</v>
      </c>
      <c r="D38" s="241">
        <f>'Plant model'!E361</f>
        <v>59204.571795714939</v>
      </c>
      <c r="E38" s="241">
        <f>D38*'Plant model'!E410</f>
        <v>14801.142948928735</v>
      </c>
      <c r="F38" s="245">
        <f t="shared" si="1"/>
        <v>74005.714744643672</v>
      </c>
    </row>
    <row r="39" spans="2:6" x14ac:dyDescent="0.25">
      <c r="B39" s="297" t="str">
        <f>'Plant model'!C308</f>
        <v>Quality Control Engineer</v>
      </c>
      <c r="C39" s="240">
        <f>'Plant model'!E308</f>
        <v>1</v>
      </c>
      <c r="D39" s="241">
        <f>'Plant model'!E362</f>
        <v>53529.148372007294</v>
      </c>
      <c r="E39" s="241">
        <f>D39*'Plant model'!E411</f>
        <v>13382.287093001823</v>
      </c>
      <c r="F39" s="245">
        <f t="shared" si="1"/>
        <v>66911.435465009112</v>
      </c>
    </row>
    <row r="40" spans="2:6" x14ac:dyDescent="0.25">
      <c r="B40" s="299" t="str">
        <f>'Plant model'!C309</f>
        <v xml:space="preserve">Total </v>
      </c>
      <c r="C40" s="250">
        <f>SUM(C33:C39)</f>
        <v>23</v>
      </c>
      <c r="D40" s="251">
        <f>SUMPRODUCT($C33:$C39,D33:D39)/SUM($C33:$C39)</f>
        <v>65581.455418147671</v>
      </c>
      <c r="E40" s="251">
        <f>SUMPRODUCT($C33:$C39,E33:E39)/SUM($C33:$C39)</f>
        <v>17151.616937359471</v>
      </c>
      <c r="F40" s="251">
        <f>SUMPRODUCT($C33:$C39,F33:F39)/SUM($C33:$C39)</f>
        <v>82733.072355507131</v>
      </c>
    </row>
    <row r="41" spans="2:6" x14ac:dyDescent="0.25">
      <c r="B41" s="247"/>
      <c r="C41" s="240"/>
      <c r="D41" s="241"/>
    </row>
    <row r="42" spans="2:6" x14ac:dyDescent="0.25">
      <c r="B42" s="298" t="str">
        <f>'Plant model'!C311</f>
        <v>Selling, General &amp; Administrative</v>
      </c>
      <c r="C42" s="243"/>
      <c r="D42" s="244"/>
    </row>
    <row r="43" spans="2:6" x14ac:dyDescent="0.25">
      <c r="B43" s="297" t="str">
        <f>'Plant model'!C312</f>
        <v>CEO, CFO, COO</v>
      </c>
      <c r="C43" s="240">
        <f>'Plant model'!E312</f>
        <v>3</v>
      </c>
      <c r="D43" s="241">
        <f>'Plant model'!E365</f>
        <v>213291.03172992161</v>
      </c>
      <c r="E43" s="241">
        <f>D43*'Plant model'!E414</f>
        <v>53322.757932480403</v>
      </c>
      <c r="F43" s="245">
        <f t="shared" ref="F43:F51" si="2">D43+E43</f>
        <v>266613.78966240201</v>
      </c>
    </row>
    <row r="44" spans="2:6" x14ac:dyDescent="0.25">
      <c r="B44" s="297" t="str">
        <f>'Plant model'!C313</f>
        <v>Administrator</v>
      </c>
      <c r="C44" s="240">
        <f>'Plant model'!E313</f>
        <v>2</v>
      </c>
      <c r="D44" s="241">
        <f>'Plant model'!E366</f>
        <v>44448.470894075057</v>
      </c>
      <c r="E44" s="241">
        <f>D44*'Plant model'!E415</f>
        <v>6667.270634111258</v>
      </c>
      <c r="F44" s="245">
        <f t="shared" si="2"/>
        <v>51115.741528186314</v>
      </c>
    </row>
    <row r="45" spans="2:6" x14ac:dyDescent="0.25">
      <c r="B45" s="297" t="str">
        <f>'Plant model'!C314</f>
        <v xml:space="preserve">Accounting </v>
      </c>
      <c r="C45" s="240">
        <f>'Plant model'!E314</f>
        <v>3</v>
      </c>
      <c r="D45" s="241">
        <f>'Plant model'!E367</f>
        <v>81906.265490545542</v>
      </c>
      <c r="E45" s="241">
        <f>D45*'Plant model'!E416</f>
        <v>20476.566372636385</v>
      </c>
      <c r="F45" s="245">
        <f t="shared" si="2"/>
        <v>102382.83186318193</v>
      </c>
    </row>
    <row r="46" spans="2:6" x14ac:dyDescent="0.25">
      <c r="B46" s="297" t="str">
        <f>'Plant model'!C315</f>
        <v>Purchasing - Buyer</v>
      </c>
      <c r="C46" s="240">
        <f>'Plant model'!E315</f>
        <v>2</v>
      </c>
      <c r="D46" s="241">
        <f>'Plant model'!E368</f>
        <v>51258.979002524233</v>
      </c>
      <c r="E46" s="241">
        <f>D46*'Plant model'!E417</f>
        <v>7688.8468503786344</v>
      </c>
      <c r="F46" s="245">
        <f t="shared" si="2"/>
        <v>58947.825852902868</v>
      </c>
    </row>
    <row r="47" spans="2:6" x14ac:dyDescent="0.25">
      <c r="B47" s="297" t="str">
        <f>'Plant model'!C316</f>
        <v>Purchasing - Receiving</v>
      </c>
      <c r="C47" s="240">
        <f>'Plant model'!E316</f>
        <v>2</v>
      </c>
      <c r="D47" s="241">
        <f>'Plant model'!E369</f>
        <v>45583.55557881658</v>
      </c>
      <c r="E47" s="241">
        <f>D47*'Plant model'!E418</f>
        <v>6837.5333368224865</v>
      </c>
      <c r="F47" s="245">
        <f t="shared" si="2"/>
        <v>52421.088915639069</v>
      </c>
    </row>
    <row r="48" spans="2:6" x14ac:dyDescent="0.25">
      <c r="B48" s="297" t="str">
        <f>'Plant model'!C317</f>
        <v>Human Resources/Safety Manager/Training</v>
      </c>
      <c r="C48" s="240">
        <f>'Plant model'!E317</f>
        <v>2</v>
      </c>
      <c r="D48" s="241">
        <f>'Plant model'!E370</f>
        <v>76230.842066837897</v>
      </c>
      <c r="E48" s="241">
        <f>D48*'Plant model'!E419</f>
        <v>19057.710516709474</v>
      </c>
      <c r="F48" s="245">
        <f t="shared" si="2"/>
        <v>95288.552583547367</v>
      </c>
    </row>
    <row r="49" spans="2:6" x14ac:dyDescent="0.25">
      <c r="B49" s="297" t="str">
        <f>'Plant model'!C318</f>
        <v>Sales Administrator</v>
      </c>
      <c r="C49" s="240">
        <f>'Plant model'!E318</f>
        <v>2</v>
      </c>
      <c r="D49" s="241">
        <f>'Plant model'!E371</f>
        <v>44448.470894075057</v>
      </c>
      <c r="E49" s="241">
        <f>D49*'Plant model'!E420</f>
        <v>6667.270634111258</v>
      </c>
      <c r="F49" s="245">
        <f t="shared" si="2"/>
        <v>51115.741528186314</v>
      </c>
    </row>
    <row r="50" spans="2:6" x14ac:dyDescent="0.25">
      <c r="B50" s="297" t="str">
        <f>'Plant model'!C319</f>
        <v>Inside Sales</v>
      </c>
      <c r="C50" s="240">
        <f>'Plant model'!E319</f>
        <v>2</v>
      </c>
      <c r="D50" s="241">
        <f>'Plant model'!E372</f>
        <v>70555.418643130251</v>
      </c>
      <c r="E50" s="241">
        <f>D50*'Plant model'!E421</f>
        <v>10583.312796469538</v>
      </c>
      <c r="F50" s="245">
        <f t="shared" si="2"/>
        <v>81138.731439599796</v>
      </c>
    </row>
    <row r="51" spans="2:6" x14ac:dyDescent="0.25">
      <c r="B51" s="297" t="str">
        <f>'Plant model'!C320</f>
        <v>Shipping Manager</v>
      </c>
      <c r="C51" s="240">
        <f>'Plant model'!E320</f>
        <v>1</v>
      </c>
      <c r="D51" s="241">
        <f>'Plant model'!E373</f>
        <v>87581.688914253187</v>
      </c>
      <c r="E51" s="241">
        <f>D51*'Plant model'!E422</f>
        <v>13137.253337137978</v>
      </c>
      <c r="F51" s="245">
        <f t="shared" si="2"/>
        <v>100718.94225139117</v>
      </c>
    </row>
    <row r="52" spans="2:6" x14ac:dyDescent="0.25">
      <c r="B52" s="299" t="str">
        <f>'Plant model'!C321</f>
        <v>Total</v>
      </c>
      <c r="C52" s="250">
        <f>SUM(C43:C51)</f>
        <v>19</v>
      </c>
      <c r="D52" s="251">
        <f>SUMPRODUCT($C43:$C51,D43:D51)/SUM($C43:$C51)</f>
        <v>86222.371301819629</v>
      </c>
      <c r="E52" s="251">
        <f>SUMPRODUCT($C43:$C51,E43:E51)/SUM($C43:$C51)</f>
        <v>18396.795567878613</v>
      </c>
      <c r="F52" s="251">
        <f>SUMPRODUCT($C43:$C51,F43:F51)/SUM($C43:$C51)</f>
        <v>104619.16686969822</v>
      </c>
    </row>
    <row r="53" spans="2:6" x14ac:dyDescent="0.25">
      <c r="B53" s="247"/>
      <c r="C53" s="240"/>
      <c r="D53" s="241"/>
    </row>
    <row r="54" spans="2:6" x14ac:dyDescent="0.25">
      <c r="B54" s="248" t="s">
        <v>382</v>
      </c>
      <c r="C54" s="250">
        <f>C52+C40+C30+C24+C17+C11</f>
        <v>110</v>
      </c>
      <c r="D54" s="250">
        <f>($C11*D11+$C17*D17+$C24*D24+$C30*D30+$C40*D40+$C52*D52)/$C$54</f>
        <v>63836.631300162408</v>
      </c>
      <c r="E54" s="250">
        <f>($C11*E11+$C17*E17+$C24*E24+$C30*E30+$C40*E40+$C52*E52)/$C$54</f>
        <v>16517.085532374109</v>
      </c>
      <c r="F54" s="250">
        <f>($C11*F11+$C17*F17+$C24*F24+$C30*F30+$C40*F40+$C52*F52)/$C$54</f>
        <v>80353.716832536506</v>
      </c>
    </row>
    <row r="55" spans="2:6" x14ac:dyDescent="0.25">
      <c r="B55" s="248" t="s">
        <v>574</v>
      </c>
      <c r="D55" s="243">
        <f>D54/2000</f>
        <v>31.918315650081205</v>
      </c>
      <c r="E55" s="243">
        <f>E54/2000</f>
        <v>8.2585427661870536</v>
      </c>
      <c r="F55" s="243">
        <f>F54/2000</f>
        <v>40.176858416268253</v>
      </c>
    </row>
    <row r="56" spans="2:6" x14ac:dyDescent="0.25">
      <c r="B56" s="247"/>
    </row>
    <row r="57" spans="2:6" x14ac:dyDescent="0.25">
      <c r="B57" s="247"/>
      <c r="C57" s="240"/>
      <c r="D57" s="241"/>
    </row>
    <row r="58" spans="2:6" x14ac:dyDescent="0.25">
      <c r="F58" s="334"/>
    </row>
    <row r="59" spans="2:6" x14ac:dyDescent="0.25">
      <c r="C59" s="242"/>
      <c r="D59" s="24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3:G40"/>
  <sheetViews>
    <sheetView showGridLines="0" topLeftCell="A16" workbookViewId="0">
      <selection activeCell="G34" sqref="G34"/>
    </sheetView>
  </sheetViews>
  <sheetFormatPr defaultRowHeight="15" outlineLevelCol="1" x14ac:dyDescent="0.25"/>
  <cols>
    <col min="2" max="2" width="30" bestFit="1" customWidth="1"/>
    <col min="3" max="4" width="10.5703125" customWidth="1"/>
    <col min="5" max="5" width="10.5703125" hidden="1" customWidth="1" outlineLevel="1"/>
    <col min="6" max="6" width="10.5703125" customWidth="1" collapsed="1"/>
    <col min="7" max="7" width="10.5703125" customWidth="1"/>
  </cols>
  <sheetData>
    <row r="3" spans="1:7" x14ac:dyDescent="0.25">
      <c r="B3" s="406" t="s">
        <v>640</v>
      </c>
      <c r="C3" s="284"/>
      <c r="D3" s="284"/>
      <c r="E3" s="284"/>
      <c r="F3" s="284"/>
      <c r="G3" s="284"/>
    </row>
    <row r="4" spans="1:7" x14ac:dyDescent="0.25">
      <c r="A4" s="112"/>
      <c r="C4" s="112"/>
      <c r="D4" s="112"/>
      <c r="E4" s="112"/>
      <c r="F4" s="131" t="s">
        <v>641</v>
      </c>
      <c r="G4" s="131"/>
    </row>
    <row r="5" spans="1:7" x14ac:dyDescent="0.25">
      <c r="A5" s="112"/>
      <c r="C5" s="407" t="s">
        <v>642</v>
      </c>
      <c r="D5" s="407" t="s">
        <v>643</v>
      </c>
      <c r="E5" s="407" t="s">
        <v>644</v>
      </c>
      <c r="F5" s="407" t="s">
        <v>645</v>
      </c>
      <c r="G5" s="407" t="s">
        <v>812</v>
      </c>
    </row>
    <row r="6" spans="1:7" x14ac:dyDescent="0.25">
      <c r="A6" t="s">
        <v>646</v>
      </c>
      <c r="B6" t="s">
        <v>647</v>
      </c>
      <c r="C6" s="414">
        <v>18017.016599999999</v>
      </c>
      <c r="D6" s="414">
        <v>20414.6626</v>
      </c>
      <c r="E6" s="415">
        <v>0.116121622208293</v>
      </c>
      <c r="F6" s="416">
        <v>8.0403835974251407</v>
      </c>
      <c r="G6" s="416">
        <v>9.1756502291655995</v>
      </c>
    </row>
    <row r="7" spans="1:7" x14ac:dyDescent="0.25">
      <c r="A7" t="s">
        <v>648</v>
      </c>
      <c r="B7" t="s">
        <v>649</v>
      </c>
      <c r="C7" s="414">
        <v>6783.4245000000001</v>
      </c>
      <c r="D7" s="414">
        <v>8395.0684999999994</v>
      </c>
      <c r="E7" s="415">
        <v>9.3803789290665004E-2</v>
      </c>
      <c r="F7" s="416">
        <v>6.1701813261482004</v>
      </c>
      <c r="G7" s="416">
        <v>6.9285642872506603</v>
      </c>
    </row>
    <row r="8" spans="1:7" x14ac:dyDescent="0.25">
      <c r="A8" t="s">
        <v>650</v>
      </c>
      <c r="B8" t="s">
        <v>651</v>
      </c>
      <c r="C8" s="414">
        <v>2050.7054400000002</v>
      </c>
      <c r="D8" s="414">
        <v>2646.9584399999999</v>
      </c>
      <c r="E8" s="415">
        <v>8.9735577991798807E-2</v>
      </c>
      <c r="F8" s="416">
        <v>8.7734493422295596</v>
      </c>
      <c r="G8" s="416">
        <v>7.3768502055071696</v>
      </c>
    </row>
    <row r="9" spans="1:7" x14ac:dyDescent="0.25">
      <c r="A9" t="s">
        <v>652</v>
      </c>
      <c r="B9" t="s">
        <v>653</v>
      </c>
      <c r="C9" s="414">
        <v>1318.0834600000001</v>
      </c>
      <c r="D9" s="414">
        <v>1025.5672199999999</v>
      </c>
      <c r="E9" s="415">
        <v>1.84375527291427E-2</v>
      </c>
      <c r="F9" s="416">
        <v>7.61684684100564</v>
      </c>
      <c r="G9" s="416">
        <v>5.8463991933352997</v>
      </c>
    </row>
    <row r="10" spans="1:7" x14ac:dyDescent="0.25">
      <c r="A10" t="s">
        <v>654</v>
      </c>
      <c r="B10" t="s">
        <v>655</v>
      </c>
      <c r="C10" s="414">
        <v>516.04803000000004</v>
      </c>
      <c r="D10" s="414">
        <v>663.74802999999997</v>
      </c>
      <c r="E10" s="415">
        <v>-6.3822963438101399E-2</v>
      </c>
      <c r="F10" s="416" t="s">
        <v>656</v>
      </c>
      <c r="G10" s="416" t="s">
        <v>656</v>
      </c>
    </row>
    <row r="11" spans="1:7" x14ac:dyDescent="0.25">
      <c r="A11" t="s">
        <v>657</v>
      </c>
      <c r="B11" t="s">
        <v>658</v>
      </c>
      <c r="C11" s="414">
        <v>534.98440000000005</v>
      </c>
      <c r="D11" s="414">
        <v>734.81539999999995</v>
      </c>
      <c r="E11" s="415">
        <v>5.1295478107290397E-2</v>
      </c>
      <c r="F11" s="416">
        <v>8.2804498484353299</v>
      </c>
      <c r="G11" s="416">
        <v>11.301722599895401</v>
      </c>
    </row>
    <row r="12" spans="1:7" ht="6" customHeight="1" x14ac:dyDescent="0.25">
      <c r="C12" s="117"/>
      <c r="D12" s="117"/>
      <c r="E12" s="132"/>
      <c r="F12" s="408"/>
      <c r="G12" s="408"/>
    </row>
    <row r="13" spans="1:7" x14ac:dyDescent="0.25">
      <c r="B13" s="409" t="s">
        <v>659</v>
      </c>
      <c r="C13" s="410"/>
      <c r="D13" s="410"/>
      <c r="E13" s="411">
        <f>AVERAGE(E6:E11)</f>
        <v>5.0928509481514755E-2</v>
      </c>
      <c r="F13" s="412">
        <f>AVERAGE(F6:F11)</f>
        <v>7.7762621910487741</v>
      </c>
      <c r="G13" s="413">
        <f>AVERAGE(G6:G11)</f>
        <v>8.125837303030826</v>
      </c>
    </row>
    <row r="14" spans="1:7" ht="6" customHeight="1" x14ac:dyDescent="0.25"/>
    <row r="15" spans="1:7" x14ac:dyDescent="0.25">
      <c r="B15" s="406" t="s">
        <v>660</v>
      </c>
      <c r="C15" s="284"/>
      <c r="D15" s="284"/>
      <c r="E15" s="284"/>
      <c r="F15" s="284"/>
      <c r="G15" s="284"/>
    </row>
    <row r="16" spans="1:7" x14ac:dyDescent="0.25">
      <c r="A16" s="112"/>
      <c r="C16" s="112"/>
      <c r="D16" s="112"/>
      <c r="E16" s="112"/>
      <c r="F16" s="131" t="s">
        <v>641</v>
      </c>
      <c r="G16" s="131"/>
    </row>
    <row r="17" spans="1:7" x14ac:dyDescent="0.25">
      <c r="A17" s="112"/>
      <c r="C17" s="407" t="s">
        <v>642</v>
      </c>
      <c r="D17" s="407" t="s">
        <v>643</v>
      </c>
      <c r="E17" s="407" t="s">
        <v>644</v>
      </c>
      <c r="F17" s="407" t="s">
        <v>645</v>
      </c>
      <c r="G17" s="407" t="s">
        <v>812</v>
      </c>
    </row>
    <row r="18" spans="1:7" x14ac:dyDescent="0.25">
      <c r="A18" t="s">
        <v>661</v>
      </c>
      <c r="B18" t="s">
        <v>662</v>
      </c>
      <c r="C18" s="414">
        <v>1333.96306</v>
      </c>
      <c r="D18" s="414">
        <v>3936.2630600000002</v>
      </c>
      <c r="E18" s="415">
        <v>7.6383729569093603E-2</v>
      </c>
      <c r="F18" s="416">
        <v>5.8697629883686204</v>
      </c>
      <c r="G18" s="416">
        <v>8.5112324976233502</v>
      </c>
    </row>
    <row r="19" spans="1:7" x14ac:dyDescent="0.25">
      <c r="A19" t="s">
        <v>663</v>
      </c>
      <c r="B19" t="s">
        <v>664</v>
      </c>
      <c r="C19" s="414">
        <v>3174.4711699999998</v>
      </c>
      <c r="D19" s="414">
        <v>5591.4711699999998</v>
      </c>
      <c r="E19" s="415">
        <v>-2.3395659118669501E-2</v>
      </c>
      <c r="F19" s="416">
        <v>9.0770635876623391</v>
      </c>
      <c r="G19" s="416">
        <v>9.5454457490077491</v>
      </c>
    </row>
    <row r="20" spans="1:7" x14ac:dyDescent="0.25">
      <c r="A20" t="s">
        <v>665</v>
      </c>
      <c r="B20" t="s">
        <v>666</v>
      </c>
      <c r="C20" s="414">
        <v>17338.595379999999</v>
      </c>
      <c r="D20" s="414">
        <v>36344.629260000002</v>
      </c>
      <c r="E20" s="415">
        <v>4.9416127900566299E-2</v>
      </c>
      <c r="F20" s="416">
        <v>6.2447816597938104</v>
      </c>
      <c r="G20" s="416">
        <v>7.0191682491049896</v>
      </c>
    </row>
    <row r="21" spans="1:7" x14ac:dyDescent="0.25">
      <c r="A21" t="s">
        <v>667</v>
      </c>
      <c r="B21" t="s">
        <v>668</v>
      </c>
      <c r="C21" s="414">
        <v>6029.0367399999996</v>
      </c>
      <c r="D21" s="414">
        <v>9605.4121599999999</v>
      </c>
      <c r="E21" s="415">
        <v>0.12868719898039299</v>
      </c>
      <c r="F21" s="416">
        <v>6.4011304424434101</v>
      </c>
      <c r="G21" s="416">
        <v>6.1245952297667197</v>
      </c>
    </row>
    <row r="22" spans="1:7" ht="6" customHeight="1" x14ac:dyDescent="0.25"/>
    <row r="23" spans="1:7" x14ac:dyDescent="0.25">
      <c r="B23" s="409" t="s">
        <v>659</v>
      </c>
      <c r="C23" s="410"/>
      <c r="D23" s="410"/>
      <c r="E23" s="411">
        <f>AVERAGE(E18:E21)</f>
        <v>5.7772849332845849E-2</v>
      </c>
      <c r="F23" s="412">
        <f>AVERAGE(F18:F21)</f>
        <v>6.898184669567045</v>
      </c>
      <c r="G23" s="413">
        <f>AVERAGE(G18:G21)</f>
        <v>7.8001104313757024</v>
      </c>
    </row>
    <row r="24" spans="1:7" ht="6" customHeight="1" x14ac:dyDescent="0.25"/>
    <row r="25" spans="1:7" x14ac:dyDescent="0.25">
      <c r="B25" s="406" t="s">
        <v>669</v>
      </c>
      <c r="C25" s="284"/>
      <c r="D25" s="284"/>
      <c r="E25" s="284"/>
      <c r="F25" s="284"/>
      <c r="G25" s="284"/>
    </row>
    <row r="26" spans="1:7" x14ac:dyDescent="0.25">
      <c r="A26" s="112"/>
      <c r="C26" s="112"/>
      <c r="D26" s="112"/>
      <c r="E26" s="112"/>
      <c r="F26" s="131" t="s">
        <v>641</v>
      </c>
      <c r="G26" s="131"/>
    </row>
    <row r="27" spans="1:7" x14ac:dyDescent="0.25">
      <c r="A27" s="112"/>
      <c r="C27" s="407" t="s">
        <v>642</v>
      </c>
      <c r="D27" s="407" t="s">
        <v>643</v>
      </c>
      <c r="E27" s="407" t="s">
        <v>644</v>
      </c>
      <c r="F27" s="407" t="s">
        <v>645</v>
      </c>
      <c r="G27" s="407" t="s">
        <v>812</v>
      </c>
    </row>
    <row r="28" spans="1:7" x14ac:dyDescent="0.25">
      <c r="A28" t="s">
        <v>670</v>
      </c>
      <c r="B28" t="s">
        <v>671</v>
      </c>
      <c r="C28" s="414">
        <v>1850.9718700000001</v>
      </c>
      <c r="D28" s="414">
        <v>2464.9718699999999</v>
      </c>
      <c r="E28" s="415">
        <v>0.12724707357859499</v>
      </c>
      <c r="F28" s="416">
        <v>12.0713607737512</v>
      </c>
      <c r="G28" s="416">
        <v>8.6866142856085595</v>
      </c>
    </row>
    <row r="29" spans="1:7" x14ac:dyDescent="0.25">
      <c r="A29" t="s">
        <v>672</v>
      </c>
      <c r="B29" t="s">
        <v>673</v>
      </c>
      <c r="C29" s="414">
        <v>1701.80187</v>
      </c>
      <c r="D29" s="414">
        <v>3303.4018700000001</v>
      </c>
      <c r="E29" s="415">
        <v>-3.94736842105263E-2</v>
      </c>
      <c r="F29" s="416">
        <v>13.6222757525773</v>
      </c>
      <c r="G29" s="416">
        <v>20.0206173939394</v>
      </c>
    </row>
    <row r="30" spans="1:7" x14ac:dyDescent="0.25">
      <c r="A30" t="s">
        <v>674</v>
      </c>
      <c r="B30" t="s">
        <v>675</v>
      </c>
      <c r="C30" s="414">
        <v>1560.29043</v>
      </c>
      <c r="D30" s="414">
        <v>2121.7364299999999</v>
      </c>
      <c r="E30" s="415">
        <v>5.44746578447977E-2</v>
      </c>
      <c r="F30" s="416" t="s">
        <v>656</v>
      </c>
      <c r="G30" s="416">
        <v>12.2830860288128</v>
      </c>
    </row>
    <row r="31" spans="1:7" ht="6" customHeight="1" x14ac:dyDescent="0.25"/>
    <row r="32" spans="1:7" x14ac:dyDescent="0.25">
      <c r="B32" s="409" t="s">
        <v>659</v>
      </c>
      <c r="C32" s="410"/>
      <c r="D32" s="410"/>
      <c r="E32" s="411">
        <f>AVERAGE(E28:E30)</f>
        <v>4.7416015737622129E-2</v>
      </c>
      <c r="F32" s="412">
        <f>AVERAGE(F28:F30)</f>
        <v>12.84681826316425</v>
      </c>
      <c r="G32" s="413">
        <f>AVERAGE(G28:G30)</f>
        <v>13.663439236120254</v>
      </c>
    </row>
    <row r="33" spans="2:7" ht="6" customHeight="1" x14ac:dyDescent="0.25"/>
    <row r="34" spans="2:7" x14ac:dyDescent="0.25">
      <c r="B34" s="417" t="s">
        <v>676</v>
      </c>
      <c r="C34" s="418"/>
      <c r="D34" s="418"/>
      <c r="E34" s="419">
        <f>AVERAGE(E28:E30,E18:E21,E6:E11)</f>
        <v>5.2223884725641399E-2</v>
      </c>
      <c r="F34" s="420">
        <f>AVERAGE(F28:F30,F18:F21,F6:F11)</f>
        <v>8.3788805599855039</v>
      </c>
      <c r="G34" s="421">
        <f>AVERAGE(G28:G30,G18:G21,G6:G11)</f>
        <v>9.4016621624181429</v>
      </c>
    </row>
    <row r="36" spans="2:7" x14ac:dyDescent="0.25">
      <c r="C36" s="118"/>
      <c r="D36" s="117"/>
      <c r="E36" s="132"/>
      <c r="F36" s="289"/>
      <c r="G36" s="289"/>
    </row>
    <row r="38" spans="2:7" x14ac:dyDescent="0.25">
      <c r="B38" s="111"/>
      <c r="C38" s="127"/>
    </row>
    <row r="39" spans="2:7" x14ac:dyDescent="0.25">
      <c r="B39" s="111"/>
      <c r="C39" s="127"/>
    </row>
    <row r="40" spans="2:7" x14ac:dyDescent="0.25">
      <c r="C40" s="13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AC124"/>
  <sheetViews>
    <sheetView topLeftCell="B6" zoomScaleNormal="100" workbookViewId="0">
      <selection activeCell="W11" sqref="W11"/>
    </sheetView>
  </sheetViews>
  <sheetFormatPr defaultColWidth="8.85546875" defaultRowHeight="15" x14ac:dyDescent="0.25"/>
  <cols>
    <col min="5" max="5" width="9" customWidth="1"/>
    <col min="6" max="6" width="11.28515625" customWidth="1"/>
    <col min="10" max="10" width="13.85546875" customWidth="1"/>
    <col min="12" max="12" width="11.140625" customWidth="1"/>
    <col min="15" max="15" width="12.5703125" customWidth="1"/>
    <col min="16" max="16" width="11.85546875" customWidth="1"/>
    <col min="26" max="26" width="21" bestFit="1" customWidth="1"/>
    <col min="27" max="27" width="25.5703125" bestFit="1" customWidth="1"/>
  </cols>
  <sheetData>
    <row r="3" spans="3:19" ht="30" x14ac:dyDescent="0.25">
      <c r="C3" s="433" t="s">
        <v>722</v>
      </c>
      <c r="D3" s="434" t="s">
        <v>497</v>
      </c>
      <c r="E3" s="434" t="s">
        <v>498</v>
      </c>
      <c r="F3" s="434" t="s">
        <v>723</v>
      </c>
      <c r="G3" s="434" t="s">
        <v>724</v>
      </c>
      <c r="H3" s="434" t="s">
        <v>777</v>
      </c>
      <c r="J3" s="433" t="s">
        <v>725</v>
      </c>
      <c r="K3" s="433" t="s">
        <v>726</v>
      </c>
      <c r="L3" s="433" t="s">
        <v>727</v>
      </c>
      <c r="M3" s="433" t="s">
        <v>728</v>
      </c>
      <c r="O3" s="433" t="s">
        <v>729</v>
      </c>
      <c r="P3" s="433" t="s">
        <v>730</v>
      </c>
    </row>
    <row r="4" spans="3:19" x14ac:dyDescent="0.25">
      <c r="C4" s="440">
        <v>41275</v>
      </c>
      <c r="D4" s="441">
        <v>150.49</v>
      </c>
      <c r="E4" s="441">
        <v>415.875</v>
      </c>
      <c r="F4" s="435">
        <f t="shared" ref="F4:F67" si="0">D4*$M$4+$L$4</f>
        <v>597.34073862404853</v>
      </c>
      <c r="G4" s="436">
        <f t="shared" ref="G4:G33" si="1">F4/E4-1</f>
        <v>0.43634683167790445</v>
      </c>
      <c r="H4" s="436">
        <f t="shared" ref="H4:H67" si="2">ABS(G4)</f>
        <v>0.43634683167790445</v>
      </c>
      <c r="J4" s="423">
        <f>CORREL(D88:D117,E88:E117)</f>
        <v>0.29612753618613274</v>
      </c>
      <c r="K4" s="423">
        <f>RSQ(E88:E117,D88:D117)</f>
        <v>8.7691517687669363E-2</v>
      </c>
      <c r="L4" s="423">
        <f>INTERCEPT(E88:E117,D88:D117)</f>
        <v>405.00132614378811</v>
      </c>
      <c r="M4" s="423">
        <f>SLOPE(E88:E117,D88:D117)</f>
        <v>1.2780876635009661</v>
      </c>
      <c r="O4" s="437">
        <v>120</v>
      </c>
      <c r="P4" s="423">
        <f>O4*M4+L4</f>
        <v>558.37184576390405</v>
      </c>
      <c r="S4" s="71"/>
    </row>
    <row r="5" spans="3:19" x14ac:dyDescent="0.25">
      <c r="C5" s="442">
        <v>41306</v>
      </c>
      <c r="D5" s="443">
        <v>154.63999999999999</v>
      </c>
      <c r="E5" s="443">
        <v>422.5</v>
      </c>
      <c r="F5" s="438">
        <f t="shared" si="0"/>
        <v>602.64480242757747</v>
      </c>
      <c r="G5" s="439">
        <f t="shared" si="1"/>
        <v>0.42637823059781654</v>
      </c>
      <c r="H5" s="439">
        <f t="shared" si="2"/>
        <v>0.42637823059781654</v>
      </c>
    </row>
    <row r="6" spans="3:19" x14ac:dyDescent="0.25">
      <c r="C6" s="440">
        <v>41334</v>
      </c>
      <c r="D6" s="441">
        <v>139.87</v>
      </c>
      <c r="E6" s="441">
        <v>436.66666666666669</v>
      </c>
      <c r="F6" s="435">
        <f t="shared" si="0"/>
        <v>583.76744763766828</v>
      </c>
      <c r="G6" s="436">
        <f t="shared" si="1"/>
        <v>0.33687201749084328</v>
      </c>
      <c r="H6" s="436">
        <f t="shared" si="2"/>
        <v>0.33687201749084328</v>
      </c>
      <c r="M6" s="423"/>
    </row>
    <row r="7" spans="3:19" x14ac:dyDescent="0.25">
      <c r="C7" s="442">
        <v>41365</v>
      </c>
      <c r="D7" s="443">
        <v>137.38999999999999</v>
      </c>
      <c r="E7" s="443">
        <v>439</v>
      </c>
      <c r="F7" s="438">
        <f t="shared" si="0"/>
        <v>580.59779023218584</v>
      </c>
      <c r="G7" s="439">
        <f t="shared" si="1"/>
        <v>0.32254621920771265</v>
      </c>
      <c r="H7" s="439">
        <f t="shared" si="2"/>
        <v>0.32254621920771265</v>
      </c>
    </row>
    <row r="8" spans="3:19" x14ac:dyDescent="0.25">
      <c r="C8" s="440">
        <v>41395</v>
      </c>
      <c r="D8" s="441">
        <v>124.01</v>
      </c>
      <c r="E8" s="441">
        <v>428</v>
      </c>
      <c r="F8" s="435">
        <f t="shared" si="0"/>
        <v>563.49697729454294</v>
      </c>
      <c r="G8" s="436">
        <f t="shared" si="1"/>
        <v>0.3165817226508012</v>
      </c>
      <c r="H8" s="436">
        <f t="shared" si="2"/>
        <v>0.3165817226508012</v>
      </c>
    </row>
    <row r="9" spans="3:19" x14ac:dyDescent="0.25">
      <c r="C9" s="442">
        <v>41426</v>
      </c>
      <c r="D9" s="443">
        <v>114.82</v>
      </c>
      <c r="E9" s="443">
        <v>407.6875</v>
      </c>
      <c r="F9" s="438">
        <f t="shared" si="0"/>
        <v>551.75135166696907</v>
      </c>
      <c r="G9" s="439">
        <f t="shared" si="1"/>
        <v>0.35336833154553204</v>
      </c>
      <c r="H9" s="439">
        <f t="shared" si="2"/>
        <v>0.35336833154553204</v>
      </c>
    </row>
    <row r="10" spans="3:19" x14ac:dyDescent="0.25">
      <c r="C10" s="440">
        <v>41456</v>
      </c>
      <c r="D10" s="441">
        <v>127.19</v>
      </c>
      <c r="E10" s="441">
        <v>410.61111111111109</v>
      </c>
      <c r="F10" s="435">
        <f t="shared" si="0"/>
        <v>567.56129606447598</v>
      </c>
      <c r="G10" s="436">
        <f t="shared" si="1"/>
        <v>0.38223560129354195</v>
      </c>
      <c r="H10" s="436">
        <f t="shared" si="2"/>
        <v>0.38223560129354195</v>
      </c>
    </row>
    <row r="11" spans="3:19" x14ac:dyDescent="0.25">
      <c r="C11" s="442">
        <v>41487</v>
      </c>
      <c r="D11" s="443">
        <v>137.06</v>
      </c>
      <c r="E11" s="443">
        <v>423.05555555555554</v>
      </c>
      <c r="F11" s="438">
        <f t="shared" si="0"/>
        <v>580.17602130323053</v>
      </c>
      <c r="G11" s="439">
        <f t="shared" si="1"/>
        <v>0.37139440360579767</v>
      </c>
      <c r="H11" s="439">
        <f t="shared" si="2"/>
        <v>0.37139440360579767</v>
      </c>
    </row>
    <row r="12" spans="3:19" x14ac:dyDescent="0.25">
      <c r="C12" s="440">
        <v>41518</v>
      </c>
      <c r="D12" s="441">
        <v>134.19</v>
      </c>
      <c r="E12" s="441">
        <v>419.25</v>
      </c>
      <c r="F12" s="435">
        <f t="shared" si="0"/>
        <v>576.50790970898277</v>
      </c>
      <c r="G12" s="436">
        <f t="shared" si="1"/>
        <v>0.37509340419554627</v>
      </c>
      <c r="H12" s="436">
        <f t="shared" si="2"/>
        <v>0.37509340419554627</v>
      </c>
    </row>
    <row r="13" spans="3:19" x14ac:dyDescent="0.25">
      <c r="C13" s="442">
        <v>41548</v>
      </c>
      <c r="D13" s="443">
        <v>132.57</v>
      </c>
      <c r="E13" s="443">
        <v>410</v>
      </c>
      <c r="F13" s="438">
        <f t="shared" si="0"/>
        <v>574.43740769411124</v>
      </c>
      <c r="G13" s="439">
        <f t="shared" si="1"/>
        <v>0.40106684803441772</v>
      </c>
      <c r="H13" s="439">
        <f t="shared" si="2"/>
        <v>0.40106684803441772</v>
      </c>
    </row>
    <row r="14" spans="3:19" x14ac:dyDescent="0.25">
      <c r="C14" s="440">
        <v>41579</v>
      </c>
      <c r="D14" s="441">
        <v>136.32</v>
      </c>
      <c r="E14" s="441">
        <v>413</v>
      </c>
      <c r="F14" s="435">
        <f t="shared" si="0"/>
        <v>579.23023643223974</v>
      </c>
      <c r="G14" s="436">
        <f t="shared" si="1"/>
        <v>0.40249451920639157</v>
      </c>
      <c r="H14" s="436">
        <f t="shared" si="2"/>
        <v>0.40249451920639157</v>
      </c>
    </row>
    <row r="15" spans="3:19" x14ac:dyDescent="0.25">
      <c r="C15" s="442">
        <v>41609</v>
      </c>
      <c r="D15" s="443">
        <v>135.79</v>
      </c>
      <c r="E15" s="443">
        <v>413</v>
      </c>
      <c r="F15" s="438">
        <f t="shared" si="0"/>
        <v>578.55284997058425</v>
      </c>
      <c r="G15" s="439">
        <f t="shared" si="1"/>
        <v>0.40085435828228633</v>
      </c>
      <c r="H15" s="439">
        <f t="shared" si="2"/>
        <v>0.40085435828228633</v>
      </c>
    </row>
    <row r="16" spans="3:19" x14ac:dyDescent="0.25">
      <c r="C16" s="440">
        <v>41640</v>
      </c>
      <c r="D16" s="441">
        <v>128.12</v>
      </c>
      <c r="E16" s="441">
        <v>413.83333333333331</v>
      </c>
      <c r="F16" s="435">
        <f t="shared" si="0"/>
        <v>568.74991759153193</v>
      </c>
      <c r="G16" s="436">
        <f t="shared" si="1"/>
        <v>0.37434535060378238</v>
      </c>
      <c r="H16" s="436">
        <f t="shared" si="2"/>
        <v>0.37434535060378238</v>
      </c>
    </row>
    <row r="17" spans="3:29" x14ac:dyDescent="0.25">
      <c r="C17" s="442">
        <v>41671</v>
      </c>
      <c r="D17" s="443">
        <v>121.37</v>
      </c>
      <c r="E17" s="443">
        <v>414.25</v>
      </c>
      <c r="F17" s="438">
        <f t="shared" si="0"/>
        <v>560.12282586290041</v>
      </c>
      <c r="G17" s="439">
        <f t="shared" si="1"/>
        <v>0.35213717770163044</v>
      </c>
      <c r="H17" s="439">
        <f t="shared" si="2"/>
        <v>0.35213717770163044</v>
      </c>
    </row>
    <row r="18" spans="3:29" x14ac:dyDescent="0.25">
      <c r="C18" s="440">
        <v>41699</v>
      </c>
      <c r="D18" s="441">
        <v>111.83</v>
      </c>
      <c r="E18" s="441">
        <v>417.4375</v>
      </c>
      <c r="F18" s="435">
        <f t="shared" si="0"/>
        <v>547.92986955310118</v>
      </c>
      <c r="G18" s="436">
        <f t="shared" si="1"/>
        <v>0.31260337069166333</v>
      </c>
      <c r="H18" s="436">
        <f t="shared" si="2"/>
        <v>0.31260337069166333</v>
      </c>
    </row>
    <row r="19" spans="3:29" x14ac:dyDescent="0.25">
      <c r="C19" s="442">
        <v>41730</v>
      </c>
      <c r="D19" s="443">
        <v>114.58</v>
      </c>
      <c r="E19" s="443">
        <v>422.5</v>
      </c>
      <c r="F19" s="438">
        <f t="shared" si="0"/>
        <v>551.44461062772882</v>
      </c>
      <c r="G19" s="439">
        <f t="shared" si="1"/>
        <v>0.30519434468101503</v>
      </c>
      <c r="H19" s="439">
        <f t="shared" si="2"/>
        <v>0.30519434468101503</v>
      </c>
    </row>
    <row r="20" spans="3:29" x14ac:dyDescent="0.25">
      <c r="C20" s="440">
        <v>41760</v>
      </c>
      <c r="D20" s="441">
        <v>100.56</v>
      </c>
      <c r="E20" s="441">
        <v>422.5</v>
      </c>
      <c r="F20" s="435">
        <f t="shared" si="0"/>
        <v>533.52582158544533</v>
      </c>
      <c r="G20" s="436">
        <f t="shared" si="1"/>
        <v>0.26278300966969304</v>
      </c>
      <c r="H20" s="436">
        <f t="shared" si="2"/>
        <v>0.26278300966969304</v>
      </c>
    </row>
    <row r="21" spans="3:29" x14ac:dyDescent="0.25">
      <c r="C21" s="442">
        <v>41791</v>
      </c>
      <c r="D21" s="443">
        <v>92.74</v>
      </c>
      <c r="E21" s="443">
        <v>422.125</v>
      </c>
      <c r="F21" s="438">
        <f t="shared" si="0"/>
        <v>523.53117605686771</v>
      </c>
      <c r="G21" s="439">
        <f t="shared" si="1"/>
        <v>0.24022783786050983</v>
      </c>
      <c r="H21" s="439">
        <f t="shared" si="2"/>
        <v>0.24022783786050983</v>
      </c>
    </row>
    <row r="22" spans="3:29" x14ac:dyDescent="0.25">
      <c r="C22" s="440">
        <v>41821</v>
      </c>
      <c r="D22" s="441">
        <v>95.97</v>
      </c>
      <c r="E22" s="441">
        <v>416.83333333333331</v>
      </c>
      <c r="F22" s="435">
        <f t="shared" si="0"/>
        <v>527.65939920997585</v>
      </c>
      <c r="G22" s="436">
        <f t="shared" si="1"/>
        <v>0.26587620762089381</v>
      </c>
      <c r="H22" s="436">
        <f t="shared" si="2"/>
        <v>0.26587620762089381</v>
      </c>
    </row>
    <row r="23" spans="3:29" x14ac:dyDescent="0.25">
      <c r="C23" s="442">
        <v>41852</v>
      </c>
      <c r="D23" s="443">
        <v>92.63</v>
      </c>
      <c r="E23" s="443">
        <v>413.5</v>
      </c>
      <c r="F23" s="438">
        <f t="shared" si="0"/>
        <v>523.3905864138826</v>
      </c>
      <c r="G23" s="439">
        <f t="shared" si="1"/>
        <v>0.26575716182317444</v>
      </c>
      <c r="H23" s="439">
        <f t="shared" si="2"/>
        <v>0.26575716182317444</v>
      </c>
    </row>
    <row r="24" spans="3:29" x14ac:dyDescent="0.25">
      <c r="C24" s="440">
        <v>41883</v>
      </c>
      <c r="D24" s="441">
        <v>82.27</v>
      </c>
      <c r="E24" s="441">
        <v>421.94444444444446</v>
      </c>
      <c r="F24" s="435">
        <f t="shared" si="0"/>
        <v>510.14959822001259</v>
      </c>
      <c r="G24" s="436">
        <f t="shared" si="1"/>
        <v>0.20904447241082647</v>
      </c>
      <c r="H24" s="436">
        <f t="shared" si="2"/>
        <v>0.20904447241082647</v>
      </c>
    </row>
    <row r="25" spans="3:29" x14ac:dyDescent="0.25">
      <c r="C25" s="442">
        <v>41913</v>
      </c>
      <c r="D25" s="443">
        <v>80.09</v>
      </c>
      <c r="E25" s="443">
        <v>423</v>
      </c>
      <c r="F25" s="438">
        <f t="shared" si="0"/>
        <v>507.36336711358047</v>
      </c>
      <c r="G25" s="439">
        <f t="shared" si="1"/>
        <v>0.1994405841928617</v>
      </c>
      <c r="H25" s="439">
        <f t="shared" si="2"/>
        <v>0.1994405841928617</v>
      </c>
    </row>
    <row r="26" spans="3:29" x14ac:dyDescent="0.25">
      <c r="C26" s="440">
        <v>41944</v>
      </c>
      <c r="D26" s="441">
        <v>73.13</v>
      </c>
      <c r="E26" s="441">
        <v>404.28571428571428</v>
      </c>
      <c r="F26" s="435">
        <f t="shared" si="0"/>
        <v>498.46787697561376</v>
      </c>
      <c r="G26" s="436">
        <f t="shared" si="1"/>
        <v>0.23295941301388567</v>
      </c>
      <c r="H26" s="436">
        <f t="shared" si="2"/>
        <v>0.23295941301388567</v>
      </c>
    </row>
    <row r="27" spans="3:29" x14ac:dyDescent="0.25">
      <c r="C27" s="442">
        <v>41974</v>
      </c>
      <c r="D27" s="443">
        <v>68.8</v>
      </c>
      <c r="E27" s="443">
        <v>393.125</v>
      </c>
      <c r="F27" s="438">
        <f t="shared" si="0"/>
        <v>492.93375739265457</v>
      </c>
      <c r="G27" s="439">
        <f t="shared" si="1"/>
        <v>0.25388555139625968</v>
      </c>
      <c r="H27" s="439">
        <f t="shared" si="2"/>
        <v>0.25388555139625968</v>
      </c>
    </row>
    <row r="28" spans="3:29" x14ac:dyDescent="0.25">
      <c r="C28" s="440">
        <v>42005</v>
      </c>
      <c r="D28" s="441">
        <v>67.39</v>
      </c>
      <c r="E28" s="441">
        <v>384.5</v>
      </c>
      <c r="F28" s="435">
        <f t="shared" si="0"/>
        <v>491.13165378711824</v>
      </c>
      <c r="G28" s="436">
        <f t="shared" si="1"/>
        <v>0.27732549749575619</v>
      </c>
      <c r="H28" s="436">
        <f t="shared" si="2"/>
        <v>0.27732549749575619</v>
      </c>
    </row>
    <row r="29" spans="3:29" x14ac:dyDescent="0.25">
      <c r="C29" s="442">
        <v>42036</v>
      </c>
      <c r="D29" s="443">
        <v>62.69</v>
      </c>
      <c r="E29" s="443">
        <v>365.1875</v>
      </c>
      <c r="F29" s="438">
        <f t="shared" si="0"/>
        <v>485.12464176866365</v>
      </c>
      <c r="G29" s="439">
        <f t="shared" si="1"/>
        <v>0.32842619686781083</v>
      </c>
      <c r="H29" s="439">
        <f t="shared" si="2"/>
        <v>0.32842619686781083</v>
      </c>
    </row>
    <row r="30" spans="3:29" x14ac:dyDescent="0.25">
      <c r="C30" s="440">
        <v>42064</v>
      </c>
      <c r="D30" s="441">
        <v>56.94</v>
      </c>
      <c r="E30" s="441">
        <v>285.88888888888891</v>
      </c>
      <c r="F30" s="435">
        <f t="shared" si="0"/>
        <v>477.77563770353311</v>
      </c>
      <c r="G30" s="436">
        <f t="shared" si="1"/>
        <v>0.6711934470780403</v>
      </c>
      <c r="H30" s="436">
        <f t="shared" si="2"/>
        <v>0.6711934470780403</v>
      </c>
    </row>
    <row r="31" spans="3:29" x14ac:dyDescent="0.25">
      <c r="C31" s="442">
        <v>42095</v>
      </c>
      <c r="D31" s="443">
        <v>51.15</v>
      </c>
      <c r="E31" s="443">
        <v>280</v>
      </c>
      <c r="F31" s="438">
        <f t="shared" si="0"/>
        <v>470.37551013186254</v>
      </c>
      <c r="G31" s="439">
        <f t="shared" si="1"/>
        <v>0.6799125361852234</v>
      </c>
      <c r="H31" s="439">
        <f t="shared" si="2"/>
        <v>0.6799125361852234</v>
      </c>
    </row>
    <row r="32" spans="3:29" x14ac:dyDescent="0.25">
      <c r="C32" s="440">
        <v>42125</v>
      </c>
      <c r="D32" s="441">
        <v>60.23</v>
      </c>
      <c r="E32" s="441">
        <v>280</v>
      </c>
      <c r="F32" s="435">
        <f t="shared" si="0"/>
        <v>481.98054611645131</v>
      </c>
      <c r="G32" s="436">
        <f t="shared" si="1"/>
        <v>0.72135909327304049</v>
      </c>
      <c r="H32" s="436">
        <f t="shared" si="2"/>
        <v>0.72135909327304049</v>
      </c>
      <c r="X32" s="293" t="s">
        <v>751</v>
      </c>
      <c r="Y32" s="293" t="s">
        <v>752</v>
      </c>
      <c r="Z32" t="s">
        <v>753</v>
      </c>
      <c r="AA32" t="s">
        <v>754</v>
      </c>
      <c r="AC32" t="s">
        <v>755</v>
      </c>
    </row>
    <row r="33" spans="3:29" x14ac:dyDescent="0.25">
      <c r="C33" s="442">
        <v>42156</v>
      </c>
      <c r="D33" s="443">
        <v>62.29</v>
      </c>
      <c r="E33" s="443">
        <v>293.88888888888891</v>
      </c>
      <c r="F33" s="438">
        <f t="shared" si="0"/>
        <v>484.61340670326331</v>
      </c>
      <c r="G33" s="439">
        <f t="shared" si="1"/>
        <v>0.64896811354607542</v>
      </c>
      <c r="H33" s="439">
        <f t="shared" si="2"/>
        <v>0.64896811354607542</v>
      </c>
      <c r="W33" s="71">
        <v>1</v>
      </c>
      <c r="X33" s="133">
        <f>O4</f>
        <v>120</v>
      </c>
      <c r="Y33" s="133">
        <f t="shared" ref="Y33:Y38" si="3">X33*$M$4+$L$4</f>
        <v>558.37184576390405</v>
      </c>
    </row>
    <row r="34" spans="3:29" x14ac:dyDescent="0.25">
      <c r="C34" s="440">
        <v>42186</v>
      </c>
      <c r="D34" s="441">
        <v>51.5</v>
      </c>
      <c r="E34" s="441">
        <v>291.66666666666669</v>
      </c>
      <c r="F34" s="435">
        <f t="shared" si="0"/>
        <v>470.82284081408784</v>
      </c>
      <c r="G34" s="436">
        <f>F34/E34-1</f>
        <v>0.61424973993401544</v>
      </c>
      <c r="H34" s="436">
        <f t="shared" si="2"/>
        <v>0.61424973993401544</v>
      </c>
      <c r="W34" s="72">
        <f>W33+0.1</f>
        <v>1.1000000000000001</v>
      </c>
      <c r="X34" s="133">
        <f>$X$33*W34</f>
        <v>132</v>
      </c>
      <c r="Y34" s="133">
        <f t="shared" si="3"/>
        <v>573.70889772591568</v>
      </c>
      <c r="Z34">
        <f>Y34/$Y$33-1</f>
        <v>2.7467452161792139E-2</v>
      </c>
      <c r="AA34" s="448">
        <f>Z34-Z33</f>
        <v>2.7467452161792139E-2</v>
      </c>
      <c r="AB34" s="72">
        <f>W34-W33</f>
        <v>0.10000000000000009</v>
      </c>
      <c r="AC34">
        <f>AA34/AB34</f>
        <v>0.27467452161792116</v>
      </c>
    </row>
    <row r="35" spans="3:29" x14ac:dyDescent="0.25">
      <c r="C35" s="442">
        <v>42217</v>
      </c>
      <c r="D35" s="443">
        <v>55.38</v>
      </c>
      <c r="E35" s="443">
        <v>257.5</v>
      </c>
      <c r="F35" s="438">
        <f t="shared" si="0"/>
        <v>475.78182094847159</v>
      </c>
      <c r="G35" s="439">
        <f t="shared" ref="G35:G98" si="4">F35/E35-1</f>
        <v>0.84769639203289948</v>
      </c>
      <c r="H35" s="439">
        <f t="shared" si="2"/>
        <v>0.84769639203289948</v>
      </c>
      <c r="W35" s="72">
        <f>W34+0.1</f>
        <v>1.2000000000000002</v>
      </c>
      <c r="X35" s="133">
        <f>$X$33*W35</f>
        <v>144.00000000000003</v>
      </c>
      <c r="Y35" s="133">
        <f t="shared" si="3"/>
        <v>589.0459496879273</v>
      </c>
      <c r="Z35">
        <f>Y35/$Y$33-1</f>
        <v>5.4934904323584277E-2</v>
      </c>
      <c r="AA35" s="448">
        <f>Z35-Z34</f>
        <v>2.7467452161792139E-2</v>
      </c>
      <c r="AB35" s="72">
        <f>W35-W34</f>
        <v>0.10000000000000009</v>
      </c>
      <c r="AC35">
        <f>AA35/AB35</f>
        <v>0.27467452161792116</v>
      </c>
    </row>
    <row r="36" spans="3:29" x14ac:dyDescent="0.25">
      <c r="C36" s="440">
        <v>42248</v>
      </c>
      <c r="D36" s="441">
        <v>56.43</v>
      </c>
      <c r="E36" s="441">
        <v>250.375</v>
      </c>
      <c r="F36" s="435">
        <f t="shared" si="0"/>
        <v>477.12381299514766</v>
      </c>
      <c r="G36" s="436">
        <f t="shared" si="4"/>
        <v>0.90563679678541242</v>
      </c>
      <c r="H36" s="436">
        <f t="shared" si="2"/>
        <v>0.90563679678541242</v>
      </c>
      <c r="W36" s="72">
        <f>W35+0.1</f>
        <v>1.3000000000000003</v>
      </c>
      <c r="X36" s="133">
        <f>$X$33*W36</f>
        <v>156.00000000000003</v>
      </c>
      <c r="Y36" s="133">
        <f t="shared" si="3"/>
        <v>604.38300164993882</v>
      </c>
      <c r="Z36">
        <f>Y36/$Y$33-1</f>
        <v>8.2402356485376194E-2</v>
      </c>
      <c r="AA36" s="448">
        <f>Z36-Z35</f>
        <v>2.7467452161791917E-2</v>
      </c>
      <c r="AB36" s="72">
        <f>W36-W35</f>
        <v>0.10000000000000009</v>
      </c>
      <c r="AC36">
        <f>AA36/AB36</f>
        <v>0.27467452161791894</v>
      </c>
    </row>
    <row r="37" spans="3:29" x14ac:dyDescent="0.25">
      <c r="C37" s="442">
        <v>42278</v>
      </c>
      <c r="D37" s="443">
        <v>52.74</v>
      </c>
      <c r="E37" s="443">
        <v>237.4</v>
      </c>
      <c r="F37" s="438">
        <f t="shared" si="0"/>
        <v>472.40766951682906</v>
      </c>
      <c r="G37" s="439">
        <f t="shared" si="4"/>
        <v>0.98992278650728327</v>
      </c>
      <c r="H37" s="439">
        <f t="shared" si="2"/>
        <v>0.98992278650728327</v>
      </c>
      <c r="W37" s="72">
        <f>W36+0.1</f>
        <v>1.4000000000000004</v>
      </c>
      <c r="X37" s="133">
        <f>$X$33*W37</f>
        <v>168.00000000000006</v>
      </c>
      <c r="Y37" s="133">
        <f t="shared" si="3"/>
        <v>619.72005361195045</v>
      </c>
      <c r="Z37">
        <f>Y37/$Y$33-1</f>
        <v>0.10986980864716855</v>
      </c>
      <c r="AA37" s="448">
        <f>Z37-Z36</f>
        <v>2.7467452161792361E-2</v>
      </c>
      <c r="AB37" s="72">
        <f>W37-W36</f>
        <v>0.10000000000000009</v>
      </c>
      <c r="AC37">
        <f>AA37/AB37</f>
        <v>0.27467452161792338</v>
      </c>
    </row>
    <row r="38" spans="3:29" x14ac:dyDescent="0.25">
      <c r="C38" s="440">
        <v>42309</v>
      </c>
      <c r="D38" s="441">
        <v>46.16</v>
      </c>
      <c r="E38" s="441">
        <v>196.25</v>
      </c>
      <c r="F38" s="435">
        <f t="shared" si="0"/>
        <v>463.99785269099272</v>
      </c>
      <c r="G38" s="436">
        <f t="shared" si="4"/>
        <v>1.3643202684891347</v>
      </c>
      <c r="H38" s="436">
        <f t="shared" si="2"/>
        <v>1.3643202684891347</v>
      </c>
      <c r="W38" s="72">
        <f>W37+0.1</f>
        <v>1.5000000000000004</v>
      </c>
      <c r="X38" s="133">
        <f>$X$33*W38</f>
        <v>180.00000000000006</v>
      </c>
      <c r="Y38" s="133">
        <f t="shared" si="3"/>
        <v>635.05710557396208</v>
      </c>
      <c r="Z38">
        <f>Y38/$Y$33-1</f>
        <v>0.13733726080896069</v>
      </c>
      <c r="AA38" s="448">
        <f>Z38-Z37</f>
        <v>2.7467452161792139E-2</v>
      </c>
      <c r="AB38" s="72">
        <f>W38-W37</f>
        <v>0.10000000000000009</v>
      </c>
      <c r="AC38">
        <f>AA38/AB38</f>
        <v>0.27467452161792116</v>
      </c>
    </row>
    <row r="39" spans="3:29" x14ac:dyDescent="0.25">
      <c r="C39" s="442">
        <v>42339</v>
      </c>
      <c r="D39" s="443">
        <v>39.6</v>
      </c>
      <c r="E39" s="443">
        <v>180</v>
      </c>
      <c r="F39" s="438">
        <f t="shared" si="0"/>
        <v>455.61359761842635</v>
      </c>
      <c r="G39" s="439">
        <f t="shared" si="4"/>
        <v>1.5311866534357019</v>
      </c>
      <c r="H39" s="439">
        <f t="shared" si="2"/>
        <v>1.5311866534357019</v>
      </c>
    </row>
    <row r="40" spans="3:29" x14ac:dyDescent="0.25">
      <c r="C40" s="440">
        <v>42370</v>
      </c>
      <c r="D40" s="441">
        <v>41.25</v>
      </c>
      <c r="E40" s="441">
        <v>183.125</v>
      </c>
      <c r="F40" s="435">
        <f t="shared" si="0"/>
        <v>457.72244226320294</v>
      </c>
      <c r="G40" s="436">
        <f t="shared" si="4"/>
        <v>1.4995082171369445</v>
      </c>
      <c r="H40" s="436">
        <f t="shared" si="2"/>
        <v>1.4995082171369445</v>
      </c>
    </row>
    <row r="41" spans="3:29" x14ac:dyDescent="0.25">
      <c r="C41" s="442">
        <v>42401</v>
      </c>
      <c r="D41" s="443">
        <v>46.18</v>
      </c>
      <c r="E41" s="443">
        <v>189.0625</v>
      </c>
      <c r="F41" s="438">
        <f t="shared" si="0"/>
        <v>464.0234144442627</v>
      </c>
      <c r="G41" s="439">
        <f t="shared" si="4"/>
        <v>1.4543387210275052</v>
      </c>
      <c r="H41" s="439">
        <f t="shared" si="2"/>
        <v>1.4543387210275052</v>
      </c>
    </row>
    <row r="42" spans="3:29" x14ac:dyDescent="0.25">
      <c r="C42" s="440">
        <v>42430</v>
      </c>
      <c r="D42" s="441">
        <v>55.774999999999999</v>
      </c>
      <c r="E42" s="441">
        <v>219.83333333333334</v>
      </c>
      <c r="F42" s="435">
        <f t="shared" si="0"/>
        <v>476.28666557555448</v>
      </c>
      <c r="G42" s="436">
        <f t="shared" si="4"/>
        <v>1.1665807380237503</v>
      </c>
      <c r="H42" s="436">
        <f t="shared" si="2"/>
        <v>1.1665807380237503</v>
      </c>
    </row>
    <row r="43" spans="3:29" x14ac:dyDescent="0.25">
      <c r="C43" s="442">
        <v>42461</v>
      </c>
      <c r="D43" s="443">
        <v>59.8</v>
      </c>
      <c r="E43" s="443">
        <v>248.75</v>
      </c>
      <c r="F43" s="438">
        <f t="shared" si="0"/>
        <v>481.43096842114585</v>
      </c>
      <c r="G43" s="439">
        <f t="shared" si="4"/>
        <v>0.93540087807495809</v>
      </c>
      <c r="H43" s="439">
        <f t="shared" si="2"/>
        <v>0.93540087807495809</v>
      </c>
    </row>
    <row r="44" spans="3:29" x14ac:dyDescent="0.25">
      <c r="C44" s="440">
        <v>42491</v>
      </c>
      <c r="D44" s="441">
        <v>54.85</v>
      </c>
      <c r="E44" s="441">
        <v>313.33333333333331</v>
      </c>
      <c r="F44" s="435">
        <f t="shared" si="0"/>
        <v>475.1044344868161</v>
      </c>
      <c r="G44" s="436">
        <f t="shared" si="4"/>
        <v>0.51629074836217925</v>
      </c>
      <c r="H44" s="436">
        <f t="shared" si="2"/>
        <v>0.51629074836217925</v>
      </c>
    </row>
    <row r="45" spans="3:29" x14ac:dyDescent="0.25">
      <c r="C45" s="442">
        <v>42522</v>
      </c>
      <c r="D45" s="443">
        <v>51.36</v>
      </c>
      <c r="E45" s="443">
        <v>325</v>
      </c>
      <c r="F45" s="438">
        <f t="shared" si="0"/>
        <v>470.64390854119773</v>
      </c>
      <c r="G45" s="439">
        <f t="shared" si="4"/>
        <v>0.44813510320368533</v>
      </c>
      <c r="H45" s="439">
        <f t="shared" si="2"/>
        <v>0.44813510320368533</v>
      </c>
    </row>
    <row r="46" spans="3:29" x14ac:dyDescent="0.25">
      <c r="C46" s="440">
        <v>42552</v>
      </c>
      <c r="D46" s="441">
        <v>56.57</v>
      </c>
      <c r="E46" s="441">
        <v>283.75</v>
      </c>
      <c r="F46" s="435">
        <f t="shared" si="0"/>
        <v>477.30274526803777</v>
      </c>
      <c r="G46" s="436">
        <f t="shared" si="4"/>
        <v>0.68212421239837107</v>
      </c>
      <c r="H46" s="436">
        <f t="shared" si="2"/>
        <v>0.68212421239837107</v>
      </c>
    </row>
    <row r="47" spans="3:29" x14ac:dyDescent="0.25">
      <c r="C47" s="442">
        <v>42583</v>
      </c>
      <c r="D47" s="443">
        <v>60.47</v>
      </c>
      <c r="E47" s="443">
        <v>270</v>
      </c>
      <c r="F47" s="438">
        <f t="shared" si="0"/>
        <v>482.2872871556915</v>
      </c>
      <c r="G47" s="439">
        <f t="shared" si="4"/>
        <v>0.7862492116877462</v>
      </c>
      <c r="H47" s="439">
        <f t="shared" si="2"/>
        <v>0.7862492116877462</v>
      </c>
    </row>
    <row r="48" spans="3:29" x14ac:dyDescent="0.25">
      <c r="C48" s="440">
        <v>42614</v>
      </c>
      <c r="D48" s="441">
        <v>56.67</v>
      </c>
      <c r="E48" s="441">
        <v>267.22222222222223</v>
      </c>
      <c r="F48" s="435">
        <f t="shared" si="0"/>
        <v>477.43055403438785</v>
      </c>
      <c r="G48" s="436">
        <f t="shared" si="4"/>
        <v>0.78664240594989221</v>
      </c>
      <c r="H48" s="436">
        <f t="shared" si="2"/>
        <v>0.78664240594989221</v>
      </c>
    </row>
    <row r="49" spans="3:8" x14ac:dyDescent="0.25">
      <c r="C49" s="442">
        <v>42644</v>
      </c>
      <c r="D49" s="443">
        <v>57.96</v>
      </c>
      <c r="E49" s="443">
        <v>265.625</v>
      </c>
      <c r="F49" s="438">
        <f t="shared" si="0"/>
        <v>479.07928712030412</v>
      </c>
      <c r="G49" s="439">
        <f t="shared" si="4"/>
        <v>0.80359261033526264</v>
      </c>
      <c r="H49" s="439">
        <f t="shared" si="2"/>
        <v>0.80359261033526264</v>
      </c>
    </row>
    <row r="50" spans="3:8" x14ac:dyDescent="0.25">
      <c r="C50" s="440">
        <v>42675</v>
      </c>
      <c r="D50" s="441">
        <v>74.14</v>
      </c>
      <c r="E50" s="441">
        <v>304.375</v>
      </c>
      <c r="F50" s="435">
        <f t="shared" si="0"/>
        <v>499.75874551574975</v>
      </c>
      <c r="G50" s="436">
        <f t="shared" si="4"/>
        <v>0.64191784974373634</v>
      </c>
      <c r="H50" s="436">
        <f t="shared" si="2"/>
        <v>0.64191784974373634</v>
      </c>
    </row>
    <row r="51" spans="3:8" x14ac:dyDescent="0.25">
      <c r="C51" s="442">
        <v>42705</v>
      </c>
      <c r="D51" s="443">
        <v>79.430000000000007</v>
      </c>
      <c r="E51" s="443">
        <v>326</v>
      </c>
      <c r="F51" s="438">
        <f t="shared" si="0"/>
        <v>506.51982925566983</v>
      </c>
      <c r="G51" s="439">
        <f t="shared" si="4"/>
        <v>0.55374180753272961</v>
      </c>
      <c r="H51" s="439">
        <f t="shared" si="2"/>
        <v>0.55374180753272961</v>
      </c>
    </row>
    <row r="52" spans="3:8" x14ac:dyDescent="0.25">
      <c r="C52" s="440">
        <v>42736</v>
      </c>
      <c r="D52" s="441">
        <v>80.819999999999993</v>
      </c>
      <c r="E52" s="441">
        <v>335</v>
      </c>
      <c r="F52" s="435">
        <f t="shared" si="0"/>
        <v>508.29637110793618</v>
      </c>
      <c r="G52" s="436">
        <f t="shared" si="4"/>
        <v>0.51730260032219766</v>
      </c>
      <c r="H52" s="436">
        <f t="shared" si="2"/>
        <v>0.51730260032219766</v>
      </c>
    </row>
    <row r="53" spans="3:8" x14ac:dyDescent="0.25">
      <c r="C53" s="442">
        <v>42767</v>
      </c>
      <c r="D53" s="443">
        <v>88.8</v>
      </c>
      <c r="E53" s="443">
        <v>338.75</v>
      </c>
      <c r="F53" s="438">
        <f t="shared" si="0"/>
        <v>518.49551066267395</v>
      </c>
      <c r="G53" s="439">
        <f t="shared" si="4"/>
        <v>0.53061405361674963</v>
      </c>
      <c r="H53" s="439">
        <f t="shared" si="2"/>
        <v>0.53061405361674963</v>
      </c>
    </row>
    <row r="54" spans="3:8" x14ac:dyDescent="0.25">
      <c r="C54" s="440">
        <v>42795</v>
      </c>
      <c r="D54" s="441">
        <v>87.2</v>
      </c>
      <c r="E54" s="441">
        <v>380</v>
      </c>
      <c r="F54" s="435">
        <f t="shared" si="0"/>
        <v>516.45057040107235</v>
      </c>
      <c r="G54" s="436">
        <f t="shared" si="4"/>
        <v>0.35908044842387454</v>
      </c>
      <c r="H54" s="436">
        <f t="shared" si="2"/>
        <v>0.35908044842387454</v>
      </c>
    </row>
    <row r="55" spans="3:8" x14ac:dyDescent="0.25">
      <c r="C55" s="442">
        <v>42826</v>
      </c>
      <c r="D55" s="443">
        <v>70.94</v>
      </c>
      <c r="E55" s="443">
        <v>390</v>
      </c>
      <c r="F55" s="438">
        <f t="shared" si="0"/>
        <v>495.66886499254667</v>
      </c>
      <c r="G55" s="439">
        <f t="shared" si="4"/>
        <v>0.27094580767319654</v>
      </c>
      <c r="H55" s="439">
        <f t="shared" si="2"/>
        <v>0.27094580767319654</v>
      </c>
    </row>
    <row r="56" spans="3:8" x14ac:dyDescent="0.25">
      <c r="C56" s="440">
        <v>42856</v>
      </c>
      <c r="D56" s="441">
        <v>61.63</v>
      </c>
      <c r="E56" s="441">
        <v>381.875</v>
      </c>
      <c r="F56" s="435">
        <f t="shared" si="0"/>
        <v>483.76986884535268</v>
      </c>
      <c r="G56" s="436">
        <f t="shared" si="4"/>
        <v>0.26682780712367316</v>
      </c>
      <c r="H56" s="436">
        <f t="shared" si="2"/>
        <v>0.26682780712367316</v>
      </c>
    </row>
    <row r="57" spans="3:8" x14ac:dyDescent="0.25">
      <c r="C57" s="442">
        <v>42887</v>
      </c>
      <c r="D57" s="443">
        <v>57.86</v>
      </c>
      <c r="E57" s="443">
        <v>359.5</v>
      </c>
      <c r="F57" s="438">
        <f t="shared" si="0"/>
        <v>478.95147835395403</v>
      </c>
      <c r="G57" s="439">
        <f t="shared" si="4"/>
        <v>0.3322711498023756</v>
      </c>
      <c r="H57" s="439">
        <f t="shared" si="2"/>
        <v>0.3322711498023756</v>
      </c>
    </row>
    <row r="58" spans="3:8" x14ac:dyDescent="0.25">
      <c r="C58" s="440">
        <v>42917</v>
      </c>
      <c r="D58" s="441">
        <v>67.739999999999995</v>
      </c>
      <c r="E58" s="441">
        <v>361.875</v>
      </c>
      <c r="F58" s="435">
        <f t="shared" si="0"/>
        <v>491.57898446934354</v>
      </c>
      <c r="G58" s="436">
        <f t="shared" si="4"/>
        <v>0.35842206416398903</v>
      </c>
      <c r="H58" s="436">
        <f t="shared" si="2"/>
        <v>0.35842206416398903</v>
      </c>
    </row>
    <row r="59" spans="3:8" x14ac:dyDescent="0.25">
      <c r="C59" s="442">
        <v>42948</v>
      </c>
      <c r="D59" s="443">
        <v>76.069999999999993</v>
      </c>
      <c r="E59" s="443">
        <v>374.375</v>
      </c>
      <c r="F59" s="438">
        <f t="shared" si="0"/>
        <v>502.22545470630661</v>
      </c>
      <c r="G59" s="439">
        <f t="shared" si="4"/>
        <v>0.34150371874806429</v>
      </c>
      <c r="H59" s="439">
        <f t="shared" si="2"/>
        <v>0.34150371874806429</v>
      </c>
    </row>
    <row r="60" spans="3:8" x14ac:dyDescent="0.25">
      <c r="C60" s="440">
        <v>42979</v>
      </c>
      <c r="D60" s="441">
        <v>71.53</v>
      </c>
      <c r="E60" s="441">
        <v>388.5</v>
      </c>
      <c r="F60" s="435">
        <f t="shared" si="0"/>
        <v>496.42293671401222</v>
      </c>
      <c r="G60" s="436">
        <f t="shared" si="4"/>
        <v>0.27779391689578437</v>
      </c>
      <c r="H60" s="436">
        <f t="shared" si="2"/>
        <v>0.27779391689578437</v>
      </c>
    </row>
    <row r="61" spans="3:8" x14ac:dyDescent="0.25">
      <c r="C61" s="442">
        <v>43009</v>
      </c>
      <c r="D61" s="443">
        <v>61.66</v>
      </c>
      <c r="E61" s="443">
        <v>365.63</v>
      </c>
      <c r="F61" s="438">
        <f t="shared" si="0"/>
        <v>483.80821147525768</v>
      </c>
      <c r="G61" s="439">
        <f t="shared" si="4"/>
        <v>0.3232180386600052</v>
      </c>
      <c r="H61" s="439">
        <f t="shared" si="2"/>
        <v>0.3232180386600052</v>
      </c>
    </row>
    <row r="62" spans="3:8" x14ac:dyDescent="0.25">
      <c r="C62" s="440">
        <v>43040</v>
      </c>
      <c r="D62" s="441">
        <v>64.239999999999995</v>
      </c>
      <c r="E62" s="441">
        <v>363.13</v>
      </c>
      <c r="F62" s="435">
        <f t="shared" si="0"/>
        <v>487.10567764709015</v>
      </c>
      <c r="G62" s="436">
        <f t="shared" si="4"/>
        <v>0.34140852490042173</v>
      </c>
      <c r="H62" s="436">
        <f t="shared" si="2"/>
        <v>0.34140852490042173</v>
      </c>
    </row>
    <row r="63" spans="3:8" x14ac:dyDescent="0.25">
      <c r="C63" s="442">
        <v>43070</v>
      </c>
      <c r="D63" s="443">
        <v>72.25</v>
      </c>
      <c r="E63" s="443">
        <v>383</v>
      </c>
      <c r="F63" s="438">
        <f t="shared" si="0"/>
        <v>497.34315983173292</v>
      </c>
      <c r="G63" s="439">
        <f t="shared" si="4"/>
        <v>0.2985461092212347</v>
      </c>
      <c r="H63" s="439">
        <f t="shared" si="2"/>
        <v>0.2985461092212347</v>
      </c>
    </row>
    <row r="64" spans="3:8" x14ac:dyDescent="0.25">
      <c r="C64" s="440">
        <v>43101</v>
      </c>
      <c r="D64" s="441">
        <v>76.34</v>
      </c>
      <c r="E64" s="441">
        <v>402.5</v>
      </c>
      <c r="F64" s="435">
        <f t="shared" si="0"/>
        <v>502.57053837545186</v>
      </c>
      <c r="G64" s="436">
        <f t="shared" si="4"/>
        <v>0.24862245559118468</v>
      </c>
      <c r="H64" s="436">
        <f t="shared" si="2"/>
        <v>0.24862245559118468</v>
      </c>
    </row>
    <row r="65" spans="3:8" x14ac:dyDescent="0.25">
      <c r="C65" s="442">
        <v>43132</v>
      </c>
      <c r="D65" s="443">
        <v>75</v>
      </c>
      <c r="E65" s="443">
        <v>405</v>
      </c>
      <c r="F65" s="438">
        <f t="shared" si="0"/>
        <v>500.85790090636056</v>
      </c>
      <c r="G65" s="439">
        <f t="shared" si="4"/>
        <v>0.23668617507743339</v>
      </c>
      <c r="H65" s="439">
        <f t="shared" si="2"/>
        <v>0.23668617507743339</v>
      </c>
    </row>
    <row r="66" spans="3:8" x14ac:dyDescent="0.25">
      <c r="C66" s="440">
        <v>43160</v>
      </c>
      <c r="D66" s="441">
        <v>75</v>
      </c>
      <c r="E66" s="441">
        <v>400</v>
      </c>
      <c r="F66" s="435">
        <f t="shared" si="0"/>
        <v>500.85790090636056</v>
      </c>
      <c r="G66" s="436">
        <f t="shared" si="4"/>
        <v>0.2521447522659015</v>
      </c>
      <c r="H66" s="436">
        <f t="shared" si="2"/>
        <v>0.2521447522659015</v>
      </c>
    </row>
    <row r="67" spans="3:8" x14ac:dyDescent="0.25">
      <c r="C67" s="442">
        <v>43191</v>
      </c>
      <c r="D67" s="443">
        <v>64</v>
      </c>
      <c r="E67" s="443">
        <v>405</v>
      </c>
      <c r="F67" s="438">
        <f t="shared" si="0"/>
        <v>486.79893660784995</v>
      </c>
      <c r="G67" s="439">
        <f t="shared" si="4"/>
        <v>0.20197268298234561</v>
      </c>
      <c r="H67" s="439">
        <f t="shared" si="2"/>
        <v>0.20197268298234561</v>
      </c>
    </row>
    <row r="68" spans="3:8" x14ac:dyDescent="0.25">
      <c r="C68" s="440">
        <v>43221</v>
      </c>
      <c r="D68" s="441">
        <v>67</v>
      </c>
      <c r="E68" s="441">
        <v>400</v>
      </c>
      <c r="F68" s="435">
        <f t="shared" ref="F68:F115" si="5">D68*$M$4+$L$4</f>
        <v>490.6331995983528</v>
      </c>
      <c r="G68" s="436">
        <f t="shared" si="4"/>
        <v>0.22658299899588208</v>
      </c>
      <c r="H68" s="436">
        <f t="shared" ref="H68:H115" si="6">ABS(G68)</f>
        <v>0.22658299899588208</v>
      </c>
    </row>
    <row r="69" spans="3:8" x14ac:dyDescent="0.25">
      <c r="C69" s="442">
        <v>43252</v>
      </c>
      <c r="D69" s="443">
        <v>65</v>
      </c>
      <c r="E69" s="443">
        <v>400</v>
      </c>
      <c r="F69" s="438">
        <f t="shared" si="5"/>
        <v>488.07702427135092</v>
      </c>
      <c r="G69" s="439">
        <f t="shared" si="4"/>
        <v>0.22019256067837722</v>
      </c>
      <c r="H69" s="439">
        <f t="shared" si="6"/>
        <v>0.22019256067837722</v>
      </c>
    </row>
    <row r="70" spans="3:8" x14ac:dyDescent="0.25">
      <c r="C70" s="440">
        <v>43282</v>
      </c>
      <c r="D70" s="441">
        <v>63</v>
      </c>
      <c r="E70" s="441">
        <v>410</v>
      </c>
      <c r="F70" s="435">
        <f t="shared" si="5"/>
        <v>485.52084894434898</v>
      </c>
      <c r="G70" s="436">
        <f t="shared" si="4"/>
        <v>0.18419719254719258</v>
      </c>
      <c r="H70" s="436">
        <f t="shared" si="6"/>
        <v>0.18419719254719258</v>
      </c>
    </row>
    <row r="71" spans="3:8" x14ac:dyDescent="0.25">
      <c r="C71" s="442">
        <v>43313</v>
      </c>
      <c r="D71" s="443">
        <v>69</v>
      </c>
      <c r="E71" s="443">
        <v>410</v>
      </c>
      <c r="F71" s="438">
        <f t="shared" si="5"/>
        <v>493.18937492535474</v>
      </c>
      <c r="G71" s="439">
        <f t="shared" si="4"/>
        <v>0.2029009144520848</v>
      </c>
      <c r="H71" s="439">
        <f t="shared" si="6"/>
        <v>0.2029009144520848</v>
      </c>
    </row>
    <row r="72" spans="3:8" x14ac:dyDescent="0.25">
      <c r="C72" s="440">
        <v>43344</v>
      </c>
      <c r="D72" s="441">
        <v>68</v>
      </c>
      <c r="E72" s="441">
        <v>400</v>
      </c>
      <c r="F72" s="435">
        <f t="shared" si="5"/>
        <v>491.91128726185377</v>
      </c>
      <c r="G72" s="436">
        <f t="shared" si="4"/>
        <v>0.22977821815463439</v>
      </c>
      <c r="H72" s="436">
        <f t="shared" si="6"/>
        <v>0.22977821815463439</v>
      </c>
    </row>
    <row r="73" spans="3:8" x14ac:dyDescent="0.25">
      <c r="C73" s="442">
        <v>43374</v>
      </c>
      <c r="D73" s="443">
        <v>68</v>
      </c>
      <c r="E73" s="443">
        <v>400</v>
      </c>
      <c r="F73" s="438">
        <f t="shared" si="5"/>
        <v>491.91128726185377</v>
      </c>
      <c r="G73" s="439">
        <f t="shared" si="4"/>
        <v>0.22977821815463439</v>
      </c>
      <c r="H73" s="439">
        <f t="shared" si="6"/>
        <v>0.22977821815463439</v>
      </c>
    </row>
    <row r="74" spans="3:8" x14ac:dyDescent="0.25">
      <c r="C74" s="440">
        <v>43405</v>
      </c>
      <c r="D74" s="441">
        <v>74</v>
      </c>
      <c r="E74" s="441">
        <v>400</v>
      </c>
      <c r="F74" s="435">
        <f t="shared" si="5"/>
        <v>499.57981324285959</v>
      </c>
      <c r="G74" s="436">
        <f t="shared" si="4"/>
        <v>0.24894953310714896</v>
      </c>
      <c r="H74" s="436">
        <f t="shared" si="6"/>
        <v>0.24894953310714896</v>
      </c>
    </row>
    <row r="75" spans="3:8" x14ac:dyDescent="0.25">
      <c r="C75" s="442">
        <v>43435</v>
      </c>
      <c r="D75" s="443">
        <v>66</v>
      </c>
      <c r="E75" s="443">
        <v>400</v>
      </c>
      <c r="F75" s="438">
        <f t="shared" si="5"/>
        <v>489.35511193485189</v>
      </c>
      <c r="G75" s="439">
        <f t="shared" si="4"/>
        <v>0.22338777983712976</v>
      </c>
      <c r="H75" s="439">
        <f t="shared" si="6"/>
        <v>0.22338777983712976</v>
      </c>
    </row>
    <row r="76" spans="3:8" x14ac:dyDescent="0.25">
      <c r="C76" s="440">
        <v>43466</v>
      </c>
      <c r="D76" s="441">
        <v>74</v>
      </c>
      <c r="E76" s="606">
        <v>390</v>
      </c>
      <c r="F76" s="435">
        <f t="shared" si="5"/>
        <v>499.57981324285959</v>
      </c>
      <c r="G76" s="436">
        <f t="shared" si="4"/>
        <v>0.28097388010989643</v>
      </c>
      <c r="H76" s="436">
        <f t="shared" si="6"/>
        <v>0.28097388010989643</v>
      </c>
    </row>
    <row r="77" spans="3:8" x14ac:dyDescent="0.25">
      <c r="C77" s="442">
        <v>43497</v>
      </c>
      <c r="D77" s="443">
        <v>88</v>
      </c>
      <c r="E77" s="606">
        <v>390</v>
      </c>
      <c r="F77" s="438">
        <f t="shared" si="5"/>
        <v>517.47304053187315</v>
      </c>
      <c r="G77" s="439">
        <f t="shared" si="4"/>
        <v>0.32685395008172602</v>
      </c>
      <c r="H77" s="439">
        <f t="shared" si="6"/>
        <v>0.32685395008172602</v>
      </c>
    </row>
    <row r="78" spans="3:8" x14ac:dyDescent="0.25">
      <c r="C78" s="440">
        <v>43525</v>
      </c>
      <c r="D78" s="441">
        <v>98</v>
      </c>
      <c r="E78" s="606">
        <v>390</v>
      </c>
      <c r="F78" s="435">
        <f t="shared" si="5"/>
        <v>530.25391716688273</v>
      </c>
      <c r="G78" s="436">
        <f t="shared" si="4"/>
        <v>0.35962542863303271</v>
      </c>
      <c r="H78" s="436">
        <f t="shared" si="6"/>
        <v>0.35962542863303271</v>
      </c>
    </row>
    <row r="79" spans="3:8" x14ac:dyDescent="0.25">
      <c r="C79" s="442">
        <v>43556</v>
      </c>
      <c r="D79" s="443">
        <v>92</v>
      </c>
      <c r="E79" s="606">
        <v>380</v>
      </c>
      <c r="F79" s="438">
        <f t="shared" si="5"/>
        <v>522.58539118587703</v>
      </c>
      <c r="G79" s="439">
        <f t="shared" si="4"/>
        <v>0.37522471364704479</v>
      </c>
      <c r="H79" s="439">
        <f t="shared" si="6"/>
        <v>0.37522471364704479</v>
      </c>
    </row>
    <row r="80" spans="3:8" x14ac:dyDescent="0.25">
      <c r="C80" s="440">
        <v>43586</v>
      </c>
      <c r="D80" s="441">
        <v>94</v>
      </c>
      <c r="E80" s="606">
        <v>380</v>
      </c>
      <c r="F80" s="435">
        <f t="shared" si="5"/>
        <v>525.14156651287897</v>
      </c>
      <c r="G80" s="436">
        <f t="shared" si="4"/>
        <v>0.38195149082336566</v>
      </c>
      <c r="H80" s="436">
        <f t="shared" si="6"/>
        <v>0.38195149082336566</v>
      </c>
    </row>
    <row r="81" spans="3:8" x14ac:dyDescent="0.25">
      <c r="C81" s="442">
        <v>43617</v>
      </c>
      <c r="D81" s="443">
        <v>98</v>
      </c>
      <c r="E81" s="606">
        <v>380</v>
      </c>
      <c r="F81" s="438">
        <f t="shared" si="5"/>
        <v>530.25391716688273</v>
      </c>
      <c r="G81" s="439">
        <f t="shared" si="4"/>
        <v>0.39540504517600716</v>
      </c>
      <c r="H81" s="439">
        <f t="shared" si="6"/>
        <v>0.39540504517600716</v>
      </c>
    </row>
    <row r="82" spans="3:8" x14ac:dyDescent="0.25">
      <c r="C82" s="440">
        <v>43647</v>
      </c>
      <c r="D82" s="441">
        <v>119</v>
      </c>
      <c r="E82" s="606">
        <v>380</v>
      </c>
      <c r="F82" s="435">
        <f t="shared" si="5"/>
        <v>557.09375810040308</v>
      </c>
      <c r="G82" s="436">
        <f t="shared" si="4"/>
        <v>0.46603620552737657</v>
      </c>
      <c r="H82" s="436">
        <f t="shared" si="6"/>
        <v>0.46603620552737657</v>
      </c>
    </row>
    <row r="83" spans="3:8" x14ac:dyDescent="0.25">
      <c r="C83" s="442">
        <v>43678</v>
      </c>
      <c r="D83" s="443">
        <v>93</v>
      </c>
      <c r="E83" s="606">
        <v>380</v>
      </c>
      <c r="F83" s="438">
        <f t="shared" si="5"/>
        <v>523.863478849378</v>
      </c>
      <c r="G83" s="439">
        <f t="shared" si="4"/>
        <v>0.37858810223520534</v>
      </c>
      <c r="H83" s="439">
        <f t="shared" si="6"/>
        <v>0.37858810223520534</v>
      </c>
    </row>
    <row r="84" spans="3:8" x14ac:dyDescent="0.25">
      <c r="C84" s="440">
        <v>43709</v>
      </c>
      <c r="D84" s="441">
        <v>89</v>
      </c>
      <c r="E84" s="606">
        <v>380</v>
      </c>
      <c r="F84" s="435">
        <f t="shared" si="5"/>
        <v>518.75112819537412</v>
      </c>
      <c r="G84" s="436">
        <f t="shared" si="4"/>
        <v>0.36513454788256339</v>
      </c>
      <c r="H84" s="436">
        <f t="shared" si="6"/>
        <v>0.36513454788256339</v>
      </c>
    </row>
    <row r="85" spans="3:8" x14ac:dyDescent="0.25">
      <c r="C85" s="442">
        <v>43739</v>
      </c>
      <c r="D85" s="443">
        <v>93</v>
      </c>
      <c r="E85" s="606">
        <v>380</v>
      </c>
      <c r="F85" s="438">
        <f t="shared" si="5"/>
        <v>523.863478849378</v>
      </c>
      <c r="G85" s="439">
        <f t="shared" si="4"/>
        <v>0.37858810223520534</v>
      </c>
      <c r="H85" s="439">
        <f t="shared" si="6"/>
        <v>0.37858810223520534</v>
      </c>
    </row>
    <row r="86" spans="3:8" x14ac:dyDescent="0.25">
      <c r="C86" s="440">
        <v>43770</v>
      </c>
      <c r="D86" s="441">
        <v>80</v>
      </c>
      <c r="E86" s="606">
        <v>400</v>
      </c>
      <c r="F86" s="435">
        <f t="shared" si="5"/>
        <v>507.2483392238654</v>
      </c>
      <c r="G86" s="436">
        <f t="shared" si="4"/>
        <v>0.26812084805966352</v>
      </c>
      <c r="H86" s="436">
        <f t="shared" si="6"/>
        <v>0.26812084805966352</v>
      </c>
    </row>
    <row r="87" spans="3:8" x14ac:dyDescent="0.25">
      <c r="C87" s="442">
        <v>43800</v>
      </c>
      <c r="D87" s="443">
        <v>92</v>
      </c>
      <c r="E87" s="606">
        <v>420</v>
      </c>
      <c r="F87" s="438">
        <f t="shared" si="5"/>
        <v>522.58539118587703</v>
      </c>
      <c r="G87" s="439">
        <f t="shared" si="4"/>
        <v>0.24425093139494525</v>
      </c>
      <c r="H87" s="439">
        <f t="shared" si="6"/>
        <v>0.24425093139494525</v>
      </c>
    </row>
    <row r="88" spans="3:8" x14ac:dyDescent="0.25">
      <c r="C88" s="440">
        <v>43831</v>
      </c>
      <c r="D88" s="441">
        <v>94</v>
      </c>
      <c r="E88" s="606">
        <v>420</v>
      </c>
      <c r="F88" s="435">
        <f t="shared" si="5"/>
        <v>525.14156651287897</v>
      </c>
      <c r="G88" s="436">
        <f t="shared" si="4"/>
        <v>0.25033706312590231</v>
      </c>
      <c r="H88" s="436">
        <f t="shared" si="6"/>
        <v>0.25033706312590231</v>
      </c>
    </row>
    <row r="89" spans="3:8" x14ac:dyDescent="0.25">
      <c r="C89" s="442">
        <v>43862</v>
      </c>
      <c r="D89" s="443">
        <v>81</v>
      </c>
      <c r="E89" s="606">
        <v>420</v>
      </c>
      <c r="F89" s="438">
        <f t="shared" si="5"/>
        <v>508.52642688736637</v>
      </c>
      <c r="G89" s="439">
        <f t="shared" si="4"/>
        <v>0.21077720687468182</v>
      </c>
      <c r="H89" s="439">
        <f t="shared" si="6"/>
        <v>0.21077720687468182</v>
      </c>
    </row>
    <row r="90" spans="3:8" x14ac:dyDescent="0.25">
      <c r="C90" s="440">
        <v>43891</v>
      </c>
      <c r="D90" s="441">
        <v>89</v>
      </c>
      <c r="E90" s="606">
        <v>430</v>
      </c>
      <c r="F90" s="435">
        <f t="shared" si="5"/>
        <v>518.75112819537412</v>
      </c>
      <c r="G90" s="436">
        <f t="shared" si="4"/>
        <v>0.20639797254738168</v>
      </c>
      <c r="H90" s="436">
        <f t="shared" si="6"/>
        <v>0.20639797254738168</v>
      </c>
    </row>
    <row r="91" spans="3:8" x14ac:dyDescent="0.25">
      <c r="C91" s="442">
        <v>43922</v>
      </c>
      <c r="D91" s="443">
        <v>83</v>
      </c>
      <c r="E91" s="606">
        <v>430</v>
      </c>
      <c r="F91" s="438">
        <f t="shared" si="5"/>
        <v>511.08260221436831</v>
      </c>
      <c r="G91" s="439">
        <f t="shared" si="4"/>
        <v>0.18856419119620527</v>
      </c>
      <c r="H91" s="439">
        <f t="shared" si="6"/>
        <v>0.18856419119620527</v>
      </c>
    </row>
    <row r="92" spans="3:8" x14ac:dyDescent="0.25">
      <c r="C92" s="440">
        <v>43952</v>
      </c>
      <c r="D92" s="441">
        <v>87</v>
      </c>
      <c r="E92" s="606">
        <v>400</v>
      </c>
      <c r="F92" s="435">
        <f t="shared" si="5"/>
        <v>516.19495286837218</v>
      </c>
      <c r="G92" s="436">
        <f t="shared" si="4"/>
        <v>0.2904873821709304</v>
      </c>
      <c r="H92" s="436">
        <f t="shared" si="6"/>
        <v>0.2904873821709304</v>
      </c>
    </row>
    <row r="93" spans="3:8" x14ac:dyDescent="0.25">
      <c r="C93" s="442">
        <v>43983</v>
      </c>
      <c r="D93" s="443">
        <v>100</v>
      </c>
      <c r="E93" s="606">
        <v>420</v>
      </c>
      <c r="F93" s="438">
        <f t="shared" si="5"/>
        <v>532.81009249388467</v>
      </c>
      <c r="G93" s="439">
        <f t="shared" si="4"/>
        <v>0.26859545831877307</v>
      </c>
      <c r="H93" s="439">
        <f t="shared" si="6"/>
        <v>0.26859545831877307</v>
      </c>
    </row>
    <row r="94" spans="3:8" x14ac:dyDescent="0.25">
      <c r="C94" s="440">
        <v>44013</v>
      </c>
      <c r="D94" s="441">
        <v>103</v>
      </c>
      <c r="E94" s="606">
        <v>420</v>
      </c>
      <c r="F94" s="435">
        <f t="shared" si="5"/>
        <v>536.64435548438769</v>
      </c>
      <c r="G94" s="436">
        <f t="shared" si="4"/>
        <v>0.27772465591520867</v>
      </c>
      <c r="H94" s="436">
        <f t="shared" si="6"/>
        <v>0.27772465591520867</v>
      </c>
    </row>
    <row r="95" spans="3:8" x14ac:dyDescent="0.25">
      <c r="C95" s="442">
        <v>44044</v>
      </c>
      <c r="D95" s="443">
        <v>114</v>
      </c>
      <c r="E95" s="606">
        <v>440</v>
      </c>
      <c r="F95" s="438">
        <f t="shared" si="5"/>
        <v>550.70331978289823</v>
      </c>
      <c r="G95" s="439">
        <f t="shared" si="4"/>
        <v>0.25159845405204151</v>
      </c>
      <c r="H95" s="439">
        <f t="shared" si="6"/>
        <v>0.25159845405204151</v>
      </c>
    </row>
    <row r="96" spans="3:8" x14ac:dyDescent="0.25">
      <c r="C96" s="440">
        <v>44075</v>
      </c>
      <c r="D96" s="441">
        <v>123</v>
      </c>
      <c r="E96" s="606">
        <v>460</v>
      </c>
      <c r="F96" s="435">
        <f t="shared" si="5"/>
        <v>562.20610875440696</v>
      </c>
      <c r="G96" s="436">
        <f t="shared" si="4"/>
        <v>0.22218719294436284</v>
      </c>
      <c r="H96" s="436">
        <f t="shared" si="6"/>
        <v>0.22218719294436284</v>
      </c>
    </row>
    <row r="97" spans="3:8" x14ac:dyDescent="0.25">
      <c r="C97" s="442">
        <v>44105</v>
      </c>
      <c r="D97" s="443">
        <v>121</v>
      </c>
      <c r="E97" s="606">
        <v>500</v>
      </c>
      <c r="F97" s="438">
        <f t="shared" si="5"/>
        <v>559.64993342740502</v>
      </c>
      <c r="G97" s="439">
        <f t="shared" si="4"/>
        <v>0.11929986685480998</v>
      </c>
      <c r="H97" s="439">
        <f t="shared" si="6"/>
        <v>0.11929986685480998</v>
      </c>
    </row>
    <row r="98" spans="3:8" x14ac:dyDescent="0.25">
      <c r="C98" s="440">
        <v>44136</v>
      </c>
      <c r="D98" s="441">
        <v>117</v>
      </c>
      <c r="E98" s="606">
        <v>520</v>
      </c>
      <c r="F98" s="435">
        <f t="shared" si="5"/>
        <v>554.53758277340114</v>
      </c>
      <c r="G98" s="436">
        <f t="shared" si="4"/>
        <v>6.6418428410386809E-2</v>
      </c>
      <c r="H98" s="436">
        <f t="shared" si="6"/>
        <v>6.6418428410386809E-2</v>
      </c>
    </row>
    <row r="99" spans="3:8" x14ac:dyDescent="0.25">
      <c r="C99" s="442">
        <v>44166</v>
      </c>
      <c r="D99" s="443">
        <v>130</v>
      </c>
      <c r="E99" s="606">
        <v>560</v>
      </c>
      <c r="F99" s="438">
        <f t="shared" si="5"/>
        <v>571.15272239891374</v>
      </c>
      <c r="G99" s="439">
        <f t="shared" ref="G99:G115" si="7">F99/E99-1</f>
        <v>1.9915575712345923E-2</v>
      </c>
      <c r="H99" s="439">
        <f t="shared" si="6"/>
        <v>1.9915575712345923E-2</v>
      </c>
    </row>
    <row r="100" spans="3:8" x14ac:dyDescent="0.25">
      <c r="C100" s="440">
        <v>44197</v>
      </c>
      <c r="D100" s="441">
        <v>164</v>
      </c>
      <c r="E100" s="606">
        <v>540</v>
      </c>
      <c r="F100" s="435">
        <f t="shared" si="5"/>
        <v>614.60770295794657</v>
      </c>
      <c r="G100" s="436">
        <f t="shared" si="7"/>
        <v>0.13816241288508624</v>
      </c>
      <c r="H100" s="436">
        <f t="shared" si="6"/>
        <v>0.13816241288508624</v>
      </c>
    </row>
    <row r="101" spans="3:8" x14ac:dyDescent="0.25">
      <c r="C101" s="442">
        <v>44228</v>
      </c>
      <c r="D101" s="443">
        <v>154</v>
      </c>
      <c r="E101" s="606">
        <v>540</v>
      </c>
      <c r="F101" s="438">
        <f t="shared" si="5"/>
        <v>601.82682632293688</v>
      </c>
      <c r="G101" s="439">
        <f t="shared" si="7"/>
        <v>0.1144941228202534</v>
      </c>
      <c r="H101" s="439">
        <f t="shared" si="6"/>
        <v>0.1144941228202534</v>
      </c>
    </row>
    <row r="102" spans="3:8" x14ac:dyDescent="0.25">
      <c r="C102" s="440">
        <v>44256</v>
      </c>
      <c r="D102" s="441">
        <v>171</v>
      </c>
      <c r="E102" s="606">
        <v>540</v>
      </c>
      <c r="F102" s="435">
        <f t="shared" si="5"/>
        <v>623.55431660245335</v>
      </c>
      <c r="G102" s="436">
        <f t="shared" si="7"/>
        <v>0.15473021593046909</v>
      </c>
      <c r="H102" s="436">
        <f t="shared" si="6"/>
        <v>0.15473021593046909</v>
      </c>
    </row>
    <row r="103" spans="3:8" x14ac:dyDescent="0.25">
      <c r="C103" s="440">
        <v>44287</v>
      </c>
      <c r="D103" s="441">
        <v>163</v>
      </c>
      <c r="E103" s="606">
        <v>540</v>
      </c>
      <c r="F103" s="435">
        <f t="shared" si="5"/>
        <v>613.3296152944456</v>
      </c>
      <c r="G103" s="436">
        <f t="shared" si="7"/>
        <v>0.13579558387860291</v>
      </c>
      <c r="H103" s="436">
        <f t="shared" si="6"/>
        <v>0.13579558387860291</v>
      </c>
    </row>
    <row r="104" spans="3:8" x14ac:dyDescent="0.25">
      <c r="C104" s="442">
        <v>44317</v>
      </c>
      <c r="D104" s="443">
        <v>185</v>
      </c>
      <c r="E104" s="606">
        <v>540</v>
      </c>
      <c r="F104" s="438">
        <f t="shared" si="5"/>
        <v>641.44754389146681</v>
      </c>
      <c r="G104" s="439">
        <f t="shared" si="7"/>
        <v>0.18786582202123481</v>
      </c>
      <c r="H104" s="439">
        <f t="shared" si="6"/>
        <v>0.18786582202123481</v>
      </c>
    </row>
    <row r="105" spans="3:8" x14ac:dyDescent="0.25">
      <c r="C105" s="440">
        <v>44348</v>
      </c>
      <c r="D105" s="441">
        <v>204</v>
      </c>
      <c r="E105" s="606">
        <v>540</v>
      </c>
      <c r="F105" s="435">
        <f t="shared" si="5"/>
        <v>665.73120949798522</v>
      </c>
      <c r="G105" s="436">
        <f t="shared" si="7"/>
        <v>0.23283557314441716</v>
      </c>
      <c r="H105" s="436">
        <f t="shared" si="6"/>
        <v>0.23283557314441716</v>
      </c>
    </row>
    <row r="106" spans="3:8" x14ac:dyDescent="0.25">
      <c r="C106" s="442">
        <v>44378</v>
      </c>
      <c r="D106" s="443">
        <v>213</v>
      </c>
      <c r="E106" s="606">
        <v>550</v>
      </c>
      <c r="F106" s="438">
        <f t="shared" si="5"/>
        <v>677.23399846949383</v>
      </c>
      <c r="G106" s="439">
        <f t="shared" si="7"/>
        <v>0.23133454267180698</v>
      </c>
      <c r="H106" s="439">
        <f t="shared" si="6"/>
        <v>0.23133454267180698</v>
      </c>
    </row>
    <row r="107" spans="3:8" x14ac:dyDescent="0.25">
      <c r="C107" s="440">
        <v>44409</v>
      </c>
      <c r="D107" s="441">
        <v>181</v>
      </c>
      <c r="E107" s="606">
        <v>580</v>
      </c>
      <c r="F107" s="435">
        <f t="shared" si="5"/>
        <v>636.33519323746305</v>
      </c>
      <c r="G107" s="436">
        <f t="shared" si="7"/>
        <v>9.7129643512867236E-2</v>
      </c>
      <c r="H107" s="436">
        <f t="shared" si="6"/>
        <v>9.7129643512867236E-2</v>
      </c>
    </row>
    <row r="108" spans="3:8" x14ac:dyDescent="0.25">
      <c r="C108" s="442">
        <v>44440</v>
      </c>
      <c r="D108" s="443">
        <v>143</v>
      </c>
      <c r="E108" s="606">
        <v>565</v>
      </c>
      <c r="F108" s="438">
        <f t="shared" si="5"/>
        <v>587.76786202442622</v>
      </c>
      <c r="G108" s="439">
        <f t="shared" si="7"/>
        <v>4.0297100928188057E-2</v>
      </c>
      <c r="H108" s="439">
        <f t="shared" si="6"/>
        <v>4.0297100928188057E-2</v>
      </c>
    </row>
    <row r="109" spans="3:8" x14ac:dyDescent="0.25">
      <c r="C109" s="440">
        <v>44470</v>
      </c>
      <c r="D109" s="441">
        <v>115</v>
      </c>
      <c r="E109" s="606">
        <v>540</v>
      </c>
      <c r="F109" s="435">
        <f t="shared" si="5"/>
        <v>551.9814074463992</v>
      </c>
      <c r="G109" s="436">
        <f t="shared" si="7"/>
        <v>2.2187791567406023E-2</v>
      </c>
      <c r="H109" s="436">
        <f t="shared" si="6"/>
        <v>2.2187791567406023E-2</v>
      </c>
    </row>
    <row r="110" spans="3:8" x14ac:dyDescent="0.25">
      <c r="C110" s="442">
        <v>44501</v>
      </c>
      <c r="D110" s="443">
        <v>99</v>
      </c>
      <c r="E110" s="606">
        <v>670</v>
      </c>
      <c r="F110" s="438">
        <f t="shared" si="5"/>
        <v>531.53200483038381</v>
      </c>
      <c r="G110" s="439">
        <f t="shared" si="7"/>
        <v>-0.20666864950688979</v>
      </c>
      <c r="H110" s="439">
        <f t="shared" si="6"/>
        <v>0.20666864950688979</v>
      </c>
    </row>
    <row r="111" spans="3:8" x14ac:dyDescent="0.25">
      <c r="C111" s="442">
        <v>44531</v>
      </c>
      <c r="D111" s="443">
        <v>103</v>
      </c>
      <c r="E111" s="606">
        <v>750</v>
      </c>
      <c r="F111" s="438">
        <f t="shared" si="5"/>
        <v>536.64435548438769</v>
      </c>
      <c r="G111" s="439">
        <f t="shared" si="7"/>
        <v>-0.28447419268748309</v>
      </c>
      <c r="H111" s="439">
        <f t="shared" si="6"/>
        <v>0.28447419268748309</v>
      </c>
    </row>
    <row r="112" spans="3:8" x14ac:dyDescent="0.25">
      <c r="C112" s="442">
        <v>44562</v>
      </c>
      <c r="D112" s="443">
        <v>124</v>
      </c>
      <c r="E112" s="606">
        <v>825</v>
      </c>
      <c r="F112" s="438">
        <f t="shared" si="5"/>
        <v>563.48419641790792</v>
      </c>
      <c r="G112" s="439">
        <f t="shared" si="7"/>
        <v>-0.31698885282677824</v>
      </c>
      <c r="H112" s="439">
        <f t="shared" si="6"/>
        <v>0.31698885282677824</v>
      </c>
    </row>
    <row r="113" spans="3:8" x14ac:dyDescent="0.25">
      <c r="C113" s="440">
        <v>44593</v>
      </c>
      <c r="D113" s="441">
        <v>145</v>
      </c>
      <c r="E113" s="606">
        <v>771</v>
      </c>
      <c r="F113" s="435">
        <f t="shared" si="5"/>
        <v>590.32403735142816</v>
      </c>
      <c r="G113" s="436">
        <f t="shared" si="7"/>
        <v>-0.23433976997220729</v>
      </c>
      <c r="H113" s="436">
        <f t="shared" si="6"/>
        <v>0.23433976997220729</v>
      </c>
    </row>
    <row r="114" spans="3:8" x14ac:dyDescent="0.25">
      <c r="C114" s="440">
        <v>44621</v>
      </c>
      <c r="D114" s="441">
        <v>151</v>
      </c>
      <c r="E114" s="606">
        <v>650</v>
      </c>
      <c r="F114" s="435">
        <f t="shared" si="5"/>
        <v>597.99256333243397</v>
      </c>
      <c r="G114" s="436">
        <f t="shared" si="7"/>
        <v>-8.0011441027024621E-2</v>
      </c>
      <c r="H114" s="436">
        <f t="shared" si="6"/>
        <v>8.0011441027024621E-2</v>
      </c>
    </row>
    <row r="115" spans="3:8" x14ac:dyDescent="0.25">
      <c r="C115" s="440">
        <v>44652</v>
      </c>
      <c r="D115" s="441">
        <v>160</v>
      </c>
      <c r="E115" s="606">
        <v>980</v>
      </c>
      <c r="F115" s="435">
        <f t="shared" si="5"/>
        <v>609.4953523039427</v>
      </c>
      <c r="G115" s="436">
        <f t="shared" si="7"/>
        <v>-0.37806596703679318</v>
      </c>
      <c r="H115" s="436">
        <f t="shared" si="6"/>
        <v>0.37806596703679318</v>
      </c>
    </row>
    <row r="116" spans="3:8" x14ac:dyDescent="0.25">
      <c r="C116" s="440">
        <v>44682</v>
      </c>
      <c r="D116" s="441">
        <v>136</v>
      </c>
      <c r="E116" s="606">
        <v>940</v>
      </c>
      <c r="F116" s="435">
        <f>D116*$M$4+$L$4</f>
        <v>578.82124837991955</v>
      </c>
      <c r="G116" s="436">
        <f>F116/E116-1</f>
        <v>-0.38423271448944729</v>
      </c>
      <c r="H116" s="436">
        <f>ABS(G116)</f>
        <v>0.38423271448944729</v>
      </c>
    </row>
    <row r="117" spans="3:8" x14ac:dyDescent="0.25">
      <c r="C117" s="440">
        <v>44713</v>
      </c>
      <c r="D117" s="441">
        <v>142</v>
      </c>
      <c r="E117" s="606">
        <v>775</v>
      </c>
      <c r="F117" s="435">
        <f>D117*$M$4+$L$4</f>
        <v>586.48977436092537</v>
      </c>
      <c r="G117" s="436">
        <f>F117/E117-1</f>
        <v>-0.24323900082461247</v>
      </c>
      <c r="H117" s="436">
        <f>ABS(G117)</f>
        <v>0.24323900082461247</v>
      </c>
    </row>
    <row r="120" spans="3:8" x14ac:dyDescent="0.25">
      <c r="C120" t="s">
        <v>659</v>
      </c>
      <c r="D120" s="423">
        <f>AVERAGE(D88:D117)</f>
        <v>133.16666666666666</v>
      </c>
      <c r="E120" s="423">
        <f>AVERAGE(E88:E117)</f>
        <v>575.20000000000005</v>
      </c>
      <c r="F120" s="423">
        <f>AVERAGE(F88:F117)</f>
        <v>575.20000000000016</v>
      </c>
      <c r="G120" s="132">
        <f>AVERAGE(G88:G117)</f>
        <v>5.3303855637070852E-2</v>
      </c>
      <c r="H120" s="132">
        <f>AVERAGE(H88:H117)</f>
        <v>0.19517189486181991</v>
      </c>
    </row>
    <row r="121" spans="3:8" x14ac:dyDescent="0.25">
      <c r="C121" t="s">
        <v>778</v>
      </c>
      <c r="D121" s="423">
        <f>MEDIAN(D88:D117)</f>
        <v>127</v>
      </c>
      <c r="E121" s="423">
        <f>MEDIAN(E88:E117)</f>
        <v>540</v>
      </c>
      <c r="F121" s="423">
        <f>MEDIAN(F88:F117)</f>
        <v>567.31845940841083</v>
      </c>
      <c r="G121" s="132">
        <f>MEDIAN(G88:G117)</f>
        <v>0.12754772536670644</v>
      </c>
      <c r="H121" s="132">
        <f>MEDIAN(H88:H117)</f>
        <v>0.20872292819078581</v>
      </c>
    </row>
    <row r="122" spans="3:8" x14ac:dyDescent="0.25">
      <c r="C122" t="s">
        <v>779</v>
      </c>
      <c r="D122" s="423">
        <f>STDEV(D88:D117)</f>
        <v>36.045070764763111</v>
      </c>
      <c r="E122" s="423">
        <f>STDEV(E88:E117)</f>
        <v>155.57067359486055</v>
      </c>
      <c r="F122" s="423">
        <f>STDEV(F88:F117)</f>
        <v>46.068760274463081</v>
      </c>
      <c r="G122" s="132">
        <f>STDEV(G88:G117)</f>
        <v>0.21413031226028789</v>
      </c>
      <c r="H122" s="132">
        <f>STDEV(G88:H117)</f>
        <v>0.17963139939278408</v>
      </c>
    </row>
    <row r="123" spans="3:8" x14ac:dyDescent="0.25">
      <c r="E123" s="423"/>
    </row>
    <row r="124" spans="3:8" x14ac:dyDescent="0.25">
      <c r="D124" s="607" t="s">
        <v>971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76E8-4090-467A-B0F0-477E14AE573C}">
  <dimension ref="A1"/>
  <sheetViews>
    <sheetView workbookViewId="0">
      <selection activeCell="A4" sqref="A4"/>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K1888"/>
  <sheetViews>
    <sheetView zoomScale="85" zoomScaleNormal="85" zoomScalePageLayoutView="85" workbookViewId="0">
      <pane xSplit="7" ySplit="3" topLeftCell="K4" activePane="bottomRight" state="frozen"/>
      <selection pane="topRight" activeCell="H1" sqref="H1"/>
      <selection pane="bottomLeft" activeCell="A4" sqref="A4"/>
      <selection pane="bottomRight" activeCell="E11" sqref="E11"/>
    </sheetView>
  </sheetViews>
  <sheetFormatPr defaultColWidth="0" defaultRowHeight="12.75" x14ac:dyDescent="0.2"/>
  <cols>
    <col min="1" max="1" width="1.7109375" style="1" customWidth="1"/>
    <col min="2" max="2" width="8.7109375" style="1" customWidth="1"/>
    <col min="3" max="3" width="59.42578125" style="1" customWidth="1"/>
    <col min="4" max="5" width="13" style="1" customWidth="1"/>
    <col min="6" max="6" width="8.7109375" style="1" customWidth="1"/>
    <col min="7" max="7" width="9.7109375" style="1" bestFit="1" customWidth="1"/>
    <col min="8" max="31" width="12.42578125" style="1" customWidth="1"/>
    <col min="32" max="32" width="8.7109375" style="5" customWidth="1"/>
    <col min="33" max="36" width="8.7109375" style="1" customWidth="1"/>
    <col min="37" max="16384" width="8.7109375" style="1" hidden="1"/>
  </cols>
  <sheetData>
    <row r="1" spans="2:31" x14ac:dyDescent="0.2">
      <c r="E1" s="2"/>
      <c r="I1" s="457">
        <v>1</v>
      </c>
      <c r="J1" s="457">
        <f>I1+1</f>
        <v>2</v>
      </c>
      <c r="K1" s="457">
        <f>J1+1</f>
        <v>3</v>
      </c>
      <c r="L1" s="457">
        <f t="shared" ref="L1:AE1" si="0">K1+1</f>
        <v>4</v>
      </c>
      <c r="M1" s="457">
        <f t="shared" si="0"/>
        <v>5</v>
      </c>
      <c r="N1" s="457">
        <f t="shared" si="0"/>
        <v>6</v>
      </c>
      <c r="O1" s="457">
        <f t="shared" si="0"/>
        <v>7</v>
      </c>
      <c r="P1" s="457">
        <f t="shared" si="0"/>
        <v>8</v>
      </c>
      <c r="Q1" s="457">
        <f t="shared" si="0"/>
        <v>9</v>
      </c>
      <c r="R1" s="457">
        <f t="shared" si="0"/>
        <v>10</v>
      </c>
      <c r="S1" s="457">
        <f t="shared" si="0"/>
        <v>11</v>
      </c>
      <c r="T1" s="457">
        <f t="shared" si="0"/>
        <v>12</v>
      </c>
      <c r="U1" s="457">
        <f t="shared" si="0"/>
        <v>13</v>
      </c>
      <c r="V1" s="457">
        <f t="shared" si="0"/>
        <v>14</v>
      </c>
      <c r="W1" s="457">
        <f t="shared" si="0"/>
        <v>15</v>
      </c>
      <c r="X1" s="457">
        <f t="shared" si="0"/>
        <v>16</v>
      </c>
      <c r="Y1" s="457">
        <f t="shared" si="0"/>
        <v>17</v>
      </c>
      <c r="Z1" s="457">
        <f t="shared" si="0"/>
        <v>18</v>
      </c>
      <c r="AA1" s="457">
        <f t="shared" si="0"/>
        <v>19</v>
      </c>
      <c r="AB1" s="457">
        <f t="shared" si="0"/>
        <v>20</v>
      </c>
      <c r="AC1" s="457">
        <f t="shared" si="0"/>
        <v>21</v>
      </c>
      <c r="AD1" s="457">
        <f t="shared" si="0"/>
        <v>22</v>
      </c>
      <c r="AE1" s="457">
        <f t="shared" si="0"/>
        <v>23</v>
      </c>
    </row>
    <row r="2" spans="2:31" x14ac:dyDescent="0.2">
      <c r="E2" s="2"/>
      <c r="F2" s="3" t="s">
        <v>0</v>
      </c>
      <c r="G2" s="3" t="s">
        <v>1</v>
      </c>
      <c r="H2" s="3"/>
      <c r="I2" s="4">
        <f>J2-1</f>
        <v>-2</v>
      </c>
      <c r="J2" s="4">
        <f>K2-1</f>
        <v>-1</v>
      </c>
      <c r="K2" s="4">
        <v>0</v>
      </c>
      <c r="L2" s="4">
        <f>K2+1</f>
        <v>1</v>
      </c>
      <c r="M2" s="4">
        <f t="shared" ref="M2:AE3" si="1">L2+1</f>
        <v>2</v>
      </c>
      <c r="N2" s="4">
        <f t="shared" si="1"/>
        <v>3</v>
      </c>
      <c r="O2" s="4">
        <f t="shared" si="1"/>
        <v>4</v>
      </c>
      <c r="P2" s="4">
        <f t="shared" si="1"/>
        <v>5</v>
      </c>
      <c r="Q2" s="4">
        <f t="shared" si="1"/>
        <v>6</v>
      </c>
      <c r="R2" s="4">
        <f t="shared" si="1"/>
        <v>7</v>
      </c>
      <c r="S2" s="4">
        <f t="shared" si="1"/>
        <v>8</v>
      </c>
      <c r="T2" s="4">
        <f t="shared" si="1"/>
        <v>9</v>
      </c>
      <c r="U2" s="4">
        <f t="shared" si="1"/>
        <v>10</v>
      </c>
      <c r="V2" s="4">
        <f t="shared" si="1"/>
        <v>11</v>
      </c>
      <c r="W2" s="4">
        <f t="shared" si="1"/>
        <v>12</v>
      </c>
      <c r="X2" s="4">
        <f t="shared" si="1"/>
        <v>13</v>
      </c>
      <c r="Y2" s="4">
        <f t="shared" si="1"/>
        <v>14</v>
      </c>
      <c r="Z2" s="4">
        <f t="shared" si="1"/>
        <v>15</v>
      </c>
      <c r="AA2" s="4">
        <f t="shared" si="1"/>
        <v>16</v>
      </c>
      <c r="AB2" s="4">
        <f t="shared" si="1"/>
        <v>17</v>
      </c>
      <c r="AC2" s="4">
        <f t="shared" si="1"/>
        <v>18</v>
      </c>
      <c r="AD2" s="4">
        <f t="shared" si="1"/>
        <v>19</v>
      </c>
      <c r="AE2" s="4">
        <f t="shared" si="1"/>
        <v>20</v>
      </c>
    </row>
    <row r="3" spans="2:31" x14ac:dyDescent="0.2">
      <c r="E3" s="2"/>
      <c r="I3" s="1">
        <v>2022</v>
      </c>
      <c r="J3" s="1">
        <f>I3+1</f>
        <v>2023</v>
      </c>
      <c r="K3" s="1">
        <f>J3+1</f>
        <v>2024</v>
      </c>
      <c r="L3" s="1">
        <f>K3+1</f>
        <v>2025</v>
      </c>
      <c r="M3" s="1">
        <f t="shared" si="1"/>
        <v>2026</v>
      </c>
      <c r="N3" s="1">
        <f t="shared" si="1"/>
        <v>2027</v>
      </c>
      <c r="O3" s="1">
        <f t="shared" si="1"/>
        <v>2028</v>
      </c>
      <c r="P3" s="1">
        <f t="shared" si="1"/>
        <v>2029</v>
      </c>
      <c r="Q3" s="1">
        <f t="shared" si="1"/>
        <v>2030</v>
      </c>
      <c r="R3" s="1">
        <f t="shared" si="1"/>
        <v>2031</v>
      </c>
      <c r="S3" s="1">
        <f t="shared" si="1"/>
        <v>2032</v>
      </c>
      <c r="T3" s="1">
        <f t="shared" si="1"/>
        <v>2033</v>
      </c>
      <c r="U3" s="1">
        <f t="shared" si="1"/>
        <v>2034</v>
      </c>
      <c r="V3" s="1">
        <f t="shared" si="1"/>
        <v>2035</v>
      </c>
      <c r="W3" s="1">
        <f t="shared" si="1"/>
        <v>2036</v>
      </c>
      <c r="X3" s="1">
        <f t="shared" si="1"/>
        <v>2037</v>
      </c>
      <c r="Y3" s="1">
        <f t="shared" si="1"/>
        <v>2038</v>
      </c>
      <c r="Z3" s="1">
        <f t="shared" si="1"/>
        <v>2039</v>
      </c>
      <c r="AA3" s="1">
        <f t="shared" si="1"/>
        <v>2040</v>
      </c>
      <c r="AB3" s="1">
        <f t="shared" si="1"/>
        <v>2041</v>
      </c>
      <c r="AC3" s="1">
        <f t="shared" si="1"/>
        <v>2042</v>
      </c>
      <c r="AD3" s="1">
        <f t="shared" si="1"/>
        <v>2043</v>
      </c>
      <c r="AE3" s="1">
        <f t="shared" si="1"/>
        <v>2044</v>
      </c>
    </row>
    <row r="4" spans="2:31" x14ac:dyDescent="0.2">
      <c r="B4" s="6"/>
      <c r="C4" s="6"/>
      <c r="D4" s="6"/>
      <c r="E4" s="7"/>
      <c r="F4" s="6"/>
      <c r="G4" s="6"/>
      <c r="H4" s="6"/>
      <c r="I4" s="6"/>
      <c r="J4" s="6"/>
      <c r="K4" s="6"/>
      <c r="L4" s="6"/>
      <c r="M4" s="6"/>
      <c r="N4" s="6"/>
      <c r="O4" s="6"/>
      <c r="P4" s="6"/>
      <c r="Q4" s="6"/>
      <c r="R4" s="6"/>
      <c r="S4" s="6"/>
      <c r="T4" s="6"/>
      <c r="U4" s="6"/>
      <c r="V4" s="6"/>
      <c r="W4" s="6"/>
      <c r="X4" s="6"/>
      <c r="Y4" s="6"/>
      <c r="Z4" s="6"/>
      <c r="AA4" s="6"/>
      <c r="AB4" s="6"/>
      <c r="AC4" s="6"/>
      <c r="AD4" s="6"/>
      <c r="AE4" s="6"/>
    </row>
    <row r="5" spans="2:31" x14ac:dyDescent="0.2">
      <c r="E5" s="2"/>
    </row>
    <row r="6" spans="2:31" x14ac:dyDescent="0.2">
      <c r="B6" s="8">
        <v>1</v>
      </c>
      <c r="C6" s="9" t="s">
        <v>2</v>
      </c>
      <c r="D6" s="9"/>
      <c r="E6" s="2"/>
      <c r="L6" s="12"/>
      <c r="M6" s="12"/>
      <c r="N6" s="12"/>
      <c r="O6" s="12"/>
      <c r="P6" s="12"/>
      <c r="Q6" s="12"/>
      <c r="R6" s="12"/>
      <c r="S6" s="12"/>
      <c r="T6" s="12"/>
      <c r="U6" s="12"/>
      <c r="V6" s="12"/>
      <c r="W6" s="12"/>
      <c r="X6" s="12"/>
      <c r="Y6" s="12"/>
      <c r="Z6" s="12"/>
      <c r="AA6" s="12"/>
      <c r="AB6" s="12"/>
      <c r="AC6" s="12"/>
      <c r="AD6" s="12"/>
      <c r="AE6" s="12"/>
    </row>
    <row r="7" spans="2:31" x14ac:dyDescent="0.2">
      <c r="E7" s="2"/>
      <c r="L7" s="12"/>
      <c r="M7" s="12"/>
      <c r="N7" s="12"/>
      <c r="O7" s="12"/>
      <c r="P7" s="12"/>
      <c r="Q7" s="12"/>
      <c r="R7" s="12"/>
      <c r="S7" s="12"/>
      <c r="T7" s="12"/>
      <c r="U7" s="12"/>
      <c r="V7" s="12"/>
      <c r="W7" s="12"/>
      <c r="X7" s="12"/>
      <c r="Y7" s="12"/>
      <c r="Z7" s="12"/>
      <c r="AA7" s="12"/>
      <c r="AB7" s="12"/>
      <c r="AC7" s="12"/>
      <c r="AD7" s="12"/>
      <c r="AE7" s="12"/>
    </row>
    <row r="8" spans="2:31" x14ac:dyDescent="0.2">
      <c r="B8" s="10">
        <f>B6+0.1</f>
        <v>1.1000000000000001</v>
      </c>
      <c r="C8" s="9" t="s">
        <v>525</v>
      </c>
      <c r="E8" s="2"/>
      <c r="L8" s="12"/>
      <c r="M8" s="12"/>
      <c r="N8" s="12"/>
      <c r="O8" s="12"/>
      <c r="P8" s="12"/>
      <c r="Q8" s="12"/>
      <c r="R8" s="12"/>
      <c r="S8" s="12"/>
      <c r="T8" s="12"/>
      <c r="U8" s="12"/>
      <c r="V8" s="12"/>
      <c r="W8" s="12"/>
      <c r="X8" s="12"/>
      <c r="Y8" s="12"/>
      <c r="Z8" s="12"/>
      <c r="AA8" s="12"/>
      <c r="AB8" s="12"/>
      <c r="AC8" s="12"/>
      <c r="AD8" s="12"/>
      <c r="AE8" s="12"/>
    </row>
    <row r="9" spans="2:31" x14ac:dyDescent="0.2">
      <c r="B9" s="10"/>
      <c r="C9" s="9"/>
      <c r="E9" s="2"/>
      <c r="L9" s="12"/>
      <c r="M9" s="12"/>
      <c r="N9" s="12"/>
      <c r="O9" s="12"/>
      <c r="P9" s="12"/>
      <c r="Q9" s="12"/>
      <c r="R9" s="12"/>
      <c r="S9" s="12"/>
      <c r="T9" s="12"/>
      <c r="U9" s="12"/>
      <c r="V9" s="12"/>
      <c r="W9" s="12"/>
      <c r="X9" s="12"/>
      <c r="Y9" s="12"/>
      <c r="Z9" s="12"/>
      <c r="AA9" s="12"/>
      <c r="AB9" s="12"/>
      <c r="AC9" s="12"/>
      <c r="AD9" s="12"/>
      <c r="AE9" s="12"/>
    </row>
    <row r="10" spans="2:31" x14ac:dyDescent="0.2">
      <c r="B10" s="10"/>
      <c r="C10" s="1" t="s">
        <v>703</v>
      </c>
      <c r="E10" s="76">
        <v>0</v>
      </c>
      <c r="F10" s="1" t="s">
        <v>249</v>
      </c>
      <c r="L10" s="12"/>
      <c r="M10" s="12"/>
      <c r="N10" s="12"/>
      <c r="O10" s="12"/>
      <c r="P10" s="12"/>
      <c r="Q10" s="12"/>
      <c r="R10" s="12"/>
      <c r="S10" s="12"/>
      <c r="T10" s="12"/>
      <c r="U10" s="12"/>
      <c r="V10" s="12"/>
      <c r="W10" s="12"/>
      <c r="X10" s="12"/>
      <c r="Y10" s="12"/>
      <c r="Z10" s="12"/>
      <c r="AA10" s="12"/>
      <c r="AB10" s="12"/>
      <c r="AC10" s="12"/>
      <c r="AD10" s="12"/>
      <c r="AE10" s="12"/>
    </row>
    <row r="11" spans="2:31" x14ac:dyDescent="0.2">
      <c r="B11" s="10"/>
      <c r="E11" s="2"/>
      <c r="L11" s="12"/>
      <c r="M11" s="12"/>
      <c r="N11" s="12"/>
      <c r="O11" s="12"/>
      <c r="P11" s="12"/>
      <c r="Q11" s="12"/>
      <c r="R11" s="12"/>
      <c r="S11" s="12"/>
      <c r="T11" s="12"/>
      <c r="U11" s="12"/>
      <c r="V11" s="12"/>
      <c r="W11" s="12"/>
      <c r="X11" s="12"/>
      <c r="Y11" s="12"/>
      <c r="Z11" s="12"/>
      <c r="AA11" s="12"/>
      <c r="AB11" s="12"/>
      <c r="AC11" s="12"/>
      <c r="AD11" s="12"/>
      <c r="AE11" s="12"/>
    </row>
    <row r="12" spans="2:31" x14ac:dyDescent="0.2">
      <c r="B12" s="10">
        <f>B8+0.1</f>
        <v>1.2000000000000002</v>
      </c>
      <c r="C12" s="9" t="s">
        <v>324</v>
      </c>
      <c r="E12" s="2"/>
      <c r="L12" s="12"/>
      <c r="M12" s="12"/>
      <c r="N12" s="12"/>
      <c r="O12" s="12"/>
      <c r="P12" s="12"/>
      <c r="Q12" s="12"/>
      <c r="R12" s="12"/>
      <c r="S12" s="12"/>
      <c r="T12" s="12"/>
      <c r="U12" s="12"/>
      <c r="V12" s="12"/>
      <c r="W12" s="12"/>
      <c r="X12" s="12"/>
      <c r="Y12" s="12"/>
      <c r="Z12" s="12"/>
      <c r="AA12" s="12"/>
      <c r="AB12" s="12"/>
      <c r="AC12" s="12"/>
      <c r="AD12" s="12"/>
      <c r="AE12" s="12"/>
    </row>
    <row r="13" spans="2:31" x14ac:dyDescent="0.2">
      <c r="B13" s="10"/>
      <c r="C13" s="9"/>
      <c r="L13" s="12"/>
      <c r="M13" s="12"/>
      <c r="N13" s="12"/>
      <c r="O13" s="12"/>
      <c r="P13" s="12"/>
      <c r="Q13" s="12"/>
      <c r="R13" s="12"/>
      <c r="S13" s="12"/>
      <c r="T13" s="12"/>
      <c r="U13" s="12"/>
      <c r="V13" s="12"/>
      <c r="W13" s="12"/>
      <c r="X13" s="12"/>
      <c r="Y13" s="12"/>
      <c r="Z13" s="12"/>
      <c r="AA13" s="12"/>
      <c r="AB13" s="12"/>
      <c r="AC13" s="12"/>
      <c r="AD13" s="12"/>
      <c r="AE13" s="12"/>
    </row>
    <row r="14" spans="2:31" x14ac:dyDescent="0.2">
      <c r="B14" s="10"/>
      <c r="C14" s="1" t="s">
        <v>242</v>
      </c>
      <c r="D14" s="146">
        <f>E86</f>
        <v>1</v>
      </c>
      <c r="E14" s="318">
        <f>E16*(E10=0)+E17*(E10=1)</f>
        <v>0.77</v>
      </c>
      <c r="F14" s="1" t="s">
        <v>748</v>
      </c>
      <c r="G14" s="21">
        <f>AVERAGE(L14:AE14)</f>
        <v>0.7699999999999998</v>
      </c>
      <c r="I14" s="21">
        <f t="shared" ref="I14:AE14" si="2">$E14*$E$86</f>
        <v>0.77</v>
      </c>
      <c r="J14" s="21">
        <f t="shared" si="2"/>
        <v>0.77</v>
      </c>
      <c r="K14" s="21">
        <f t="shared" si="2"/>
        <v>0.77</v>
      </c>
      <c r="L14" s="21">
        <f t="shared" si="2"/>
        <v>0.77</v>
      </c>
      <c r="M14" s="21">
        <f t="shared" si="2"/>
        <v>0.77</v>
      </c>
      <c r="N14" s="21">
        <f t="shared" si="2"/>
        <v>0.77</v>
      </c>
      <c r="O14" s="21">
        <f t="shared" si="2"/>
        <v>0.77</v>
      </c>
      <c r="P14" s="21">
        <f t="shared" si="2"/>
        <v>0.77</v>
      </c>
      <c r="Q14" s="21">
        <f t="shared" si="2"/>
        <v>0.77</v>
      </c>
      <c r="R14" s="21">
        <f t="shared" si="2"/>
        <v>0.77</v>
      </c>
      <c r="S14" s="21">
        <f t="shared" si="2"/>
        <v>0.77</v>
      </c>
      <c r="T14" s="21">
        <f t="shared" si="2"/>
        <v>0.77</v>
      </c>
      <c r="U14" s="21">
        <f t="shared" si="2"/>
        <v>0.77</v>
      </c>
      <c r="V14" s="21">
        <f t="shared" si="2"/>
        <v>0.77</v>
      </c>
      <c r="W14" s="21">
        <f t="shared" si="2"/>
        <v>0.77</v>
      </c>
      <c r="X14" s="21">
        <f t="shared" si="2"/>
        <v>0.77</v>
      </c>
      <c r="Y14" s="21">
        <f t="shared" si="2"/>
        <v>0.77</v>
      </c>
      <c r="Z14" s="21">
        <f t="shared" si="2"/>
        <v>0.77</v>
      </c>
      <c r="AA14" s="21">
        <f t="shared" si="2"/>
        <v>0.77</v>
      </c>
      <c r="AB14" s="21">
        <f t="shared" si="2"/>
        <v>0.77</v>
      </c>
      <c r="AC14" s="21">
        <f t="shared" si="2"/>
        <v>0.77</v>
      </c>
      <c r="AD14" s="21">
        <f t="shared" si="2"/>
        <v>0.77</v>
      </c>
      <c r="AE14" s="21">
        <f t="shared" si="2"/>
        <v>0.77</v>
      </c>
    </row>
    <row r="15" spans="2:31" x14ac:dyDescent="0.2">
      <c r="B15" s="10"/>
      <c r="D15" s="317"/>
      <c r="E15" s="120"/>
      <c r="G15" s="21"/>
      <c r="I15" s="21"/>
      <c r="J15" s="21"/>
      <c r="K15" s="21"/>
      <c r="L15" s="21"/>
      <c r="M15" s="21"/>
      <c r="N15" s="21"/>
      <c r="O15" s="21"/>
      <c r="P15" s="21"/>
      <c r="Q15" s="21"/>
      <c r="R15" s="21"/>
      <c r="S15" s="21"/>
      <c r="T15" s="21"/>
      <c r="U15" s="21"/>
      <c r="V15" s="21"/>
      <c r="W15" s="21"/>
      <c r="X15" s="21"/>
      <c r="Y15" s="21"/>
      <c r="Z15" s="21"/>
      <c r="AA15" s="21"/>
      <c r="AB15" s="21"/>
      <c r="AC15" s="21"/>
      <c r="AD15" s="21"/>
      <c r="AE15" s="21"/>
    </row>
    <row r="16" spans="2:31" x14ac:dyDescent="0.2">
      <c r="B16" s="10"/>
      <c r="C16" s="5" t="s">
        <v>309</v>
      </c>
      <c r="D16" s="447">
        <v>0.76852727119021813</v>
      </c>
      <c r="E16" s="97">
        <v>0.77</v>
      </c>
      <c r="F16" s="1" t="s">
        <v>748</v>
      </c>
      <c r="G16" s="21"/>
      <c r="I16" s="21"/>
      <c r="J16" s="21"/>
      <c r="K16" s="21"/>
      <c r="N16" s="21"/>
      <c r="O16" s="21"/>
      <c r="P16" s="21"/>
      <c r="Q16" s="21"/>
      <c r="R16" s="21"/>
      <c r="S16" s="21"/>
      <c r="T16" s="21"/>
      <c r="U16" s="21"/>
      <c r="V16" s="21"/>
      <c r="W16" s="21"/>
      <c r="X16" s="21"/>
      <c r="Y16" s="21"/>
      <c r="Z16" s="21"/>
      <c r="AA16" s="21"/>
      <c r="AB16" s="21"/>
      <c r="AC16" s="21"/>
      <c r="AD16" s="21"/>
      <c r="AE16" s="21"/>
    </row>
    <row r="17" spans="2:31" s="5" customFormat="1" x14ac:dyDescent="0.2">
      <c r="B17" s="273"/>
      <c r="C17" s="5" t="s">
        <v>701</v>
      </c>
      <c r="D17" s="317"/>
      <c r="E17" s="97">
        <v>0.79</v>
      </c>
      <c r="F17" s="1" t="s">
        <v>748</v>
      </c>
      <c r="G17" s="52"/>
      <c r="I17" s="52"/>
      <c r="J17" s="52"/>
      <c r="K17" s="52"/>
      <c r="N17" s="52"/>
      <c r="O17" s="52"/>
      <c r="P17" s="52"/>
      <c r="Q17" s="52"/>
      <c r="R17" s="52"/>
      <c r="S17" s="52"/>
      <c r="T17" s="52"/>
      <c r="U17" s="52"/>
      <c r="V17" s="52"/>
      <c r="W17" s="52"/>
      <c r="X17" s="52"/>
      <c r="Y17" s="52"/>
      <c r="Z17" s="52"/>
      <c r="AA17" s="52"/>
      <c r="AB17" s="52"/>
      <c r="AC17" s="52"/>
      <c r="AD17" s="52"/>
      <c r="AE17" s="52"/>
    </row>
    <row r="18" spans="2:31" x14ac:dyDescent="0.2">
      <c r="E18" s="2"/>
      <c r="I18" s="12"/>
      <c r="J18" s="12"/>
      <c r="K18" s="12"/>
      <c r="N18" s="12"/>
      <c r="O18" s="12"/>
      <c r="P18" s="12"/>
      <c r="Q18" s="12"/>
      <c r="R18" s="12"/>
      <c r="S18" s="12"/>
      <c r="T18" s="12"/>
      <c r="U18" s="12"/>
      <c r="V18" s="12"/>
      <c r="W18" s="12"/>
      <c r="X18" s="12"/>
      <c r="Y18" s="12"/>
      <c r="Z18" s="12"/>
      <c r="AA18" s="12"/>
      <c r="AB18" s="12"/>
      <c r="AC18" s="12"/>
      <c r="AD18" s="12"/>
      <c r="AE18" s="12"/>
    </row>
    <row r="19" spans="2:31" x14ac:dyDescent="0.2">
      <c r="B19" s="10">
        <f>B12+0.1</f>
        <v>1.3000000000000003</v>
      </c>
      <c r="C19" s="9" t="s">
        <v>864</v>
      </c>
      <c r="D19" s="9"/>
      <c r="E19" s="2"/>
    </row>
    <row r="20" spans="2:31" x14ac:dyDescent="0.2">
      <c r="B20" s="10"/>
      <c r="C20" s="5"/>
      <c r="D20" s="9"/>
      <c r="E20" s="2"/>
    </row>
    <row r="21" spans="2:31" x14ac:dyDescent="0.2">
      <c r="B21" s="10"/>
      <c r="C21" s="5" t="s">
        <v>875</v>
      </c>
      <c r="D21" s="146">
        <f>E82</f>
        <v>1</v>
      </c>
      <c r="E21" s="318">
        <f>E31*($E$10=0)+E51*($E$10=1)</f>
        <v>772</v>
      </c>
      <c r="F21" s="5" t="s">
        <v>3</v>
      </c>
      <c r="G21" s="21">
        <f t="shared" ref="G21:G26" si="3">AVERAGE(K21:AE21)</f>
        <v>772</v>
      </c>
      <c r="I21" s="275">
        <f t="shared" ref="I21" si="4">(I31*($E$10=0)+I51*($E$10=1))</f>
        <v>772</v>
      </c>
      <c r="J21" s="275">
        <f t="shared" ref="J21" si="5">(J31*($E$10=0)+J51*($E$10=1))</f>
        <v>772</v>
      </c>
      <c r="K21" s="275">
        <f t="shared" ref="K21:P21" si="6">(K31*($E$10=0)+K51*($E$10=1))</f>
        <v>772</v>
      </c>
      <c r="L21" s="275">
        <f t="shared" si="6"/>
        <v>772</v>
      </c>
      <c r="M21" s="275">
        <f t="shared" si="6"/>
        <v>772</v>
      </c>
      <c r="N21" s="275">
        <f t="shared" si="6"/>
        <v>772</v>
      </c>
      <c r="O21" s="275">
        <f t="shared" si="6"/>
        <v>772</v>
      </c>
      <c r="P21" s="275">
        <f t="shared" si="6"/>
        <v>772</v>
      </c>
      <c r="Q21" s="275">
        <f t="shared" ref="Q21:AE21" si="7">(Q31*($E$10=0)+Q51*($E$10=1))</f>
        <v>772</v>
      </c>
      <c r="R21" s="275">
        <f t="shared" si="7"/>
        <v>772</v>
      </c>
      <c r="S21" s="275">
        <f t="shared" si="7"/>
        <v>772</v>
      </c>
      <c r="T21" s="275">
        <f t="shared" si="7"/>
        <v>772</v>
      </c>
      <c r="U21" s="275">
        <f t="shared" si="7"/>
        <v>772</v>
      </c>
      <c r="V21" s="275">
        <f t="shared" si="7"/>
        <v>772</v>
      </c>
      <c r="W21" s="275">
        <f t="shared" si="7"/>
        <v>772</v>
      </c>
      <c r="X21" s="275">
        <f t="shared" si="7"/>
        <v>772</v>
      </c>
      <c r="Y21" s="275">
        <f t="shared" si="7"/>
        <v>772</v>
      </c>
      <c r="Z21" s="275">
        <f t="shared" si="7"/>
        <v>772</v>
      </c>
      <c r="AA21" s="275">
        <f t="shared" si="7"/>
        <v>772</v>
      </c>
      <c r="AB21" s="275">
        <f t="shared" si="7"/>
        <v>772</v>
      </c>
      <c r="AC21" s="275">
        <f t="shared" si="7"/>
        <v>772</v>
      </c>
      <c r="AD21" s="275">
        <f t="shared" si="7"/>
        <v>772</v>
      </c>
      <c r="AE21" s="275">
        <f t="shared" si="7"/>
        <v>772</v>
      </c>
    </row>
    <row r="22" spans="2:31" x14ac:dyDescent="0.2">
      <c r="B22" s="10"/>
      <c r="C22" s="5" t="s">
        <v>876</v>
      </c>
      <c r="D22" s="146">
        <f>E82</f>
        <v>1</v>
      </c>
      <c r="E22" s="318">
        <f>E44*($E$10=0)+E64*($E$10=1)</f>
        <v>780</v>
      </c>
      <c r="F22" s="5" t="s">
        <v>3</v>
      </c>
      <c r="G22" s="21">
        <f>AVERAGE(K22:AE22)</f>
        <v>780</v>
      </c>
      <c r="I22" s="275">
        <f t="shared" ref="I22:AE22" si="8">(I44*($E$10=0)+I64*($E$10=1))</f>
        <v>780</v>
      </c>
      <c r="J22" s="275">
        <f t="shared" si="8"/>
        <v>780</v>
      </c>
      <c r="K22" s="275">
        <f t="shared" si="8"/>
        <v>780</v>
      </c>
      <c r="L22" s="275">
        <f t="shared" si="8"/>
        <v>780</v>
      </c>
      <c r="M22" s="275">
        <f t="shared" si="8"/>
        <v>780</v>
      </c>
      <c r="N22" s="275">
        <f t="shared" si="8"/>
        <v>780</v>
      </c>
      <c r="O22" s="275">
        <f t="shared" si="8"/>
        <v>780</v>
      </c>
      <c r="P22" s="275">
        <f t="shared" si="8"/>
        <v>780</v>
      </c>
      <c r="Q22" s="275">
        <f t="shared" si="8"/>
        <v>780</v>
      </c>
      <c r="R22" s="275">
        <f t="shared" si="8"/>
        <v>780</v>
      </c>
      <c r="S22" s="275">
        <f t="shared" si="8"/>
        <v>780</v>
      </c>
      <c r="T22" s="275">
        <f t="shared" si="8"/>
        <v>780</v>
      </c>
      <c r="U22" s="275">
        <f t="shared" si="8"/>
        <v>780</v>
      </c>
      <c r="V22" s="275">
        <f t="shared" si="8"/>
        <v>780</v>
      </c>
      <c r="W22" s="275">
        <f t="shared" si="8"/>
        <v>780</v>
      </c>
      <c r="X22" s="275">
        <f t="shared" si="8"/>
        <v>780</v>
      </c>
      <c r="Y22" s="275">
        <f t="shared" si="8"/>
        <v>780</v>
      </c>
      <c r="Z22" s="275">
        <f t="shared" si="8"/>
        <v>780</v>
      </c>
      <c r="AA22" s="275">
        <f t="shared" si="8"/>
        <v>780</v>
      </c>
      <c r="AB22" s="275">
        <f t="shared" si="8"/>
        <v>780</v>
      </c>
      <c r="AC22" s="275">
        <f t="shared" si="8"/>
        <v>780</v>
      </c>
      <c r="AD22" s="275">
        <f t="shared" si="8"/>
        <v>780</v>
      </c>
      <c r="AE22" s="275">
        <f t="shared" si="8"/>
        <v>780</v>
      </c>
    </row>
    <row r="23" spans="2:31" x14ac:dyDescent="0.2">
      <c r="B23" s="120"/>
      <c r="C23" s="5" t="s">
        <v>387</v>
      </c>
      <c r="D23" s="146">
        <f>E82</f>
        <v>1</v>
      </c>
      <c r="E23" s="318">
        <f>E34*($E$10=0)+E54*($E$10=1)</f>
        <v>617.6</v>
      </c>
      <c r="F23" s="5" t="s">
        <v>3</v>
      </c>
      <c r="G23" s="21">
        <f t="shared" si="3"/>
        <v>617.60000000000014</v>
      </c>
      <c r="I23" s="275">
        <f>(I34*($E$10=0)+I54*($E$10=1))</f>
        <v>617.6</v>
      </c>
      <c r="J23" s="275">
        <f t="shared" ref="J23" si="9">(J34*($E$10=0)+J54*($E$10=1))</f>
        <v>617.6</v>
      </c>
      <c r="K23" s="275">
        <f t="shared" ref="K23:AE23" si="10">(K34*($E$10=0)+K54*($E$10=1))</f>
        <v>617.6</v>
      </c>
      <c r="L23" s="275">
        <f t="shared" si="10"/>
        <v>617.6</v>
      </c>
      <c r="M23" s="275">
        <f t="shared" si="10"/>
        <v>617.6</v>
      </c>
      <c r="N23" s="275">
        <f t="shared" si="10"/>
        <v>617.6</v>
      </c>
      <c r="O23" s="275">
        <f t="shared" si="10"/>
        <v>617.6</v>
      </c>
      <c r="P23" s="275">
        <f t="shared" si="10"/>
        <v>617.6</v>
      </c>
      <c r="Q23" s="275">
        <f t="shared" si="10"/>
        <v>617.6</v>
      </c>
      <c r="R23" s="275">
        <f t="shared" si="10"/>
        <v>617.6</v>
      </c>
      <c r="S23" s="275">
        <f t="shared" si="10"/>
        <v>617.6</v>
      </c>
      <c r="T23" s="275">
        <f t="shared" si="10"/>
        <v>617.6</v>
      </c>
      <c r="U23" s="275">
        <f t="shared" si="10"/>
        <v>617.6</v>
      </c>
      <c r="V23" s="275">
        <f t="shared" si="10"/>
        <v>617.6</v>
      </c>
      <c r="W23" s="275">
        <f t="shared" si="10"/>
        <v>617.6</v>
      </c>
      <c r="X23" s="275">
        <f t="shared" si="10"/>
        <v>617.6</v>
      </c>
      <c r="Y23" s="275">
        <f t="shared" si="10"/>
        <v>617.6</v>
      </c>
      <c r="Z23" s="275">
        <f t="shared" si="10"/>
        <v>617.6</v>
      </c>
      <c r="AA23" s="275">
        <f t="shared" si="10"/>
        <v>617.6</v>
      </c>
      <c r="AB23" s="275">
        <f t="shared" si="10"/>
        <v>617.6</v>
      </c>
      <c r="AC23" s="275">
        <f t="shared" si="10"/>
        <v>617.6</v>
      </c>
      <c r="AD23" s="275">
        <f t="shared" si="10"/>
        <v>617.6</v>
      </c>
      <c r="AE23" s="275">
        <f t="shared" si="10"/>
        <v>617.6</v>
      </c>
    </row>
    <row r="24" spans="2:31" x14ac:dyDescent="0.2">
      <c r="B24" s="120"/>
      <c r="C24" s="5" t="s">
        <v>877</v>
      </c>
      <c r="D24" s="146">
        <f>E82</f>
        <v>1</v>
      </c>
      <c r="E24" s="318">
        <f>E38*($E$10=0)+E58*($E$10=1)</f>
        <v>672</v>
      </c>
      <c r="F24" s="5" t="s">
        <v>3</v>
      </c>
      <c r="G24" s="21">
        <f t="shared" si="3"/>
        <v>672</v>
      </c>
      <c r="I24" s="275">
        <f t="shared" ref="I24:AE24" si="11">(I38*($E$10=0)+I58*($E$10=1))</f>
        <v>672</v>
      </c>
      <c r="J24" s="275">
        <f t="shared" si="11"/>
        <v>672</v>
      </c>
      <c r="K24" s="275">
        <f t="shared" si="11"/>
        <v>672</v>
      </c>
      <c r="L24" s="275">
        <f t="shared" si="11"/>
        <v>672</v>
      </c>
      <c r="M24" s="275">
        <f t="shared" si="11"/>
        <v>672</v>
      </c>
      <c r="N24" s="275">
        <f t="shared" si="11"/>
        <v>672</v>
      </c>
      <c r="O24" s="275">
        <f t="shared" si="11"/>
        <v>672</v>
      </c>
      <c r="P24" s="275">
        <f t="shared" si="11"/>
        <v>672</v>
      </c>
      <c r="Q24" s="275">
        <f t="shared" si="11"/>
        <v>672</v>
      </c>
      <c r="R24" s="275">
        <f t="shared" si="11"/>
        <v>672</v>
      </c>
      <c r="S24" s="275">
        <f t="shared" si="11"/>
        <v>672</v>
      </c>
      <c r="T24" s="275">
        <f t="shared" si="11"/>
        <v>672</v>
      </c>
      <c r="U24" s="275">
        <f t="shared" si="11"/>
        <v>672</v>
      </c>
      <c r="V24" s="275">
        <f t="shared" si="11"/>
        <v>672</v>
      </c>
      <c r="W24" s="275">
        <f t="shared" si="11"/>
        <v>672</v>
      </c>
      <c r="X24" s="275">
        <f t="shared" si="11"/>
        <v>672</v>
      </c>
      <c r="Y24" s="275">
        <f t="shared" si="11"/>
        <v>672</v>
      </c>
      <c r="Z24" s="275">
        <f t="shared" si="11"/>
        <v>672</v>
      </c>
      <c r="AA24" s="275">
        <f t="shared" si="11"/>
        <v>672</v>
      </c>
      <c r="AB24" s="275">
        <f t="shared" si="11"/>
        <v>672</v>
      </c>
      <c r="AC24" s="275">
        <f t="shared" si="11"/>
        <v>672</v>
      </c>
      <c r="AD24" s="275">
        <f t="shared" si="11"/>
        <v>672</v>
      </c>
      <c r="AE24" s="275">
        <f t="shared" si="11"/>
        <v>672</v>
      </c>
    </row>
    <row r="25" spans="2:31" x14ac:dyDescent="0.2">
      <c r="B25" s="120"/>
      <c r="C25" s="5" t="s">
        <v>878</v>
      </c>
      <c r="D25" s="146">
        <f>E82</f>
        <v>1</v>
      </c>
      <c r="E25" s="318">
        <f>E46*($E$10=0)+E66*($E$10=1)</f>
        <v>680</v>
      </c>
      <c r="F25" s="5" t="s">
        <v>3</v>
      </c>
      <c r="G25" s="21">
        <f t="shared" si="3"/>
        <v>680</v>
      </c>
      <c r="I25" s="275">
        <f t="shared" ref="I25:AE25" si="12">I46*($E$10=0)+I66*($E$10=1)</f>
        <v>680</v>
      </c>
      <c r="J25" s="275">
        <f t="shared" si="12"/>
        <v>680</v>
      </c>
      <c r="K25" s="275">
        <f t="shared" si="12"/>
        <v>680</v>
      </c>
      <c r="L25" s="275">
        <f t="shared" si="12"/>
        <v>680</v>
      </c>
      <c r="M25" s="275">
        <f t="shared" si="12"/>
        <v>680</v>
      </c>
      <c r="N25" s="275">
        <f t="shared" si="12"/>
        <v>680</v>
      </c>
      <c r="O25" s="275">
        <f t="shared" si="12"/>
        <v>680</v>
      </c>
      <c r="P25" s="275">
        <f t="shared" si="12"/>
        <v>680</v>
      </c>
      <c r="Q25" s="275">
        <f t="shared" si="12"/>
        <v>680</v>
      </c>
      <c r="R25" s="275">
        <f t="shared" si="12"/>
        <v>680</v>
      </c>
      <c r="S25" s="275">
        <f t="shared" si="12"/>
        <v>680</v>
      </c>
      <c r="T25" s="275">
        <f t="shared" si="12"/>
        <v>680</v>
      </c>
      <c r="U25" s="275">
        <f t="shared" si="12"/>
        <v>680</v>
      </c>
      <c r="V25" s="275">
        <f t="shared" si="12"/>
        <v>680</v>
      </c>
      <c r="W25" s="275">
        <f t="shared" si="12"/>
        <v>680</v>
      </c>
      <c r="X25" s="275">
        <f t="shared" si="12"/>
        <v>680</v>
      </c>
      <c r="Y25" s="275">
        <f t="shared" si="12"/>
        <v>680</v>
      </c>
      <c r="Z25" s="275">
        <f t="shared" si="12"/>
        <v>680</v>
      </c>
      <c r="AA25" s="275">
        <f t="shared" si="12"/>
        <v>680</v>
      </c>
      <c r="AB25" s="275">
        <f t="shared" si="12"/>
        <v>680</v>
      </c>
      <c r="AC25" s="275">
        <f t="shared" si="12"/>
        <v>680</v>
      </c>
      <c r="AD25" s="275">
        <f t="shared" si="12"/>
        <v>680</v>
      </c>
      <c r="AE25" s="275">
        <f t="shared" si="12"/>
        <v>680</v>
      </c>
    </row>
    <row r="26" spans="2:31" x14ac:dyDescent="0.2">
      <c r="B26" s="120"/>
      <c r="C26" s="5" t="s">
        <v>388</v>
      </c>
      <c r="D26" s="146">
        <f>E82</f>
        <v>1</v>
      </c>
      <c r="E26" s="318">
        <f>E41*($E$10=0)+E61*($E$10=1)</f>
        <v>403.2</v>
      </c>
      <c r="F26" s="5" t="s">
        <v>3</v>
      </c>
      <c r="G26" s="21">
        <f t="shared" si="3"/>
        <v>403.19999999999987</v>
      </c>
      <c r="I26" s="275">
        <f t="shared" ref="I26" si="13">(I41*($E$10=0)+I61*($E$10=1))</f>
        <v>403.2</v>
      </c>
      <c r="J26" s="275">
        <f t="shared" ref="J26" si="14">(J41*($E$10=0)+J61*($E$10=1))</f>
        <v>403.2</v>
      </c>
      <c r="K26" s="275">
        <f t="shared" ref="K26:AD26" si="15">(K41*($E$10=0)+K61*($E$10=1))</f>
        <v>403.2</v>
      </c>
      <c r="L26" s="275">
        <f t="shared" si="15"/>
        <v>403.2</v>
      </c>
      <c r="M26" s="275">
        <f t="shared" si="15"/>
        <v>403.2</v>
      </c>
      <c r="N26" s="275">
        <f t="shared" si="15"/>
        <v>403.2</v>
      </c>
      <c r="O26" s="275">
        <f t="shared" si="15"/>
        <v>403.2</v>
      </c>
      <c r="P26" s="275">
        <f t="shared" si="15"/>
        <v>403.2</v>
      </c>
      <c r="Q26" s="275">
        <f t="shared" si="15"/>
        <v>403.2</v>
      </c>
      <c r="R26" s="275">
        <f>(R41*($E$10=0)+R61*($E$10=1))</f>
        <v>403.2</v>
      </c>
      <c r="S26" s="275">
        <f t="shared" si="15"/>
        <v>403.2</v>
      </c>
      <c r="T26" s="275">
        <f t="shared" si="15"/>
        <v>403.2</v>
      </c>
      <c r="U26" s="275">
        <f t="shared" si="15"/>
        <v>403.2</v>
      </c>
      <c r="V26" s="275">
        <f t="shared" si="15"/>
        <v>403.2</v>
      </c>
      <c r="W26" s="275">
        <f t="shared" si="15"/>
        <v>403.2</v>
      </c>
      <c r="X26" s="275">
        <f t="shared" si="15"/>
        <v>403.2</v>
      </c>
      <c r="Y26" s="275">
        <f t="shared" si="15"/>
        <v>403.2</v>
      </c>
      <c r="Z26" s="275">
        <f t="shared" si="15"/>
        <v>403.2</v>
      </c>
      <c r="AA26" s="275">
        <f t="shared" si="15"/>
        <v>403.2</v>
      </c>
      <c r="AB26" s="275">
        <f t="shared" si="15"/>
        <v>403.2</v>
      </c>
      <c r="AC26" s="275">
        <f t="shared" si="15"/>
        <v>403.2</v>
      </c>
      <c r="AD26" s="275">
        <f t="shared" si="15"/>
        <v>403.2</v>
      </c>
      <c r="AE26" s="275">
        <f>(AE41*($E$10=0)+AE61*($E$10=1))</f>
        <v>403.2</v>
      </c>
    </row>
    <row r="27" spans="2:31" x14ac:dyDescent="0.2">
      <c r="C27" s="5"/>
      <c r="E27" s="2"/>
      <c r="I27" s="12"/>
      <c r="J27" s="12"/>
      <c r="K27" s="12"/>
      <c r="L27" s="12"/>
      <c r="M27" s="12"/>
      <c r="N27" s="12"/>
      <c r="O27" s="12"/>
      <c r="P27" s="12"/>
      <c r="Q27" s="12"/>
      <c r="R27" s="12"/>
      <c r="S27" s="12"/>
      <c r="T27" s="12"/>
      <c r="U27" s="12"/>
      <c r="V27" s="12"/>
      <c r="W27" s="12"/>
      <c r="X27" s="12"/>
      <c r="Y27" s="12"/>
      <c r="Z27" s="12"/>
      <c r="AA27" s="12"/>
      <c r="AB27" s="12"/>
      <c r="AC27" s="12"/>
      <c r="AD27" s="12"/>
      <c r="AE27" s="12"/>
    </row>
    <row r="28" spans="2:31" x14ac:dyDescent="0.2">
      <c r="B28" s="24">
        <f>B19+0.01</f>
        <v>1.3100000000000003</v>
      </c>
      <c r="C28" s="20" t="s">
        <v>524</v>
      </c>
      <c r="E28" s="2"/>
      <c r="I28" s="12"/>
      <c r="J28" s="12"/>
      <c r="K28" s="12"/>
      <c r="L28" s="12"/>
      <c r="M28" s="12"/>
      <c r="N28" s="12"/>
      <c r="O28" s="12"/>
      <c r="P28" s="12"/>
      <c r="Q28" s="12"/>
      <c r="R28" s="12"/>
      <c r="S28" s="12"/>
      <c r="T28" s="12"/>
      <c r="U28" s="12"/>
      <c r="V28" s="12"/>
      <c r="W28" s="12"/>
      <c r="X28" s="12"/>
      <c r="Y28" s="12"/>
      <c r="Z28" s="12"/>
      <c r="AA28" s="12"/>
      <c r="AB28" s="12"/>
      <c r="AC28" s="12"/>
      <c r="AD28" s="12"/>
      <c r="AE28" s="12"/>
    </row>
    <row r="29" spans="2:31" x14ac:dyDescent="0.2">
      <c r="B29" s="24"/>
      <c r="C29" s="20" t="s">
        <v>865</v>
      </c>
      <c r="E29" s="2"/>
      <c r="I29" s="12"/>
      <c r="J29" s="12"/>
      <c r="K29" s="12"/>
      <c r="L29" s="12"/>
      <c r="M29" s="12"/>
      <c r="N29" s="12"/>
      <c r="O29" s="12"/>
      <c r="P29" s="12"/>
      <c r="Q29" s="12"/>
      <c r="R29" s="12"/>
      <c r="S29" s="12"/>
      <c r="T29" s="12"/>
      <c r="U29" s="12"/>
      <c r="V29" s="12"/>
      <c r="W29" s="12"/>
      <c r="X29" s="12"/>
      <c r="Y29" s="12"/>
      <c r="Z29" s="12"/>
      <c r="AA29" s="12"/>
      <c r="AB29" s="12"/>
      <c r="AC29" s="12"/>
      <c r="AD29" s="12"/>
      <c r="AE29" s="12"/>
    </row>
    <row r="30" spans="2:31" x14ac:dyDescent="0.2">
      <c r="C30" s="5" t="s">
        <v>739</v>
      </c>
      <c r="D30" s="146">
        <f>E82</f>
        <v>1</v>
      </c>
      <c r="E30" s="97">
        <v>100</v>
      </c>
      <c r="F30" s="5" t="s">
        <v>3</v>
      </c>
      <c r="G30" s="21">
        <f>AVERAGE(K30:AE30)</f>
        <v>100</v>
      </c>
      <c r="I30" s="275">
        <f t="shared" ref="I30:AE30" si="16">$E$30*$D$30</f>
        <v>100</v>
      </c>
      <c r="J30" s="275">
        <f t="shared" si="16"/>
        <v>100</v>
      </c>
      <c r="K30" s="275">
        <f t="shared" si="16"/>
        <v>100</v>
      </c>
      <c r="L30" s="275">
        <f t="shared" si="16"/>
        <v>100</v>
      </c>
      <c r="M30" s="275">
        <f t="shared" si="16"/>
        <v>100</v>
      </c>
      <c r="N30" s="275">
        <f t="shared" si="16"/>
        <v>100</v>
      </c>
      <c r="O30" s="275">
        <f t="shared" si="16"/>
        <v>100</v>
      </c>
      <c r="P30" s="275">
        <f t="shared" si="16"/>
        <v>100</v>
      </c>
      <c r="Q30" s="275">
        <f t="shared" si="16"/>
        <v>100</v>
      </c>
      <c r="R30" s="275">
        <f t="shared" si="16"/>
        <v>100</v>
      </c>
      <c r="S30" s="275">
        <f t="shared" si="16"/>
        <v>100</v>
      </c>
      <c r="T30" s="275">
        <f t="shared" si="16"/>
        <v>100</v>
      </c>
      <c r="U30" s="275">
        <f t="shared" si="16"/>
        <v>100</v>
      </c>
      <c r="V30" s="275">
        <f t="shared" si="16"/>
        <v>100</v>
      </c>
      <c r="W30" s="275">
        <f t="shared" si="16"/>
        <v>100</v>
      </c>
      <c r="X30" s="275">
        <f t="shared" si="16"/>
        <v>100</v>
      </c>
      <c r="Y30" s="275">
        <f t="shared" si="16"/>
        <v>100</v>
      </c>
      <c r="Z30" s="275">
        <f t="shared" si="16"/>
        <v>100</v>
      </c>
      <c r="AA30" s="275">
        <f t="shared" si="16"/>
        <v>100</v>
      </c>
      <c r="AB30" s="275">
        <f t="shared" si="16"/>
        <v>100</v>
      </c>
      <c r="AC30" s="275">
        <f t="shared" si="16"/>
        <v>100</v>
      </c>
      <c r="AD30" s="275">
        <f t="shared" si="16"/>
        <v>100</v>
      </c>
      <c r="AE30" s="275">
        <f t="shared" si="16"/>
        <v>100</v>
      </c>
    </row>
    <row r="31" spans="2:31" x14ac:dyDescent="0.2">
      <c r="C31" s="5" t="s">
        <v>745</v>
      </c>
      <c r="E31" s="429">
        <f>E30+E38</f>
        <v>772</v>
      </c>
      <c r="F31" s="5" t="s">
        <v>3</v>
      </c>
      <c r="G31" s="21">
        <f>AVERAGE(K31:AE31)</f>
        <v>772</v>
      </c>
      <c r="I31" s="275">
        <f t="shared" ref="I31:AE31" si="17">I30+I38</f>
        <v>772</v>
      </c>
      <c r="J31" s="275">
        <f t="shared" si="17"/>
        <v>772</v>
      </c>
      <c r="K31" s="275">
        <f t="shared" si="17"/>
        <v>772</v>
      </c>
      <c r="L31" s="275">
        <f t="shared" si="17"/>
        <v>772</v>
      </c>
      <c r="M31" s="275">
        <f t="shared" si="17"/>
        <v>772</v>
      </c>
      <c r="N31" s="275">
        <f t="shared" si="17"/>
        <v>772</v>
      </c>
      <c r="O31" s="275">
        <f t="shared" si="17"/>
        <v>772</v>
      </c>
      <c r="P31" s="275">
        <f t="shared" si="17"/>
        <v>772</v>
      </c>
      <c r="Q31" s="275">
        <f t="shared" si="17"/>
        <v>772</v>
      </c>
      <c r="R31" s="275">
        <f t="shared" si="17"/>
        <v>772</v>
      </c>
      <c r="S31" s="275">
        <f t="shared" si="17"/>
        <v>772</v>
      </c>
      <c r="T31" s="275">
        <f t="shared" si="17"/>
        <v>772</v>
      </c>
      <c r="U31" s="275">
        <f t="shared" si="17"/>
        <v>772</v>
      </c>
      <c r="V31" s="275">
        <f t="shared" si="17"/>
        <v>772</v>
      </c>
      <c r="W31" s="275">
        <f t="shared" si="17"/>
        <v>772</v>
      </c>
      <c r="X31" s="275">
        <f t="shared" si="17"/>
        <v>772</v>
      </c>
      <c r="Y31" s="275">
        <f t="shared" si="17"/>
        <v>772</v>
      </c>
      <c r="Z31" s="275">
        <f t="shared" si="17"/>
        <v>772</v>
      </c>
      <c r="AA31" s="275">
        <f t="shared" si="17"/>
        <v>772</v>
      </c>
      <c r="AB31" s="275">
        <f t="shared" si="17"/>
        <v>772</v>
      </c>
      <c r="AC31" s="275">
        <f t="shared" si="17"/>
        <v>772</v>
      </c>
      <c r="AD31" s="275">
        <f t="shared" si="17"/>
        <v>772</v>
      </c>
      <c r="AE31" s="275">
        <f t="shared" si="17"/>
        <v>772</v>
      </c>
    </row>
    <row r="32" spans="2:31" x14ac:dyDescent="0.2">
      <c r="C32" s="5"/>
      <c r="E32" s="446"/>
      <c r="F32" s="5"/>
      <c r="G32" s="49"/>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row>
    <row r="33" spans="2:31" x14ac:dyDescent="0.2">
      <c r="C33" s="5" t="s">
        <v>741</v>
      </c>
      <c r="E33" s="153">
        <v>0.2</v>
      </c>
      <c r="F33" s="5" t="s">
        <v>8</v>
      </c>
      <c r="G33" s="36">
        <f>AVERAGE(K33:AE33)</f>
        <v>0.20000000000000004</v>
      </c>
      <c r="I33" s="36">
        <f>$E$33</f>
        <v>0.2</v>
      </c>
      <c r="J33" s="36">
        <f>$E$33</f>
        <v>0.2</v>
      </c>
      <c r="K33" s="36">
        <f>$E$33</f>
        <v>0.2</v>
      </c>
      <c r="L33" s="36">
        <f t="shared" ref="L33:AE33" si="18">$E$33</f>
        <v>0.2</v>
      </c>
      <c r="M33" s="36">
        <f t="shared" si="18"/>
        <v>0.2</v>
      </c>
      <c r="N33" s="36">
        <f t="shared" si="18"/>
        <v>0.2</v>
      </c>
      <c r="O33" s="36">
        <f t="shared" si="18"/>
        <v>0.2</v>
      </c>
      <c r="P33" s="36">
        <f t="shared" si="18"/>
        <v>0.2</v>
      </c>
      <c r="Q33" s="36">
        <f t="shared" si="18"/>
        <v>0.2</v>
      </c>
      <c r="R33" s="36">
        <f t="shared" si="18"/>
        <v>0.2</v>
      </c>
      <c r="S33" s="36">
        <f t="shared" si="18"/>
        <v>0.2</v>
      </c>
      <c r="T33" s="36">
        <f t="shared" si="18"/>
        <v>0.2</v>
      </c>
      <c r="U33" s="36">
        <f t="shared" si="18"/>
        <v>0.2</v>
      </c>
      <c r="V33" s="36">
        <f t="shared" si="18"/>
        <v>0.2</v>
      </c>
      <c r="W33" s="36">
        <f t="shared" si="18"/>
        <v>0.2</v>
      </c>
      <c r="X33" s="36">
        <f t="shared" si="18"/>
        <v>0.2</v>
      </c>
      <c r="Y33" s="36">
        <f t="shared" si="18"/>
        <v>0.2</v>
      </c>
      <c r="Z33" s="36">
        <f t="shared" si="18"/>
        <v>0.2</v>
      </c>
      <c r="AA33" s="36">
        <f t="shared" si="18"/>
        <v>0.2</v>
      </c>
      <c r="AB33" s="36">
        <f t="shared" si="18"/>
        <v>0.2</v>
      </c>
      <c r="AC33" s="36">
        <f t="shared" si="18"/>
        <v>0.2</v>
      </c>
      <c r="AD33" s="36">
        <f t="shared" si="18"/>
        <v>0.2</v>
      </c>
      <c r="AE33" s="36">
        <f t="shared" si="18"/>
        <v>0.2</v>
      </c>
    </row>
    <row r="34" spans="2:31" x14ac:dyDescent="0.2">
      <c r="C34" s="5" t="s">
        <v>387</v>
      </c>
      <c r="E34" s="429">
        <f>E31*(1-E33)</f>
        <v>617.6</v>
      </c>
      <c r="F34" s="5" t="s">
        <v>3</v>
      </c>
      <c r="G34" s="21">
        <f t="shared" ref="G34:G41" si="19">AVERAGE(K34:AE34)</f>
        <v>617.60000000000014</v>
      </c>
      <c r="I34" s="275">
        <f>I31*(1-I33)</f>
        <v>617.6</v>
      </c>
      <c r="J34" s="275">
        <f>J31*(1-J33)</f>
        <v>617.6</v>
      </c>
      <c r="K34" s="275">
        <f>K31*(1-K33)</f>
        <v>617.6</v>
      </c>
      <c r="L34" s="275">
        <f t="shared" ref="L34:AE34" si="20">L31*(1-L33)</f>
        <v>617.6</v>
      </c>
      <c r="M34" s="275">
        <f t="shared" si="20"/>
        <v>617.6</v>
      </c>
      <c r="N34" s="275">
        <f t="shared" si="20"/>
        <v>617.6</v>
      </c>
      <c r="O34" s="275">
        <f t="shared" si="20"/>
        <v>617.6</v>
      </c>
      <c r="P34" s="275">
        <f t="shared" si="20"/>
        <v>617.6</v>
      </c>
      <c r="Q34" s="275">
        <f>Q31*(1-Q33)</f>
        <v>617.6</v>
      </c>
      <c r="R34" s="275">
        <f>R31*(1-R33)</f>
        <v>617.6</v>
      </c>
      <c r="S34" s="275">
        <f>S31*(1-S33)</f>
        <v>617.6</v>
      </c>
      <c r="T34" s="275">
        <f t="shared" si="20"/>
        <v>617.6</v>
      </c>
      <c r="U34" s="275">
        <f t="shared" si="20"/>
        <v>617.6</v>
      </c>
      <c r="V34" s="275">
        <f t="shared" si="20"/>
        <v>617.6</v>
      </c>
      <c r="W34" s="275">
        <f t="shared" si="20"/>
        <v>617.6</v>
      </c>
      <c r="X34" s="275">
        <f t="shared" si="20"/>
        <v>617.6</v>
      </c>
      <c r="Y34" s="275">
        <f t="shared" si="20"/>
        <v>617.6</v>
      </c>
      <c r="Z34" s="275">
        <f t="shared" si="20"/>
        <v>617.6</v>
      </c>
      <c r="AA34" s="275">
        <f t="shared" si="20"/>
        <v>617.6</v>
      </c>
      <c r="AB34" s="275">
        <f t="shared" si="20"/>
        <v>617.6</v>
      </c>
      <c r="AC34" s="275">
        <f t="shared" si="20"/>
        <v>617.6</v>
      </c>
      <c r="AD34" s="275">
        <f t="shared" si="20"/>
        <v>617.6</v>
      </c>
      <c r="AE34" s="275">
        <f t="shared" si="20"/>
        <v>617.6</v>
      </c>
    </row>
    <row r="35" spans="2:31" x14ac:dyDescent="0.2">
      <c r="C35" s="5"/>
      <c r="E35" s="120"/>
      <c r="F35" s="5"/>
      <c r="G35" s="49"/>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row>
    <row r="36" spans="2:31" x14ac:dyDescent="0.2">
      <c r="C36" s="5" t="s">
        <v>737</v>
      </c>
      <c r="D36" s="146">
        <f>E82</f>
        <v>1</v>
      </c>
      <c r="E36" s="97">
        <v>650</v>
      </c>
      <c r="F36" s="5" t="s">
        <v>3</v>
      </c>
      <c r="G36" s="21">
        <f>AVERAGE(K36:AE36)</f>
        <v>650</v>
      </c>
      <c r="I36" s="275">
        <f t="shared" ref="I36:AE36" si="21">$E$36*$D$36</f>
        <v>650</v>
      </c>
      <c r="J36" s="275">
        <f t="shared" si="21"/>
        <v>650</v>
      </c>
      <c r="K36" s="275">
        <f t="shared" si="21"/>
        <v>650</v>
      </c>
      <c r="L36" s="275">
        <f t="shared" si="21"/>
        <v>650</v>
      </c>
      <c r="M36" s="275">
        <f t="shared" si="21"/>
        <v>650</v>
      </c>
      <c r="N36" s="275">
        <f t="shared" si="21"/>
        <v>650</v>
      </c>
      <c r="O36" s="275">
        <f t="shared" si="21"/>
        <v>650</v>
      </c>
      <c r="P36" s="275">
        <f t="shared" si="21"/>
        <v>650</v>
      </c>
      <c r="Q36" s="275">
        <f t="shared" si="21"/>
        <v>650</v>
      </c>
      <c r="R36" s="275">
        <f t="shared" si="21"/>
        <v>650</v>
      </c>
      <c r="S36" s="275">
        <f t="shared" si="21"/>
        <v>650</v>
      </c>
      <c r="T36" s="275">
        <f t="shared" si="21"/>
        <v>650</v>
      </c>
      <c r="U36" s="275">
        <f t="shared" si="21"/>
        <v>650</v>
      </c>
      <c r="V36" s="275">
        <f t="shared" si="21"/>
        <v>650</v>
      </c>
      <c r="W36" s="275">
        <f t="shared" si="21"/>
        <v>650</v>
      </c>
      <c r="X36" s="275">
        <f t="shared" si="21"/>
        <v>650</v>
      </c>
      <c r="Y36" s="275">
        <f t="shared" si="21"/>
        <v>650</v>
      </c>
      <c r="Z36" s="275">
        <f t="shared" si="21"/>
        <v>650</v>
      </c>
      <c r="AA36" s="275">
        <f t="shared" si="21"/>
        <v>650</v>
      </c>
      <c r="AB36" s="275">
        <f t="shared" si="21"/>
        <v>650</v>
      </c>
      <c r="AC36" s="275">
        <f t="shared" si="21"/>
        <v>650</v>
      </c>
      <c r="AD36" s="275">
        <f t="shared" si="21"/>
        <v>650</v>
      </c>
      <c r="AE36" s="275">
        <f t="shared" si="21"/>
        <v>650</v>
      </c>
    </row>
    <row r="37" spans="2:31" x14ac:dyDescent="0.2">
      <c r="C37" s="5" t="s">
        <v>738</v>
      </c>
      <c r="D37" s="146">
        <f>E82</f>
        <v>1</v>
      </c>
      <c r="E37" s="97">
        <v>22</v>
      </c>
      <c r="F37" s="5" t="s">
        <v>3</v>
      </c>
      <c r="G37" s="21">
        <f t="shared" si="19"/>
        <v>22</v>
      </c>
      <c r="I37" s="275">
        <f>$E$37*$D$37</f>
        <v>22</v>
      </c>
      <c r="J37" s="275">
        <f>$E$37*$D$37</f>
        <v>22</v>
      </c>
      <c r="K37" s="275">
        <f>$E$37*$D$37</f>
        <v>22</v>
      </c>
      <c r="L37" s="275">
        <f t="shared" ref="L37:AE37" si="22">$E$37*$D$37</f>
        <v>22</v>
      </c>
      <c r="M37" s="275">
        <f t="shared" si="22"/>
        <v>22</v>
      </c>
      <c r="N37" s="275">
        <f t="shared" si="22"/>
        <v>22</v>
      </c>
      <c r="O37" s="275">
        <f t="shared" si="22"/>
        <v>22</v>
      </c>
      <c r="P37" s="275">
        <f t="shared" si="22"/>
        <v>22</v>
      </c>
      <c r="Q37" s="275">
        <f t="shared" si="22"/>
        <v>22</v>
      </c>
      <c r="R37" s="275">
        <f t="shared" si="22"/>
        <v>22</v>
      </c>
      <c r="S37" s="275">
        <f t="shared" si="22"/>
        <v>22</v>
      </c>
      <c r="T37" s="275">
        <f t="shared" si="22"/>
        <v>22</v>
      </c>
      <c r="U37" s="275">
        <f t="shared" si="22"/>
        <v>22</v>
      </c>
      <c r="V37" s="275">
        <f t="shared" si="22"/>
        <v>22</v>
      </c>
      <c r="W37" s="275">
        <f t="shared" si="22"/>
        <v>22</v>
      </c>
      <c r="X37" s="275">
        <f t="shared" si="22"/>
        <v>22</v>
      </c>
      <c r="Y37" s="275">
        <f t="shared" si="22"/>
        <v>22</v>
      </c>
      <c r="Z37" s="275">
        <f t="shared" si="22"/>
        <v>22</v>
      </c>
      <c r="AA37" s="275">
        <f t="shared" si="22"/>
        <v>22</v>
      </c>
      <c r="AB37" s="275">
        <f t="shared" si="22"/>
        <v>22</v>
      </c>
      <c r="AC37" s="275">
        <f t="shared" si="22"/>
        <v>22</v>
      </c>
      <c r="AD37" s="275">
        <f t="shared" si="22"/>
        <v>22</v>
      </c>
      <c r="AE37" s="275">
        <f t="shared" si="22"/>
        <v>22</v>
      </c>
    </row>
    <row r="38" spans="2:31" x14ac:dyDescent="0.2">
      <c r="C38" s="5" t="s">
        <v>737</v>
      </c>
      <c r="D38" s="317"/>
      <c r="E38" s="429">
        <f>SUM(E36:E37)</f>
        <v>672</v>
      </c>
      <c r="F38" s="5" t="s">
        <v>3</v>
      </c>
      <c r="G38" s="21">
        <f>AVERAGE(K38:AE38)</f>
        <v>672</v>
      </c>
      <c r="I38" s="275">
        <f t="shared" ref="I38:AE38" si="23">SUM(I36:I37)</f>
        <v>672</v>
      </c>
      <c r="J38" s="275">
        <f t="shared" si="23"/>
        <v>672</v>
      </c>
      <c r="K38" s="275">
        <f t="shared" si="23"/>
        <v>672</v>
      </c>
      <c r="L38" s="275">
        <f t="shared" si="23"/>
        <v>672</v>
      </c>
      <c r="M38" s="275">
        <f t="shared" si="23"/>
        <v>672</v>
      </c>
      <c r="N38" s="275">
        <f t="shared" si="23"/>
        <v>672</v>
      </c>
      <c r="O38" s="275">
        <f t="shared" si="23"/>
        <v>672</v>
      </c>
      <c r="P38" s="275">
        <f t="shared" si="23"/>
        <v>672</v>
      </c>
      <c r="Q38" s="275">
        <f t="shared" si="23"/>
        <v>672</v>
      </c>
      <c r="R38" s="275">
        <f t="shared" si="23"/>
        <v>672</v>
      </c>
      <c r="S38" s="275">
        <f t="shared" si="23"/>
        <v>672</v>
      </c>
      <c r="T38" s="275">
        <f t="shared" si="23"/>
        <v>672</v>
      </c>
      <c r="U38" s="275">
        <f t="shared" si="23"/>
        <v>672</v>
      </c>
      <c r="V38" s="275">
        <f t="shared" si="23"/>
        <v>672</v>
      </c>
      <c r="W38" s="275">
        <f t="shared" si="23"/>
        <v>672</v>
      </c>
      <c r="X38" s="275">
        <f t="shared" si="23"/>
        <v>672</v>
      </c>
      <c r="Y38" s="275">
        <f t="shared" si="23"/>
        <v>672</v>
      </c>
      <c r="Z38" s="275">
        <f t="shared" si="23"/>
        <v>672</v>
      </c>
      <c r="AA38" s="275">
        <f t="shared" si="23"/>
        <v>672</v>
      </c>
      <c r="AB38" s="275">
        <f t="shared" si="23"/>
        <v>672</v>
      </c>
      <c r="AC38" s="275">
        <f t="shared" si="23"/>
        <v>672</v>
      </c>
      <c r="AD38" s="275">
        <f t="shared" si="23"/>
        <v>672</v>
      </c>
      <c r="AE38" s="275">
        <f t="shared" si="23"/>
        <v>672</v>
      </c>
    </row>
    <row r="39" spans="2:31" x14ac:dyDescent="0.2">
      <c r="C39" s="5"/>
      <c r="E39" s="432"/>
      <c r="F39" s="5"/>
      <c r="G39" s="49"/>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row>
    <row r="40" spans="2:31" x14ac:dyDescent="0.2">
      <c r="C40" s="5" t="s">
        <v>743</v>
      </c>
      <c r="E40" s="153">
        <v>0.6</v>
      </c>
      <c r="F40" s="5" t="s">
        <v>8</v>
      </c>
      <c r="G40" s="36">
        <f>AVERAGE(K40:AE40)</f>
        <v>0.59999999999999987</v>
      </c>
      <c r="I40" s="36">
        <f>$E$40</f>
        <v>0.6</v>
      </c>
      <c r="J40" s="36">
        <f>$E$40</f>
        <v>0.6</v>
      </c>
      <c r="K40" s="36">
        <f>$E$40</f>
        <v>0.6</v>
      </c>
      <c r="L40" s="36">
        <f t="shared" ref="L40:AE40" si="24">$E$40</f>
        <v>0.6</v>
      </c>
      <c r="M40" s="36">
        <f t="shared" si="24"/>
        <v>0.6</v>
      </c>
      <c r="N40" s="36">
        <f t="shared" si="24"/>
        <v>0.6</v>
      </c>
      <c r="O40" s="36">
        <f t="shared" si="24"/>
        <v>0.6</v>
      </c>
      <c r="P40" s="36">
        <f t="shared" si="24"/>
        <v>0.6</v>
      </c>
      <c r="Q40" s="36">
        <f t="shared" si="24"/>
        <v>0.6</v>
      </c>
      <c r="R40" s="36">
        <f t="shared" si="24"/>
        <v>0.6</v>
      </c>
      <c r="S40" s="36">
        <f t="shared" si="24"/>
        <v>0.6</v>
      </c>
      <c r="T40" s="36">
        <f t="shared" si="24"/>
        <v>0.6</v>
      </c>
      <c r="U40" s="36">
        <f t="shared" si="24"/>
        <v>0.6</v>
      </c>
      <c r="V40" s="36">
        <f t="shared" si="24"/>
        <v>0.6</v>
      </c>
      <c r="W40" s="36">
        <f t="shared" si="24"/>
        <v>0.6</v>
      </c>
      <c r="X40" s="36">
        <f t="shared" si="24"/>
        <v>0.6</v>
      </c>
      <c r="Y40" s="36">
        <f t="shared" si="24"/>
        <v>0.6</v>
      </c>
      <c r="Z40" s="36">
        <f t="shared" si="24"/>
        <v>0.6</v>
      </c>
      <c r="AA40" s="36">
        <f t="shared" si="24"/>
        <v>0.6</v>
      </c>
      <c r="AB40" s="36">
        <f t="shared" si="24"/>
        <v>0.6</v>
      </c>
      <c r="AC40" s="36">
        <f t="shared" si="24"/>
        <v>0.6</v>
      </c>
      <c r="AD40" s="36">
        <f t="shared" si="24"/>
        <v>0.6</v>
      </c>
      <c r="AE40" s="36">
        <f t="shared" si="24"/>
        <v>0.6</v>
      </c>
    </row>
    <row r="41" spans="2:31" x14ac:dyDescent="0.2">
      <c r="C41" s="5" t="s">
        <v>388</v>
      </c>
      <c r="E41" s="429">
        <f>E38*E40</f>
        <v>403.2</v>
      </c>
      <c r="F41" s="5" t="s">
        <v>3</v>
      </c>
      <c r="G41" s="21">
        <f t="shared" si="19"/>
        <v>403.19999999999987</v>
      </c>
      <c r="I41" s="275">
        <f>I38*I40</f>
        <v>403.2</v>
      </c>
      <c r="J41" s="275">
        <f>J38*J40</f>
        <v>403.2</v>
      </c>
      <c r="K41" s="275">
        <f>K38*K40</f>
        <v>403.2</v>
      </c>
      <c r="L41" s="275">
        <f t="shared" ref="L41:AE41" si="25">L38*L40</f>
        <v>403.2</v>
      </c>
      <c r="M41" s="275">
        <f t="shared" si="25"/>
        <v>403.2</v>
      </c>
      <c r="N41" s="275">
        <f t="shared" si="25"/>
        <v>403.2</v>
      </c>
      <c r="O41" s="275">
        <f t="shared" si="25"/>
        <v>403.2</v>
      </c>
      <c r="P41" s="275">
        <f t="shared" si="25"/>
        <v>403.2</v>
      </c>
      <c r="Q41" s="275">
        <f t="shared" si="25"/>
        <v>403.2</v>
      </c>
      <c r="R41" s="275">
        <f t="shared" si="25"/>
        <v>403.2</v>
      </c>
      <c r="S41" s="275">
        <f t="shared" si="25"/>
        <v>403.2</v>
      </c>
      <c r="T41" s="275">
        <f t="shared" si="25"/>
        <v>403.2</v>
      </c>
      <c r="U41" s="275">
        <f t="shared" si="25"/>
        <v>403.2</v>
      </c>
      <c r="V41" s="275">
        <f t="shared" si="25"/>
        <v>403.2</v>
      </c>
      <c r="W41" s="275">
        <f t="shared" si="25"/>
        <v>403.2</v>
      </c>
      <c r="X41" s="275">
        <f t="shared" si="25"/>
        <v>403.2</v>
      </c>
      <c r="Y41" s="275">
        <f t="shared" si="25"/>
        <v>403.2</v>
      </c>
      <c r="Z41" s="275">
        <f t="shared" si="25"/>
        <v>403.2</v>
      </c>
      <c r="AA41" s="275">
        <f t="shared" si="25"/>
        <v>403.2</v>
      </c>
      <c r="AB41" s="275">
        <f t="shared" si="25"/>
        <v>403.2</v>
      </c>
      <c r="AC41" s="275">
        <f t="shared" si="25"/>
        <v>403.2</v>
      </c>
      <c r="AD41" s="275">
        <f t="shared" si="25"/>
        <v>403.2</v>
      </c>
      <c r="AE41" s="275">
        <f t="shared" si="25"/>
        <v>403.2</v>
      </c>
    </row>
    <row r="42" spans="2:31" x14ac:dyDescent="0.2">
      <c r="C42" s="5"/>
      <c r="E42" s="2"/>
      <c r="L42" s="12"/>
      <c r="M42" s="12"/>
      <c r="N42" s="12"/>
      <c r="O42" s="12"/>
      <c r="P42" s="12"/>
      <c r="Q42" s="12"/>
      <c r="R42" s="12"/>
      <c r="S42" s="12"/>
      <c r="T42" s="12"/>
      <c r="U42" s="12"/>
      <c r="V42" s="12"/>
      <c r="W42" s="12"/>
      <c r="X42" s="12"/>
      <c r="Y42" s="12"/>
      <c r="Z42" s="12"/>
      <c r="AA42" s="12"/>
      <c r="AB42" s="12"/>
      <c r="AC42" s="12"/>
      <c r="AD42" s="12"/>
      <c r="AE42" s="12"/>
    </row>
    <row r="43" spans="2:31" x14ac:dyDescent="0.2">
      <c r="C43" s="20" t="s">
        <v>866</v>
      </c>
      <c r="E43" s="2"/>
      <c r="L43" s="12"/>
      <c r="M43" s="12"/>
      <c r="N43" s="12"/>
      <c r="O43" s="12"/>
      <c r="P43" s="12"/>
      <c r="Q43" s="12"/>
      <c r="R43" s="12"/>
      <c r="S43" s="12"/>
      <c r="T43" s="12"/>
      <c r="U43" s="12"/>
      <c r="V43" s="12"/>
      <c r="W43" s="12"/>
      <c r="X43" s="12"/>
      <c r="Y43" s="12"/>
      <c r="Z43" s="12"/>
      <c r="AA43" s="12"/>
      <c r="AB43" s="12"/>
      <c r="AC43" s="12"/>
      <c r="AD43" s="12"/>
      <c r="AE43" s="12"/>
    </row>
    <row r="44" spans="2:31" x14ac:dyDescent="0.2">
      <c r="C44" s="5" t="s">
        <v>385</v>
      </c>
      <c r="E44" s="97">
        <v>780</v>
      </c>
      <c r="F44" s="5" t="s">
        <v>3</v>
      </c>
      <c r="G44" s="21">
        <f t="shared" ref="G44:G46" si="26">AVERAGE(K44:AE44)</f>
        <v>780</v>
      </c>
      <c r="I44" s="21">
        <f t="shared" ref="I44:R46" si="27">$E44</f>
        <v>780</v>
      </c>
      <c r="J44" s="21">
        <f t="shared" si="27"/>
        <v>780</v>
      </c>
      <c r="K44" s="21">
        <f t="shared" si="27"/>
        <v>780</v>
      </c>
      <c r="L44" s="21">
        <f t="shared" si="27"/>
        <v>780</v>
      </c>
      <c r="M44" s="21">
        <f t="shared" si="27"/>
        <v>780</v>
      </c>
      <c r="N44" s="21">
        <f t="shared" si="27"/>
        <v>780</v>
      </c>
      <c r="O44" s="21">
        <f t="shared" si="27"/>
        <v>780</v>
      </c>
      <c r="P44" s="21">
        <f t="shared" si="27"/>
        <v>780</v>
      </c>
      <c r="Q44" s="21">
        <f t="shared" si="27"/>
        <v>780</v>
      </c>
      <c r="R44" s="21">
        <f t="shared" si="27"/>
        <v>780</v>
      </c>
      <c r="S44" s="21">
        <f t="shared" ref="S44:AE46" si="28">$E44</f>
        <v>780</v>
      </c>
      <c r="T44" s="21">
        <f t="shared" si="28"/>
        <v>780</v>
      </c>
      <c r="U44" s="21">
        <f t="shared" si="28"/>
        <v>780</v>
      </c>
      <c r="V44" s="21">
        <f t="shared" si="28"/>
        <v>780</v>
      </c>
      <c r="W44" s="21">
        <f t="shared" si="28"/>
        <v>780</v>
      </c>
      <c r="X44" s="21">
        <f t="shared" si="28"/>
        <v>780</v>
      </c>
      <c r="Y44" s="21">
        <f t="shared" si="28"/>
        <v>780</v>
      </c>
      <c r="Z44" s="21">
        <f t="shared" si="28"/>
        <v>780</v>
      </c>
      <c r="AA44" s="21">
        <f t="shared" si="28"/>
        <v>780</v>
      </c>
      <c r="AB44" s="21">
        <f t="shared" si="28"/>
        <v>780</v>
      </c>
      <c r="AC44" s="21">
        <f t="shared" si="28"/>
        <v>780</v>
      </c>
      <c r="AD44" s="21">
        <f t="shared" si="28"/>
        <v>780</v>
      </c>
      <c r="AE44" s="21">
        <f t="shared" si="28"/>
        <v>780</v>
      </c>
    </row>
    <row r="45" spans="2:31" x14ac:dyDescent="0.2">
      <c r="C45" s="5" t="s">
        <v>867</v>
      </c>
      <c r="E45" s="318">
        <f>E30</f>
        <v>100</v>
      </c>
      <c r="F45" s="5" t="s">
        <v>3</v>
      </c>
      <c r="G45" s="21">
        <f t="shared" si="26"/>
        <v>100</v>
      </c>
      <c r="I45" s="21">
        <f t="shared" si="27"/>
        <v>100</v>
      </c>
      <c r="J45" s="21">
        <f t="shared" si="27"/>
        <v>100</v>
      </c>
      <c r="K45" s="21">
        <f t="shared" si="27"/>
        <v>100</v>
      </c>
      <c r="L45" s="21">
        <f t="shared" si="27"/>
        <v>100</v>
      </c>
      <c r="M45" s="21">
        <f t="shared" si="27"/>
        <v>100</v>
      </c>
      <c r="N45" s="21">
        <f t="shared" si="27"/>
        <v>100</v>
      </c>
      <c r="O45" s="21">
        <f t="shared" si="27"/>
        <v>100</v>
      </c>
      <c r="P45" s="21">
        <f t="shared" si="27"/>
        <v>100</v>
      </c>
      <c r="Q45" s="21">
        <f t="shared" si="27"/>
        <v>100</v>
      </c>
      <c r="R45" s="21">
        <f t="shared" si="27"/>
        <v>100</v>
      </c>
      <c r="S45" s="21">
        <f t="shared" si="28"/>
        <v>100</v>
      </c>
      <c r="T45" s="21">
        <f t="shared" si="28"/>
        <v>100</v>
      </c>
      <c r="U45" s="21">
        <f t="shared" si="28"/>
        <v>100</v>
      </c>
      <c r="V45" s="21">
        <f t="shared" si="28"/>
        <v>100</v>
      </c>
      <c r="W45" s="21">
        <f t="shared" si="28"/>
        <v>100</v>
      </c>
      <c r="X45" s="21">
        <f t="shared" si="28"/>
        <v>100</v>
      </c>
      <c r="Y45" s="21">
        <f t="shared" si="28"/>
        <v>100</v>
      </c>
      <c r="Z45" s="21">
        <f t="shared" si="28"/>
        <v>100</v>
      </c>
      <c r="AA45" s="21">
        <f t="shared" si="28"/>
        <v>100</v>
      </c>
      <c r="AB45" s="21">
        <f t="shared" si="28"/>
        <v>100</v>
      </c>
      <c r="AC45" s="21">
        <f t="shared" si="28"/>
        <v>100</v>
      </c>
      <c r="AD45" s="21">
        <f t="shared" si="28"/>
        <v>100</v>
      </c>
      <c r="AE45" s="21">
        <f t="shared" si="28"/>
        <v>100</v>
      </c>
    </row>
    <row r="46" spans="2:31" x14ac:dyDescent="0.2">
      <c r="C46" s="5" t="s">
        <v>386</v>
      </c>
      <c r="E46" s="318">
        <f>E44-E45</f>
        <v>680</v>
      </c>
      <c r="F46" s="5" t="s">
        <v>3</v>
      </c>
      <c r="G46" s="21">
        <f t="shared" si="26"/>
        <v>680</v>
      </c>
      <c r="I46" s="21">
        <f t="shared" si="27"/>
        <v>680</v>
      </c>
      <c r="J46" s="21">
        <f t="shared" si="27"/>
        <v>680</v>
      </c>
      <c r="K46" s="21">
        <f t="shared" si="27"/>
        <v>680</v>
      </c>
      <c r="L46" s="21">
        <f t="shared" si="27"/>
        <v>680</v>
      </c>
      <c r="M46" s="21">
        <f t="shared" si="27"/>
        <v>680</v>
      </c>
      <c r="N46" s="21">
        <f t="shared" si="27"/>
        <v>680</v>
      </c>
      <c r="O46" s="21">
        <f t="shared" si="27"/>
        <v>680</v>
      </c>
      <c r="P46" s="21">
        <f t="shared" si="27"/>
        <v>680</v>
      </c>
      <c r="Q46" s="21">
        <f t="shared" si="27"/>
        <v>680</v>
      </c>
      <c r="R46" s="21">
        <f t="shared" si="27"/>
        <v>680</v>
      </c>
      <c r="S46" s="21">
        <f t="shared" si="28"/>
        <v>680</v>
      </c>
      <c r="T46" s="21">
        <f t="shared" si="28"/>
        <v>680</v>
      </c>
      <c r="U46" s="21">
        <f t="shared" si="28"/>
        <v>680</v>
      </c>
      <c r="V46" s="21">
        <f t="shared" si="28"/>
        <v>680</v>
      </c>
      <c r="W46" s="21">
        <f t="shared" si="28"/>
        <v>680</v>
      </c>
      <c r="X46" s="21">
        <f t="shared" si="28"/>
        <v>680</v>
      </c>
      <c r="Y46" s="21">
        <f t="shared" si="28"/>
        <v>680</v>
      </c>
      <c r="Z46" s="21">
        <f t="shared" si="28"/>
        <v>680</v>
      </c>
      <c r="AA46" s="21">
        <f t="shared" si="28"/>
        <v>680</v>
      </c>
      <c r="AB46" s="21">
        <f t="shared" si="28"/>
        <v>680</v>
      </c>
      <c r="AC46" s="21">
        <f t="shared" si="28"/>
        <v>680</v>
      </c>
      <c r="AD46" s="21">
        <f t="shared" si="28"/>
        <v>680</v>
      </c>
      <c r="AE46" s="21">
        <f t="shared" si="28"/>
        <v>680</v>
      </c>
    </row>
    <row r="47" spans="2:31" x14ac:dyDescent="0.2">
      <c r="C47" s="5"/>
      <c r="E47" s="2"/>
      <c r="L47" s="12"/>
      <c r="M47" s="12"/>
      <c r="N47" s="12"/>
      <c r="O47" s="12"/>
      <c r="P47" s="12"/>
      <c r="Q47" s="12"/>
      <c r="R47" s="12"/>
      <c r="S47" s="12"/>
      <c r="T47" s="12"/>
      <c r="U47" s="12"/>
      <c r="V47" s="12"/>
      <c r="W47" s="12"/>
      <c r="X47" s="12"/>
      <c r="Y47" s="12"/>
      <c r="Z47" s="12"/>
      <c r="AA47" s="12"/>
      <c r="AB47" s="12"/>
      <c r="AC47" s="12"/>
      <c r="AD47" s="12"/>
      <c r="AE47" s="12"/>
    </row>
    <row r="48" spans="2:31" x14ac:dyDescent="0.2">
      <c r="B48" s="24">
        <f>B28+0.01</f>
        <v>1.3200000000000003</v>
      </c>
      <c r="C48" s="20" t="s">
        <v>526</v>
      </c>
      <c r="E48" s="2"/>
      <c r="L48" s="12"/>
      <c r="M48" s="12"/>
      <c r="N48" s="12"/>
      <c r="O48" s="12"/>
      <c r="P48" s="12"/>
      <c r="Q48" s="12"/>
      <c r="R48" s="12"/>
      <c r="S48" s="12"/>
      <c r="T48" s="12"/>
      <c r="U48" s="12"/>
      <c r="V48" s="12"/>
      <c r="W48" s="12"/>
      <c r="X48" s="12"/>
      <c r="Y48" s="12"/>
      <c r="Z48" s="12"/>
      <c r="AA48" s="12"/>
      <c r="AB48" s="12"/>
      <c r="AC48" s="12"/>
      <c r="AD48" s="12"/>
      <c r="AE48" s="12"/>
    </row>
    <row r="49" spans="2:31" x14ac:dyDescent="0.2">
      <c r="B49" s="24"/>
      <c r="C49" s="20" t="s">
        <v>865</v>
      </c>
      <c r="E49" s="2"/>
      <c r="L49" s="12"/>
      <c r="M49" s="12"/>
      <c r="N49" s="12"/>
      <c r="O49" s="12"/>
      <c r="P49" s="12"/>
      <c r="Q49" s="12"/>
      <c r="R49" s="12"/>
      <c r="S49" s="12"/>
      <c r="T49" s="12"/>
      <c r="U49" s="12"/>
      <c r="V49" s="12"/>
      <c r="W49" s="12"/>
      <c r="X49" s="12"/>
      <c r="Y49" s="12"/>
      <c r="Z49" s="12"/>
      <c r="AA49" s="12"/>
      <c r="AB49" s="12"/>
      <c r="AC49" s="12"/>
      <c r="AD49" s="12"/>
      <c r="AE49" s="12"/>
    </row>
    <row r="50" spans="2:31" x14ac:dyDescent="0.2">
      <c r="C50" s="5" t="s">
        <v>739</v>
      </c>
      <c r="E50" s="97">
        <v>100</v>
      </c>
      <c r="F50" s="5" t="s">
        <v>3</v>
      </c>
      <c r="G50" s="21">
        <f>AVERAGE(K50:AE50)</f>
        <v>100</v>
      </c>
      <c r="I50" s="21">
        <f t="shared" ref="I50:AE50" si="29">$E$50</f>
        <v>100</v>
      </c>
      <c r="J50" s="21">
        <f t="shared" si="29"/>
        <v>100</v>
      </c>
      <c r="K50" s="21">
        <f t="shared" si="29"/>
        <v>100</v>
      </c>
      <c r="L50" s="21">
        <f t="shared" si="29"/>
        <v>100</v>
      </c>
      <c r="M50" s="21">
        <f t="shared" si="29"/>
        <v>100</v>
      </c>
      <c r="N50" s="21">
        <f t="shared" si="29"/>
        <v>100</v>
      </c>
      <c r="O50" s="21">
        <f t="shared" si="29"/>
        <v>100</v>
      </c>
      <c r="P50" s="21">
        <f t="shared" si="29"/>
        <v>100</v>
      </c>
      <c r="Q50" s="21">
        <f t="shared" si="29"/>
        <v>100</v>
      </c>
      <c r="R50" s="21">
        <f t="shared" si="29"/>
        <v>100</v>
      </c>
      <c r="S50" s="21">
        <f t="shared" si="29"/>
        <v>100</v>
      </c>
      <c r="T50" s="21">
        <f t="shared" si="29"/>
        <v>100</v>
      </c>
      <c r="U50" s="21">
        <f t="shared" si="29"/>
        <v>100</v>
      </c>
      <c r="V50" s="21">
        <f t="shared" si="29"/>
        <v>100</v>
      </c>
      <c r="W50" s="21">
        <f t="shared" si="29"/>
        <v>100</v>
      </c>
      <c r="X50" s="21">
        <f t="shared" si="29"/>
        <v>100</v>
      </c>
      <c r="Y50" s="21">
        <f t="shared" si="29"/>
        <v>100</v>
      </c>
      <c r="Z50" s="21">
        <f t="shared" si="29"/>
        <v>100</v>
      </c>
      <c r="AA50" s="21">
        <f t="shared" si="29"/>
        <v>100</v>
      </c>
      <c r="AB50" s="21">
        <f t="shared" si="29"/>
        <v>100</v>
      </c>
      <c r="AC50" s="21">
        <f t="shared" si="29"/>
        <v>100</v>
      </c>
      <c r="AD50" s="21">
        <f t="shared" si="29"/>
        <v>100</v>
      </c>
      <c r="AE50" s="21">
        <f t="shared" si="29"/>
        <v>100</v>
      </c>
    </row>
    <row r="51" spans="2:31" x14ac:dyDescent="0.2">
      <c r="C51" s="5" t="s">
        <v>740</v>
      </c>
      <c r="E51" s="318">
        <f>G51</f>
        <v>676.9814074463992</v>
      </c>
      <c r="F51" s="5" t="s">
        <v>3</v>
      </c>
      <c r="G51" s="21">
        <f>AVERAGE(K51:AE51)</f>
        <v>676.9814074463992</v>
      </c>
      <c r="I51" s="21">
        <f t="shared" ref="I51:AE51" si="30">I58+I50</f>
        <v>676.9814074463992</v>
      </c>
      <c r="J51" s="21">
        <f t="shared" si="30"/>
        <v>676.9814074463992</v>
      </c>
      <c r="K51" s="21">
        <f t="shared" si="30"/>
        <v>676.9814074463992</v>
      </c>
      <c r="L51" s="21">
        <f t="shared" si="30"/>
        <v>676.9814074463992</v>
      </c>
      <c r="M51" s="21">
        <f t="shared" si="30"/>
        <v>676.9814074463992</v>
      </c>
      <c r="N51" s="21">
        <f t="shared" si="30"/>
        <v>676.9814074463992</v>
      </c>
      <c r="O51" s="21">
        <f t="shared" si="30"/>
        <v>676.9814074463992</v>
      </c>
      <c r="P51" s="21">
        <f t="shared" si="30"/>
        <v>676.9814074463992</v>
      </c>
      <c r="Q51" s="21">
        <f t="shared" si="30"/>
        <v>676.9814074463992</v>
      </c>
      <c r="R51" s="21">
        <f t="shared" si="30"/>
        <v>676.9814074463992</v>
      </c>
      <c r="S51" s="21">
        <f t="shared" si="30"/>
        <v>676.9814074463992</v>
      </c>
      <c r="T51" s="21">
        <f t="shared" si="30"/>
        <v>676.9814074463992</v>
      </c>
      <c r="U51" s="21">
        <f t="shared" si="30"/>
        <v>676.9814074463992</v>
      </c>
      <c r="V51" s="21">
        <f t="shared" si="30"/>
        <v>676.9814074463992</v>
      </c>
      <c r="W51" s="21">
        <f t="shared" si="30"/>
        <v>676.9814074463992</v>
      </c>
      <c r="X51" s="21">
        <f t="shared" si="30"/>
        <v>676.9814074463992</v>
      </c>
      <c r="Y51" s="21">
        <f t="shared" si="30"/>
        <v>676.9814074463992</v>
      </c>
      <c r="Z51" s="21">
        <f t="shared" si="30"/>
        <v>676.9814074463992</v>
      </c>
      <c r="AA51" s="21">
        <f t="shared" si="30"/>
        <v>676.9814074463992</v>
      </c>
      <c r="AB51" s="21">
        <f t="shared" si="30"/>
        <v>676.9814074463992</v>
      </c>
      <c r="AC51" s="21">
        <f t="shared" si="30"/>
        <v>676.9814074463992</v>
      </c>
      <c r="AD51" s="21">
        <f t="shared" si="30"/>
        <v>676.9814074463992</v>
      </c>
      <c r="AE51" s="21">
        <f t="shared" si="30"/>
        <v>676.9814074463992</v>
      </c>
    </row>
    <row r="52" spans="2:31" x14ac:dyDescent="0.2">
      <c r="C52" s="5"/>
      <c r="E52" s="446"/>
      <c r="F52" s="5"/>
      <c r="I52" s="21"/>
      <c r="J52" s="21"/>
      <c r="K52" s="21"/>
      <c r="L52" s="21"/>
      <c r="M52" s="21"/>
      <c r="N52" s="21"/>
      <c r="O52" s="21"/>
      <c r="P52" s="21"/>
      <c r="Q52" s="21"/>
      <c r="R52" s="21"/>
      <c r="S52" s="21"/>
      <c r="T52" s="21"/>
      <c r="U52" s="21"/>
      <c r="V52" s="21"/>
      <c r="W52" s="21"/>
      <c r="X52" s="21"/>
      <c r="Y52" s="21"/>
      <c r="Z52" s="21"/>
      <c r="AA52" s="21"/>
      <c r="AB52" s="21"/>
      <c r="AC52" s="21"/>
      <c r="AD52" s="21"/>
      <c r="AE52" s="21"/>
    </row>
    <row r="53" spans="2:31" x14ac:dyDescent="0.2">
      <c r="C53" s="5" t="s">
        <v>741</v>
      </c>
      <c r="E53" s="153">
        <v>0.2</v>
      </c>
      <c r="F53" s="5" t="s">
        <v>8</v>
      </c>
      <c r="G53" s="36">
        <f>AVERAGE(K53:AE53)</f>
        <v>0.20000000000000004</v>
      </c>
      <c r="I53" s="36">
        <f>$E$53</f>
        <v>0.2</v>
      </c>
      <c r="J53" s="36">
        <f>$E$53</f>
        <v>0.2</v>
      </c>
      <c r="K53" s="36">
        <f>$E$53</f>
        <v>0.2</v>
      </c>
      <c r="L53" s="36">
        <f t="shared" ref="L53:AE53" si="31">$E$53</f>
        <v>0.2</v>
      </c>
      <c r="M53" s="36">
        <f t="shared" si="31"/>
        <v>0.2</v>
      </c>
      <c r="N53" s="36">
        <f t="shared" si="31"/>
        <v>0.2</v>
      </c>
      <c r="O53" s="36">
        <f t="shared" si="31"/>
        <v>0.2</v>
      </c>
      <c r="P53" s="36">
        <f t="shared" si="31"/>
        <v>0.2</v>
      </c>
      <c r="Q53" s="36">
        <f t="shared" si="31"/>
        <v>0.2</v>
      </c>
      <c r="R53" s="36">
        <f t="shared" si="31"/>
        <v>0.2</v>
      </c>
      <c r="S53" s="36">
        <f t="shared" si="31"/>
        <v>0.2</v>
      </c>
      <c r="T53" s="36">
        <f t="shared" si="31"/>
        <v>0.2</v>
      </c>
      <c r="U53" s="36">
        <f t="shared" si="31"/>
        <v>0.2</v>
      </c>
      <c r="V53" s="36">
        <f t="shared" si="31"/>
        <v>0.2</v>
      </c>
      <c r="W53" s="36">
        <f t="shared" si="31"/>
        <v>0.2</v>
      </c>
      <c r="X53" s="36">
        <f t="shared" si="31"/>
        <v>0.2</v>
      </c>
      <c r="Y53" s="36">
        <f t="shared" si="31"/>
        <v>0.2</v>
      </c>
      <c r="Z53" s="36">
        <f t="shared" si="31"/>
        <v>0.2</v>
      </c>
      <c r="AA53" s="36">
        <f t="shared" si="31"/>
        <v>0.2</v>
      </c>
      <c r="AB53" s="36">
        <f t="shared" si="31"/>
        <v>0.2</v>
      </c>
      <c r="AC53" s="36">
        <f t="shared" si="31"/>
        <v>0.2</v>
      </c>
      <c r="AD53" s="36">
        <f t="shared" si="31"/>
        <v>0.2</v>
      </c>
      <c r="AE53" s="36">
        <f t="shared" si="31"/>
        <v>0.2</v>
      </c>
    </row>
    <row r="54" spans="2:31" x14ac:dyDescent="0.2">
      <c r="C54" s="5" t="s">
        <v>742</v>
      </c>
      <c r="E54" s="318">
        <f>G54</f>
        <v>541.58512595711932</v>
      </c>
      <c r="F54" s="5" t="s">
        <v>3</v>
      </c>
      <c r="G54" s="21">
        <f>AVERAGE(K54:AE54)</f>
        <v>541.58512595711932</v>
      </c>
      <c r="I54" s="21">
        <f>I51*(1-I53)</f>
        <v>541.58512595711943</v>
      </c>
      <c r="J54" s="21">
        <f>J51*(1-J53)</f>
        <v>541.58512595711943</v>
      </c>
      <c r="K54" s="21">
        <f>K51*(1-K53)</f>
        <v>541.58512595711943</v>
      </c>
      <c r="L54" s="21">
        <f t="shared" ref="L54:AE54" si="32">L51*(1-L53)</f>
        <v>541.58512595711943</v>
      </c>
      <c r="M54" s="21">
        <f t="shared" si="32"/>
        <v>541.58512595711943</v>
      </c>
      <c r="N54" s="21">
        <f t="shared" si="32"/>
        <v>541.58512595711943</v>
      </c>
      <c r="O54" s="21">
        <f t="shared" si="32"/>
        <v>541.58512595711943</v>
      </c>
      <c r="P54" s="21">
        <f t="shared" si="32"/>
        <v>541.58512595711943</v>
      </c>
      <c r="Q54" s="21">
        <f t="shared" si="32"/>
        <v>541.58512595711943</v>
      </c>
      <c r="R54" s="21">
        <f t="shared" si="32"/>
        <v>541.58512595711943</v>
      </c>
      <c r="S54" s="21">
        <f t="shared" si="32"/>
        <v>541.58512595711943</v>
      </c>
      <c r="T54" s="21">
        <f t="shared" si="32"/>
        <v>541.58512595711943</v>
      </c>
      <c r="U54" s="21">
        <f t="shared" si="32"/>
        <v>541.58512595711943</v>
      </c>
      <c r="V54" s="21">
        <f t="shared" si="32"/>
        <v>541.58512595711943</v>
      </c>
      <c r="W54" s="21">
        <f t="shared" si="32"/>
        <v>541.58512595711943</v>
      </c>
      <c r="X54" s="21">
        <f t="shared" si="32"/>
        <v>541.58512595711943</v>
      </c>
      <c r="Y54" s="21">
        <f t="shared" si="32"/>
        <v>541.58512595711943</v>
      </c>
      <c r="Z54" s="21">
        <f t="shared" si="32"/>
        <v>541.58512595711943</v>
      </c>
      <c r="AA54" s="21">
        <f t="shared" si="32"/>
        <v>541.58512595711943</v>
      </c>
      <c r="AB54" s="21">
        <f t="shared" si="32"/>
        <v>541.58512595711943</v>
      </c>
      <c r="AC54" s="21">
        <f t="shared" si="32"/>
        <v>541.58512595711943</v>
      </c>
      <c r="AD54" s="21">
        <f t="shared" si="32"/>
        <v>541.58512595711943</v>
      </c>
      <c r="AE54" s="21">
        <f t="shared" si="32"/>
        <v>541.58512595711943</v>
      </c>
    </row>
    <row r="55" spans="2:31" x14ac:dyDescent="0.2">
      <c r="C55" s="5"/>
      <c r="E55" s="120"/>
      <c r="F55" s="5"/>
      <c r="L55" s="12"/>
      <c r="M55" s="12"/>
      <c r="N55" s="12"/>
      <c r="O55" s="12"/>
      <c r="P55" s="12"/>
      <c r="Q55" s="12"/>
      <c r="R55" s="12"/>
      <c r="S55" s="12"/>
      <c r="T55" s="12"/>
      <c r="U55" s="12"/>
      <c r="V55" s="12"/>
      <c r="W55" s="12"/>
      <c r="X55" s="12"/>
      <c r="Y55" s="12"/>
      <c r="Z55" s="12"/>
      <c r="AA55" s="12"/>
      <c r="AB55" s="12"/>
      <c r="AC55" s="12"/>
      <c r="AD55" s="12"/>
      <c r="AE55" s="12"/>
    </row>
    <row r="56" spans="2:31" x14ac:dyDescent="0.2">
      <c r="C56" s="5" t="s">
        <v>737</v>
      </c>
      <c r="E56" s="318">
        <f>G56</f>
        <v>551.9814074463992</v>
      </c>
      <c r="F56" s="5" t="s">
        <v>3</v>
      </c>
      <c r="G56" s="21">
        <f>AVERAGE(K56:AE56)</f>
        <v>551.9814074463992</v>
      </c>
      <c r="I56" s="444">
        <f>'Fe MPI correlation'!$M$4*I$209+'Fe MPI correlation'!$L$4</f>
        <v>551.9814074463992</v>
      </c>
      <c r="J56" s="444">
        <f>'Fe MPI correlation'!$M$4*J$209+'Fe MPI correlation'!$L$4</f>
        <v>551.9814074463992</v>
      </c>
      <c r="K56" s="444">
        <f>'Fe MPI correlation'!$M$4*K$209+'Fe MPI correlation'!$L$4</f>
        <v>551.9814074463992</v>
      </c>
      <c r="L56" s="444">
        <f>'Fe MPI correlation'!$M$4*L$209+'Fe MPI correlation'!$L$4</f>
        <v>551.9814074463992</v>
      </c>
      <c r="M56" s="444">
        <f>'Fe MPI correlation'!$M$4*M$209+'Fe MPI correlation'!$L$4</f>
        <v>551.9814074463992</v>
      </c>
      <c r="N56" s="444">
        <f>'Fe MPI correlation'!$M$4*N$209+'Fe MPI correlation'!$L$4</f>
        <v>551.9814074463992</v>
      </c>
      <c r="O56" s="444">
        <f>'Fe MPI correlation'!$M$4*O$209+'Fe MPI correlation'!$L$4</f>
        <v>551.9814074463992</v>
      </c>
      <c r="P56" s="444">
        <f>'Fe MPI correlation'!$M$4*P$209+'Fe MPI correlation'!$L$4</f>
        <v>551.9814074463992</v>
      </c>
      <c r="Q56" s="444">
        <f>'Fe MPI correlation'!$M$4*Q$209+'Fe MPI correlation'!$L$4</f>
        <v>551.9814074463992</v>
      </c>
      <c r="R56" s="444">
        <f>'Fe MPI correlation'!$M$4*R$209+'Fe MPI correlation'!$L$4</f>
        <v>551.9814074463992</v>
      </c>
      <c r="S56" s="444">
        <f>'Fe MPI correlation'!$M$4*S$209+'Fe MPI correlation'!$L$4</f>
        <v>551.9814074463992</v>
      </c>
      <c r="T56" s="444">
        <f>'Fe MPI correlation'!$M$4*T$209+'Fe MPI correlation'!$L$4</f>
        <v>551.9814074463992</v>
      </c>
      <c r="U56" s="444">
        <f>'Fe MPI correlation'!$M$4*U$209+'Fe MPI correlation'!$L$4</f>
        <v>551.9814074463992</v>
      </c>
      <c r="V56" s="444">
        <f>'Fe MPI correlation'!$M$4*V$209+'Fe MPI correlation'!$L$4</f>
        <v>551.9814074463992</v>
      </c>
      <c r="W56" s="444">
        <f>'Fe MPI correlation'!$M$4*W$209+'Fe MPI correlation'!$L$4</f>
        <v>551.9814074463992</v>
      </c>
      <c r="X56" s="444">
        <f>'Fe MPI correlation'!$M$4*X$209+'Fe MPI correlation'!$L$4</f>
        <v>551.9814074463992</v>
      </c>
      <c r="Y56" s="444">
        <f>'Fe MPI correlation'!$M$4*Y$209+'Fe MPI correlation'!$L$4</f>
        <v>551.9814074463992</v>
      </c>
      <c r="Z56" s="444">
        <f>'Fe MPI correlation'!$M$4*Z$209+'Fe MPI correlation'!$L$4</f>
        <v>551.9814074463992</v>
      </c>
      <c r="AA56" s="444">
        <f>'Fe MPI correlation'!$M$4*AA$209+'Fe MPI correlation'!$L$4</f>
        <v>551.9814074463992</v>
      </c>
      <c r="AB56" s="444">
        <f>'Fe MPI correlation'!$M$4*AB$209+'Fe MPI correlation'!$L$4</f>
        <v>551.9814074463992</v>
      </c>
      <c r="AC56" s="444">
        <f>'Fe MPI correlation'!$M$4*AC$209+'Fe MPI correlation'!$L$4</f>
        <v>551.9814074463992</v>
      </c>
      <c r="AD56" s="444">
        <f>'Fe MPI correlation'!$M$4*AD$209+'Fe MPI correlation'!$L$4</f>
        <v>551.9814074463992</v>
      </c>
      <c r="AE56" s="444">
        <f>'Fe MPI correlation'!$M$4*AE$209+'Fe MPI correlation'!$L$4</f>
        <v>551.9814074463992</v>
      </c>
    </row>
    <row r="57" spans="2:31" x14ac:dyDescent="0.2">
      <c r="C57" s="5" t="s">
        <v>738</v>
      </c>
      <c r="E57" s="97">
        <v>25</v>
      </c>
      <c r="F57" s="5" t="s">
        <v>3</v>
      </c>
      <c r="G57" s="21">
        <f>AVERAGE(K57:AE57)</f>
        <v>25</v>
      </c>
      <c r="I57" s="275">
        <f>$E$57</f>
        <v>25</v>
      </c>
      <c r="J57" s="275">
        <f>$E$57</f>
        <v>25</v>
      </c>
      <c r="K57" s="275">
        <f>$E$57</f>
        <v>25</v>
      </c>
      <c r="L57" s="275">
        <f t="shared" ref="L57:AE57" si="33">$E$57</f>
        <v>25</v>
      </c>
      <c r="M57" s="275">
        <f t="shared" si="33"/>
        <v>25</v>
      </c>
      <c r="N57" s="275">
        <f t="shared" si="33"/>
        <v>25</v>
      </c>
      <c r="O57" s="275">
        <f t="shared" si="33"/>
        <v>25</v>
      </c>
      <c r="P57" s="275">
        <f t="shared" si="33"/>
        <v>25</v>
      </c>
      <c r="Q57" s="275">
        <f t="shared" si="33"/>
        <v>25</v>
      </c>
      <c r="R57" s="275">
        <f t="shared" si="33"/>
        <v>25</v>
      </c>
      <c r="S57" s="275">
        <f t="shared" si="33"/>
        <v>25</v>
      </c>
      <c r="T57" s="275">
        <f t="shared" si="33"/>
        <v>25</v>
      </c>
      <c r="U57" s="275">
        <f t="shared" si="33"/>
        <v>25</v>
      </c>
      <c r="V57" s="275">
        <f t="shared" si="33"/>
        <v>25</v>
      </c>
      <c r="W57" s="275">
        <f t="shared" si="33"/>
        <v>25</v>
      </c>
      <c r="X57" s="275">
        <f t="shared" si="33"/>
        <v>25</v>
      </c>
      <c r="Y57" s="275">
        <f t="shared" si="33"/>
        <v>25</v>
      </c>
      <c r="Z57" s="275">
        <f t="shared" si="33"/>
        <v>25</v>
      </c>
      <c r="AA57" s="275">
        <f t="shared" si="33"/>
        <v>25</v>
      </c>
      <c r="AB57" s="275">
        <f t="shared" si="33"/>
        <v>25</v>
      </c>
      <c r="AC57" s="275">
        <f t="shared" si="33"/>
        <v>25</v>
      </c>
      <c r="AD57" s="275">
        <f t="shared" si="33"/>
        <v>25</v>
      </c>
      <c r="AE57" s="275">
        <f t="shared" si="33"/>
        <v>25</v>
      </c>
    </row>
    <row r="58" spans="2:31" x14ac:dyDescent="0.2">
      <c r="C58" s="5" t="s">
        <v>736</v>
      </c>
      <c r="E58" s="318">
        <f>G58</f>
        <v>576.9814074463992</v>
      </c>
      <c r="F58" s="5" t="s">
        <v>3</v>
      </c>
      <c r="G58" s="21">
        <f>AVERAGE(K58:AE58)</f>
        <v>576.9814074463992</v>
      </c>
      <c r="I58" s="445">
        <f>SUM(I56:I57)</f>
        <v>576.9814074463992</v>
      </c>
      <c r="J58" s="445">
        <f>SUM(J56:J57)</f>
        <v>576.9814074463992</v>
      </c>
      <c r="K58" s="445">
        <f>SUM(K56:K57)</f>
        <v>576.9814074463992</v>
      </c>
      <c r="L58" s="445">
        <f t="shared" ref="L58:AE58" si="34">SUM(L56:L57)</f>
        <v>576.9814074463992</v>
      </c>
      <c r="M58" s="445">
        <f t="shared" si="34"/>
        <v>576.9814074463992</v>
      </c>
      <c r="N58" s="445">
        <f t="shared" si="34"/>
        <v>576.9814074463992</v>
      </c>
      <c r="O58" s="445">
        <f t="shared" si="34"/>
        <v>576.9814074463992</v>
      </c>
      <c r="P58" s="445">
        <f t="shared" si="34"/>
        <v>576.9814074463992</v>
      </c>
      <c r="Q58" s="445">
        <f t="shared" si="34"/>
        <v>576.9814074463992</v>
      </c>
      <c r="R58" s="445">
        <f t="shared" si="34"/>
        <v>576.9814074463992</v>
      </c>
      <c r="S58" s="445">
        <f t="shared" si="34"/>
        <v>576.9814074463992</v>
      </c>
      <c r="T58" s="445">
        <f t="shared" si="34"/>
        <v>576.9814074463992</v>
      </c>
      <c r="U58" s="445">
        <f t="shared" si="34"/>
        <v>576.9814074463992</v>
      </c>
      <c r="V58" s="445">
        <f t="shared" si="34"/>
        <v>576.9814074463992</v>
      </c>
      <c r="W58" s="445">
        <f t="shared" si="34"/>
        <v>576.9814074463992</v>
      </c>
      <c r="X58" s="445">
        <f t="shared" si="34"/>
        <v>576.9814074463992</v>
      </c>
      <c r="Y58" s="445">
        <f t="shared" si="34"/>
        <v>576.9814074463992</v>
      </c>
      <c r="Z58" s="445">
        <f t="shared" si="34"/>
        <v>576.9814074463992</v>
      </c>
      <c r="AA58" s="445">
        <f t="shared" si="34"/>
        <v>576.9814074463992</v>
      </c>
      <c r="AB58" s="445">
        <f t="shared" si="34"/>
        <v>576.9814074463992</v>
      </c>
      <c r="AC58" s="445">
        <f t="shared" si="34"/>
        <v>576.9814074463992</v>
      </c>
      <c r="AD58" s="445">
        <f t="shared" si="34"/>
        <v>576.9814074463992</v>
      </c>
      <c r="AE58" s="445">
        <f t="shared" si="34"/>
        <v>576.9814074463992</v>
      </c>
    </row>
    <row r="59" spans="2:31" x14ac:dyDescent="0.2">
      <c r="C59" s="5"/>
      <c r="E59" s="120"/>
      <c r="F59" s="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row>
    <row r="60" spans="2:31" x14ac:dyDescent="0.2">
      <c r="C60" s="5" t="s">
        <v>743</v>
      </c>
      <c r="E60" s="153">
        <v>0.6</v>
      </c>
      <c r="F60" s="5" t="s">
        <v>8</v>
      </c>
      <c r="G60" s="36">
        <f>AVERAGE(K60:AE60)</f>
        <v>0.59999999999999987</v>
      </c>
      <c r="I60" s="36">
        <f>$E$60</f>
        <v>0.6</v>
      </c>
      <c r="J60" s="36">
        <f>$E$60</f>
        <v>0.6</v>
      </c>
      <c r="K60" s="36">
        <f>$E$60</f>
        <v>0.6</v>
      </c>
      <c r="L60" s="36">
        <f t="shared" ref="L60:AE60" si="35">$E$60</f>
        <v>0.6</v>
      </c>
      <c r="M60" s="36">
        <f t="shared" si="35"/>
        <v>0.6</v>
      </c>
      <c r="N60" s="36">
        <f t="shared" si="35"/>
        <v>0.6</v>
      </c>
      <c r="O60" s="36">
        <f t="shared" si="35"/>
        <v>0.6</v>
      </c>
      <c r="P60" s="36">
        <f t="shared" si="35"/>
        <v>0.6</v>
      </c>
      <c r="Q60" s="36">
        <f t="shared" si="35"/>
        <v>0.6</v>
      </c>
      <c r="R60" s="36">
        <f t="shared" si="35"/>
        <v>0.6</v>
      </c>
      <c r="S60" s="36">
        <f t="shared" si="35"/>
        <v>0.6</v>
      </c>
      <c r="T60" s="36">
        <f t="shared" si="35"/>
        <v>0.6</v>
      </c>
      <c r="U60" s="36">
        <f t="shared" si="35"/>
        <v>0.6</v>
      </c>
      <c r="V60" s="36">
        <f t="shared" si="35"/>
        <v>0.6</v>
      </c>
      <c r="W60" s="36">
        <f t="shared" si="35"/>
        <v>0.6</v>
      </c>
      <c r="X60" s="36">
        <f t="shared" si="35"/>
        <v>0.6</v>
      </c>
      <c r="Y60" s="36">
        <f t="shared" si="35"/>
        <v>0.6</v>
      </c>
      <c r="Z60" s="36">
        <f t="shared" si="35"/>
        <v>0.6</v>
      </c>
      <c r="AA60" s="36">
        <f t="shared" si="35"/>
        <v>0.6</v>
      </c>
      <c r="AB60" s="36">
        <f t="shared" si="35"/>
        <v>0.6</v>
      </c>
      <c r="AC60" s="36">
        <f t="shared" si="35"/>
        <v>0.6</v>
      </c>
      <c r="AD60" s="36">
        <f t="shared" si="35"/>
        <v>0.6</v>
      </c>
      <c r="AE60" s="36">
        <f t="shared" si="35"/>
        <v>0.6</v>
      </c>
    </row>
    <row r="61" spans="2:31" x14ac:dyDescent="0.2">
      <c r="C61" s="5" t="s">
        <v>388</v>
      </c>
      <c r="E61" s="318">
        <f>G61</f>
        <v>346.18884446783954</v>
      </c>
      <c r="F61" s="5" t="s">
        <v>3</v>
      </c>
      <c r="G61" s="21">
        <f>AVERAGE(K61:AE61)</f>
        <v>346.18884446783954</v>
      </c>
      <c r="I61" s="445">
        <f>I58*I60</f>
        <v>346.18884446783949</v>
      </c>
      <c r="J61" s="445">
        <f>J58*J60</f>
        <v>346.18884446783949</v>
      </c>
      <c r="K61" s="445">
        <f>K58*K60</f>
        <v>346.18884446783949</v>
      </c>
      <c r="L61" s="445">
        <f t="shared" ref="L61:AE61" si="36">L58*L60</f>
        <v>346.18884446783949</v>
      </c>
      <c r="M61" s="445">
        <f t="shared" si="36"/>
        <v>346.18884446783949</v>
      </c>
      <c r="N61" s="445">
        <f t="shared" si="36"/>
        <v>346.18884446783949</v>
      </c>
      <c r="O61" s="445">
        <f t="shared" si="36"/>
        <v>346.18884446783949</v>
      </c>
      <c r="P61" s="445">
        <f t="shared" si="36"/>
        <v>346.18884446783949</v>
      </c>
      <c r="Q61" s="445">
        <f t="shared" si="36"/>
        <v>346.18884446783949</v>
      </c>
      <c r="R61" s="445">
        <f t="shared" si="36"/>
        <v>346.18884446783949</v>
      </c>
      <c r="S61" s="445">
        <f t="shared" si="36"/>
        <v>346.18884446783949</v>
      </c>
      <c r="T61" s="445">
        <f t="shared" si="36"/>
        <v>346.18884446783949</v>
      </c>
      <c r="U61" s="445">
        <f t="shared" si="36"/>
        <v>346.18884446783949</v>
      </c>
      <c r="V61" s="445">
        <f t="shared" si="36"/>
        <v>346.18884446783949</v>
      </c>
      <c r="W61" s="445">
        <f t="shared" si="36"/>
        <v>346.18884446783949</v>
      </c>
      <c r="X61" s="445">
        <f t="shared" si="36"/>
        <v>346.18884446783949</v>
      </c>
      <c r="Y61" s="445">
        <f t="shared" si="36"/>
        <v>346.18884446783949</v>
      </c>
      <c r="Z61" s="445">
        <f t="shared" si="36"/>
        <v>346.18884446783949</v>
      </c>
      <c r="AA61" s="445">
        <f t="shared" si="36"/>
        <v>346.18884446783949</v>
      </c>
      <c r="AB61" s="445">
        <f t="shared" si="36"/>
        <v>346.18884446783949</v>
      </c>
      <c r="AC61" s="445">
        <f t="shared" si="36"/>
        <v>346.18884446783949</v>
      </c>
      <c r="AD61" s="445">
        <f t="shared" si="36"/>
        <v>346.18884446783949</v>
      </c>
      <c r="AE61" s="445">
        <f t="shared" si="36"/>
        <v>346.18884446783949</v>
      </c>
    </row>
    <row r="62" spans="2:31" x14ac:dyDescent="0.2">
      <c r="C62" s="5"/>
      <c r="E62" s="2"/>
      <c r="L62" s="12"/>
      <c r="M62" s="12"/>
      <c r="N62" s="12"/>
      <c r="O62" s="12"/>
      <c r="P62" s="12"/>
      <c r="Q62" s="12"/>
      <c r="R62" s="12"/>
      <c r="S62" s="12"/>
      <c r="T62" s="12"/>
      <c r="U62" s="12"/>
      <c r="V62" s="12"/>
      <c r="W62" s="12"/>
      <c r="X62" s="12"/>
      <c r="Y62" s="12"/>
      <c r="Z62" s="12"/>
      <c r="AA62" s="12"/>
      <c r="AB62" s="12"/>
      <c r="AC62" s="12"/>
      <c r="AD62" s="12"/>
      <c r="AE62" s="12"/>
    </row>
    <row r="63" spans="2:31" x14ac:dyDescent="0.2">
      <c r="C63" s="20" t="s">
        <v>866</v>
      </c>
      <c r="E63" s="2"/>
      <c r="L63" s="12"/>
      <c r="M63" s="12"/>
      <c r="N63" s="12"/>
      <c r="O63" s="12"/>
      <c r="P63" s="12"/>
      <c r="Q63" s="12"/>
      <c r="R63" s="12"/>
      <c r="S63" s="12"/>
      <c r="T63" s="12"/>
      <c r="U63" s="12"/>
      <c r="V63" s="12"/>
      <c r="W63" s="12"/>
      <c r="X63" s="12"/>
      <c r="Y63" s="12"/>
      <c r="Z63" s="12"/>
      <c r="AA63" s="12"/>
      <c r="AB63" s="12"/>
      <c r="AC63" s="12"/>
      <c r="AD63" s="12"/>
      <c r="AE63" s="12"/>
    </row>
    <row r="64" spans="2:31" x14ac:dyDescent="0.2">
      <c r="C64" s="5" t="s">
        <v>385</v>
      </c>
      <c r="E64" s="318">
        <f>G64</f>
        <v>677.45747240546382</v>
      </c>
      <c r="G64" s="21">
        <f>AVERAGE(K64:AE64)</f>
        <v>677.45747240546382</v>
      </c>
      <c r="I64" s="21">
        <f>I65+I66</f>
        <v>677.45747240546382</v>
      </c>
      <c r="J64" s="21">
        <f>J65+J66</f>
        <v>677.45747240546382</v>
      </c>
      <c r="K64" s="21">
        <f>K65+K66</f>
        <v>677.45747240546382</v>
      </c>
      <c r="L64" s="21">
        <f t="shared" ref="L64:AE64" si="37">L65+L66</f>
        <v>677.45747240546382</v>
      </c>
      <c r="M64" s="21">
        <f t="shared" si="37"/>
        <v>677.45747240546382</v>
      </c>
      <c r="N64" s="21">
        <f t="shared" si="37"/>
        <v>677.45747240546382</v>
      </c>
      <c r="O64" s="21">
        <f t="shared" si="37"/>
        <v>677.45747240546382</v>
      </c>
      <c r="P64" s="21">
        <f t="shared" si="37"/>
        <v>677.45747240546382</v>
      </c>
      <c r="Q64" s="21">
        <f t="shared" si="37"/>
        <v>677.45747240546382</v>
      </c>
      <c r="R64" s="21">
        <f t="shared" si="37"/>
        <v>677.45747240546382</v>
      </c>
      <c r="S64" s="21">
        <f t="shared" si="37"/>
        <v>677.45747240546382</v>
      </c>
      <c r="T64" s="21">
        <f t="shared" si="37"/>
        <v>677.45747240546382</v>
      </c>
      <c r="U64" s="21">
        <f t="shared" si="37"/>
        <v>677.45747240546382</v>
      </c>
      <c r="V64" s="21">
        <f t="shared" si="37"/>
        <v>677.45747240546382</v>
      </c>
      <c r="W64" s="21">
        <f t="shared" si="37"/>
        <v>677.45747240546382</v>
      </c>
      <c r="X64" s="21">
        <f t="shared" si="37"/>
        <v>677.45747240546382</v>
      </c>
      <c r="Y64" s="21">
        <f t="shared" si="37"/>
        <v>677.45747240546382</v>
      </c>
      <c r="Z64" s="21">
        <f t="shared" si="37"/>
        <v>677.45747240546382</v>
      </c>
      <c r="AA64" s="21">
        <f t="shared" si="37"/>
        <v>677.45747240546382</v>
      </c>
      <c r="AB64" s="21">
        <f t="shared" si="37"/>
        <v>677.45747240546382</v>
      </c>
      <c r="AC64" s="21">
        <f t="shared" si="37"/>
        <v>677.45747240546382</v>
      </c>
      <c r="AD64" s="21">
        <f t="shared" si="37"/>
        <v>677.45747240546382</v>
      </c>
      <c r="AE64" s="21">
        <f t="shared" si="37"/>
        <v>677.45747240546382</v>
      </c>
    </row>
    <row r="65" spans="2:31" x14ac:dyDescent="0.2">
      <c r="C65" s="5" t="s">
        <v>867</v>
      </c>
      <c r="E65" s="318">
        <f>E50</f>
        <v>100</v>
      </c>
      <c r="G65" s="21">
        <f>AVERAGE(K65:AE65)</f>
        <v>100</v>
      </c>
      <c r="I65" s="21">
        <f>$E65</f>
        <v>100</v>
      </c>
      <c r="J65" s="21">
        <f>$E65</f>
        <v>100</v>
      </c>
      <c r="K65" s="21">
        <f>$E65</f>
        <v>100</v>
      </c>
      <c r="L65" s="21">
        <f t="shared" ref="L65:AE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21">
        <f t="shared" si="38"/>
        <v>100</v>
      </c>
      <c r="X65" s="21">
        <f t="shared" si="38"/>
        <v>100</v>
      </c>
      <c r="Y65" s="21">
        <f t="shared" si="38"/>
        <v>100</v>
      </c>
      <c r="Z65" s="21">
        <f t="shared" si="38"/>
        <v>100</v>
      </c>
      <c r="AA65" s="21">
        <f t="shared" si="38"/>
        <v>100</v>
      </c>
      <c r="AB65" s="21">
        <f t="shared" si="38"/>
        <v>100</v>
      </c>
      <c r="AC65" s="21">
        <f t="shared" si="38"/>
        <v>100</v>
      </c>
      <c r="AD65" s="21">
        <f t="shared" si="38"/>
        <v>100</v>
      </c>
      <c r="AE65" s="21">
        <f t="shared" si="38"/>
        <v>100</v>
      </c>
    </row>
    <row r="66" spans="2:31" x14ac:dyDescent="0.2">
      <c r="C66" s="5" t="s">
        <v>386</v>
      </c>
      <c r="E66" s="318">
        <f>G66</f>
        <v>577.45747240546382</v>
      </c>
      <c r="G66" s="21">
        <f>AVERAGE(K66:AE66)</f>
        <v>577.45747240546382</v>
      </c>
      <c r="I66" s="21">
        <f>($E$46/$E$36)*I56</f>
        <v>577.45747240546382</v>
      </c>
      <c r="J66" s="21">
        <f>($E$46/$E$36)*J56</f>
        <v>577.45747240546382</v>
      </c>
      <c r="K66" s="21">
        <f>($E$46/$E$36)*K56</f>
        <v>577.45747240546382</v>
      </c>
      <c r="L66" s="21">
        <f t="shared" ref="L66:AE66" si="39">($E$46/$E$36)*L56</f>
        <v>577.45747240546382</v>
      </c>
      <c r="M66" s="21">
        <f t="shared" si="39"/>
        <v>577.45747240546382</v>
      </c>
      <c r="N66" s="21">
        <f t="shared" si="39"/>
        <v>577.45747240546382</v>
      </c>
      <c r="O66" s="21">
        <f t="shared" si="39"/>
        <v>577.45747240546382</v>
      </c>
      <c r="P66" s="21">
        <f t="shared" si="39"/>
        <v>577.45747240546382</v>
      </c>
      <c r="Q66" s="21">
        <f t="shared" si="39"/>
        <v>577.45747240546382</v>
      </c>
      <c r="R66" s="21">
        <f t="shared" si="39"/>
        <v>577.45747240546382</v>
      </c>
      <c r="S66" s="21">
        <f t="shared" si="39"/>
        <v>577.45747240546382</v>
      </c>
      <c r="T66" s="21">
        <f t="shared" si="39"/>
        <v>577.45747240546382</v>
      </c>
      <c r="U66" s="21">
        <f t="shared" si="39"/>
        <v>577.45747240546382</v>
      </c>
      <c r="V66" s="21">
        <f t="shared" si="39"/>
        <v>577.45747240546382</v>
      </c>
      <c r="W66" s="21">
        <f t="shared" si="39"/>
        <v>577.45747240546382</v>
      </c>
      <c r="X66" s="21">
        <f t="shared" si="39"/>
        <v>577.45747240546382</v>
      </c>
      <c r="Y66" s="21">
        <f t="shared" si="39"/>
        <v>577.45747240546382</v>
      </c>
      <c r="Z66" s="21">
        <f t="shared" si="39"/>
        <v>577.45747240546382</v>
      </c>
      <c r="AA66" s="21">
        <f t="shared" si="39"/>
        <v>577.45747240546382</v>
      </c>
      <c r="AB66" s="21">
        <f t="shared" si="39"/>
        <v>577.45747240546382</v>
      </c>
      <c r="AC66" s="21">
        <f t="shared" si="39"/>
        <v>577.45747240546382</v>
      </c>
      <c r="AD66" s="21">
        <f t="shared" si="39"/>
        <v>577.45747240546382</v>
      </c>
      <c r="AE66" s="21">
        <f t="shared" si="39"/>
        <v>577.45747240546382</v>
      </c>
    </row>
    <row r="67" spans="2:31" x14ac:dyDescent="0.2">
      <c r="C67" s="5"/>
      <c r="E67" s="2"/>
      <c r="L67" s="12"/>
      <c r="M67" s="12"/>
      <c r="N67" s="12"/>
      <c r="O67" s="12"/>
      <c r="P67" s="12"/>
      <c r="Q67" s="12"/>
      <c r="R67" s="12"/>
      <c r="S67" s="12"/>
      <c r="T67" s="12"/>
      <c r="U67" s="12"/>
      <c r="V67" s="12"/>
      <c r="W67" s="12"/>
      <c r="X67" s="12"/>
      <c r="Y67" s="12"/>
      <c r="Z67" s="12"/>
      <c r="AA67" s="12"/>
      <c r="AB67" s="12"/>
      <c r="AC67" s="12"/>
      <c r="AD67" s="12"/>
      <c r="AE67" s="12"/>
    </row>
    <row r="68" spans="2:31" s="5" customFormat="1" x14ac:dyDescent="0.2">
      <c r="B68" s="119">
        <f>B48+0.01</f>
        <v>1.3300000000000003</v>
      </c>
      <c r="C68" s="20" t="s">
        <v>747</v>
      </c>
      <c r="E68" s="97">
        <v>0</v>
      </c>
      <c r="F68" s="5" t="s">
        <v>3</v>
      </c>
      <c r="G68" s="21">
        <f>AVERAGE(K68:AE68)</f>
        <v>0</v>
      </c>
      <c r="I68" s="45">
        <f>$E68</f>
        <v>0</v>
      </c>
      <c r="J68" s="45">
        <f>$E68</f>
        <v>0</v>
      </c>
      <c r="K68" s="45">
        <f>$E68</f>
        <v>0</v>
      </c>
      <c r="L68" s="45">
        <f>$E68</f>
        <v>0</v>
      </c>
      <c r="M68" s="45">
        <f t="shared" ref="M68:AE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45">
        <f t="shared" si="40"/>
        <v>0</v>
      </c>
      <c r="X68" s="45">
        <f t="shared" si="40"/>
        <v>0</v>
      </c>
      <c r="Y68" s="45">
        <f t="shared" si="40"/>
        <v>0</v>
      </c>
      <c r="Z68" s="45">
        <f t="shared" si="40"/>
        <v>0</v>
      </c>
      <c r="AA68" s="45">
        <f t="shared" si="40"/>
        <v>0</v>
      </c>
      <c r="AB68" s="45">
        <f t="shared" si="40"/>
        <v>0</v>
      </c>
      <c r="AC68" s="45">
        <f t="shared" si="40"/>
        <v>0</v>
      </c>
      <c r="AD68" s="45">
        <f t="shared" si="40"/>
        <v>0</v>
      </c>
      <c r="AE68" s="45">
        <f t="shared" si="40"/>
        <v>0</v>
      </c>
    </row>
    <row r="69" spans="2:31" x14ac:dyDescent="0.2">
      <c r="E69" s="2"/>
      <c r="L69" s="14"/>
      <c r="M69" s="14"/>
      <c r="N69" s="14"/>
      <c r="O69" s="14"/>
      <c r="P69" s="14"/>
      <c r="Q69" s="14"/>
      <c r="R69" s="14"/>
      <c r="S69" s="14"/>
      <c r="T69" s="14"/>
      <c r="U69" s="14"/>
      <c r="V69" s="14"/>
      <c r="W69" s="14"/>
      <c r="X69" s="14"/>
      <c r="Y69" s="14"/>
      <c r="Z69" s="14"/>
      <c r="AA69" s="14"/>
      <c r="AB69" s="14"/>
      <c r="AC69" s="14"/>
      <c r="AD69" s="14"/>
      <c r="AE69" s="14"/>
    </row>
    <row r="70" spans="2:31" ht="15" x14ac:dyDescent="0.25">
      <c r="B70" s="10">
        <f>B19+0.1</f>
        <v>1.4000000000000004</v>
      </c>
      <c r="C70" s="9" t="s">
        <v>4</v>
      </c>
      <c r="D70" s="9"/>
      <c r="E70" s="2"/>
      <c r="L70" s="14"/>
      <c r="M70" s="14"/>
      <c r="N70" s="14"/>
      <c r="O70" s="165"/>
      <c r="P70" s="166"/>
      <c r="Q70" s="166"/>
      <c r="R70" s="165"/>
      <c r="S70" s="166"/>
      <c r="T70" s="167"/>
      <c r="U70" s="168"/>
      <c r="V70" s="168"/>
      <c r="W70" s="168"/>
      <c r="Z70" s="74"/>
      <c r="AA70" s="14"/>
      <c r="AB70" s="14"/>
      <c r="AC70" s="14"/>
      <c r="AD70" s="14"/>
      <c r="AE70" s="14"/>
    </row>
    <row r="71" spans="2:31" ht="15" x14ac:dyDescent="0.25">
      <c r="E71" s="2"/>
      <c r="L71" s="14"/>
      <c r="M71" s="14"/>
      <c r="N71" s="14"/>
      <c r="O71" s="165"/>
      <c r="P71" s="169"/>
      <c r="Q71" s="169"/>
      <c r="R71" s="165"/>
      <c r="S71" s="165"/>
      <c r="T71" s="168"/>
      <c r="U71" s="170"/>
      <c r="V71" s="170"/>
      <c r="W71" s="168"/>
      <c r="Z71" s="74"/>
      <c r="AA71" s="14"/>
      <c r="AB71" s="14"/>
      <c r="AC71" s="14"/>
      <c r="AD71" s="14"/>
      <c r="AE71" s="14"/>
    </row>
    <row r="72" spans="2:31" ht="15" x14ac:dyDescent="0.25">
      <c r="C72" s="1" t="s">
        <v>5</v>
      </c>
      <c r="E72" s="76">
        <v>365</v>
      </c>
      <c r="F72" s="1" t="s">
        <v>6</v>
      </c>
      <c r="M72" s="14"/>
      <c r="N72" s="14"/>
      <c r="O72" s="171"/>
      <c r="P72" s="172"/>
      <c r="Q72" s="171"/>
      <c r="R72" s="173"/>
      <c r="S72" s="174"/>
      <c r="T72" s="175"/>
      <c r="U72" s="176"/>
      <c r="V72" s="177"/>
      <c r="W72" s="178"/>
      <c r="Z72" s="32"/>
      <c r="AA72" s="15"/>
      <c r="AB72" s="14"/>
      <c r="AC72" s="14"/>
      <c r="AD72" s="14"/>
      <c r="AE72" s="14"/>
    </row>
    <row r="73" spans="2:31" ht="15" x14ac:dyDescent="0.25">
      <c r="C73" s="1" t="s">
        <v>7</v>
      </c>
      <c r="E73" s="96">
        <v>0.9</v>
      </c>
      <c r="F73" s="1" t="s">
        <v>8</v>
      </c>
      <c r="M73" s="14"/>
      <c r="N73" s="14"/>
      <c r="O73" s="165"/>
      <c r="P73" s="172"/>
      <c r="Q73" s="171"/>
      <c r="R73" s="173"/>
      <c r="S73" s="174"/>
      <c r="T73" s="175"/>
      <c r="U73" s="176"/>
      <c r="V73" s="177"/>
      <c r="W73" s="178"/>
      <c r="Z73" s="32"/>
      <c r="AA73" s="14"/>
      <c r="AB73" s="14"/>
      <c r="AC73" s="14"/>
      <c r="AD73" s="14"/>
      <c r="AE73" s="14"/>
    </row>
    <row r="74" spans="2:31" ht="15" x14ac:dyDescent="0.25">
      <c r="E74" s="55"/>
      <c r="M74" s="14"/>
      <c r="N74" s="14"/>
      <c r="O74" s="165"/>
      <c r="P74" s="172"/>
      <c r="Q74" s="171"/>
      <c r="R74" s="173"/>
      <c r="S74" s="174"/>
      <c r="T74" s="175"/>
      <c r="U74" s="176"/>
      <c r="V74" s="177"/>
      <c r="W74" s="178"/>
      <c r="Z74" s="32"/>
      <c r="AA74" s="14"/>
      <c r="AB74" s="14"/>
      <c r="AC74" s="14"/>
      <c r="AD74" s="14"/>
      <c r="AE74" s="14"/>
    </row>
    <row r="75" spans="2:31" ht="15" x14ac:dyDescent="0.25">
      <c r="C75" s="1" t="s">
        <v>9</v>
      </c>
      <c r="E75" s="55"/>
      <c r="M75" s="14"/>
      <c r="N75" s="14"/>
      <c r="O75" s="165"/>
      <c r="P75" s="172"/>
      <c r="Q75" s="171"/>
      <c r="R75" s="173"/>
      <c r="S75" s="174"/>
      <c r="T75" s="175"/>
      <c r="U75" s="176"/>
      <c r="V75" s="177"/>
      <c r="W75" s="178"/>
      <c r="Z75" s="32"/>
      <c r="AA75" s="14"/>
      <c r="AB75" s="14"/>
      <c r="AC75" s="14"/>
      <c r="AD75" s="14"/>
      <c r="AE75" s="14"/>
    </row>
    <row r="76" spans="2:31" ht="15" x14ac:dyDescent="0.25">
      <c r="C76" s="16" t="s">
        <v>10</v>
      </c>
      <c r="D76" s="16"/>
      <c r="E76" s="97">
        <v>36.923000000000002</v>
      </c>
      <c r="F76" s="1" t="s">
        <v>11</v>
      </c>
      <c r="L76" s="35"/>
      <c r="M76" s="14"/>
      <c r="N76" s="14"/>
      <c r="O76" s="165"/>
      <c r="P76" s="171"/>
      <c r="Q76" s="171"/>
      <c r="R76" s="165"/>
      <c r="S76" s="171"/>
      <c r="T76" s="177"/>
      <c r="U76" s="177"/>
      <c r="V76" s="177"/>
      <c r="W76" s="179"/>
      <c r="Z76" s="14"/>
      <c r="AA76" s="14"/>
      <c r="AB76" s="14"/>
      <c r="AC76" s="14"/>
      <c r="AD76" s="14"/>
      <c r="AE76" s="14"/>
    </row>
    <row r="77" spans="2:31" x14ac:dyDescent="0.2">
      <c r="C77" s="16" t="s">
        <v>12</v>
      </c>
      <c r="D77" s="16"/>
      <c r="E77" s="97">
        <v>947.9</v>
      </c>
      <c r="F77" s="1" t="s">
        <v>11</v>
      </c>
      <c r="L77" s="35"/>
      <c r="M77" s="17"/>
      <c r="N77" s="14"/>
      <c r="O77" s="5"/>
      <c r="P77" s="5"/>
      <c r="Q77" s="5"/>
      <c r="R77" s="5"/>
      <c r="S77" s="5"/>
      <c r="T77" s="20"/>
      <c r="U77" s="20"/>
      <c r="V77" s="20"/>
      <c r="W77" s="20"/>
      <c r="Z77" s="14"/>
      <c r="AA77" s="14"/>
      <c r="AB77" s="14"/>
      <c r="AC77" s="14"/>
      <c r="AD77" s="14"/>
      <c r="AE77" s="14"/>
    </row>
    <row r="78" spans="2:31" x14ac:dyDescent="0.2">
      <c r="C78" s="16" t="s">
        <v>13</v>
      </c>
      <c r="D78" s="16"/>
      <c r="E78" s="122">
        <f>E76*E77</f>
        <v>34999.311699999998</v>
      </c>
      <c r="F78" s="1" t="s">
        <v>11</v>
      </c>
      <c r="J78" s="164"/>
      <c r="M78" s="14"/>
      <c r="N78" s="14"/>
      <c r="O78" s="5"/>
      <c r="P78" s="151"/>
      <c r="Q78" s="151"/>
      <c r="R78" s="5"/>
      <c r="S78" s="5"/>
      <c r="T78" s="20"/>
      <c r="U78" s="180"/>
      <c r="V78" s="180"/>
      <c r="W78" s="180"/>
      <c r="Z78" s="14"/>
      <c r="AA78" s="14"/>
      <c r="AB78" s="14"/>
      <c r="AC78" s="14"/>
      <c r="AD78" s="14"/>
      <c r="AE78" s="14"/>
    </row>
    <row r="79" spans="2:31" x14ac:dyDescent="0.2">
      <c r="C79" s="49"/>
      <c r="E79" s="123"/>
      <c r="T79" s="148"/>
      <c r="U79" s="119"/>
      <c r="V79" s="119"/>
      <c r="W79" s="119"/>
    </row>
    <row r="80" spans="2:31" x14ac:dyDescent="0.2">
      <c r="B80" s="10">
        <f>B70+0.1</f>
        <v>1.5000000000000004</v>
      </c>
      <c r="C80" s="145" t="s">
        <v>322</v>
      </c>
      <c r="E80" s="123"/>
      <c r="T80" s="148"/>
      <c r="U80" s="119"/>
      <c r="V80" s="119"/>
      <c r="W80" s="119"/>
    </row>
    <row r="81" spans="2:31" x14ac:dyDescent="0.2">
      <c r="C81" s="49"/>
      <c r="E81" s="123"/>
      <c r="T81" s="148"/>
      <c r="U81" s="119"/>
      <c r="V81" s="119"/>
      <c r="W81" s="119"/>
    </row>
    <row r="82" spans="2:31" x14ac:dyDescent="0.2">
      <c r="C82" s="49" t="s">
        <v>480</v>
      </c>
      <c r="E82" s="449">
        <f>1+(E84-1)*'Fe MPI correlation'!AC34</f>
        <v>1</v>
      </c>
      <c r="F82" s="35"/>
      <c r="T82" s="148"/>
      <c r="U82" s="119"/>
      <c r="V82" s="119"/>
      <c r="W82" s="119"/>
    </row>
    <row r="83" spans="2:31" x14ac:dyDescent="0.2">
      <c r="C83" s="49" t="s">
        <v>323</v>
      </c>
      <c r="E83" s="96">
        <v>1</v>
      </c>
      <c r="T83" s="148"/>
      <c r="U83" s="119"/>
      <c r="V83" s="119"/>
      <c r="W83" s="119"/>
    </row>
    <row r="84" spans="2:31" x14ac:dyDescent="0.2">
      <c r="C84" s="1" t="s">
        <v>325</v>
      </c>
      <c r="E84" s="96">
        <v>1</v>
      </c>
      <c r="F84" s="35"/>
      <c r="T84" s="148"/>
      <c r="U84" s="119"/>
      <c r="V84" s="119"/>
      <c r="W84" s="119"/>
    </row>
    <row r="85" spans="2:31" x14ac:dyDescent="0.2">
      <c r="C85" s="49" t="s">
        <v>111</v>
      </c>
      <c r="E85" s="96">
        <v>1</v>
      </c>
      <c r="M85" s="33"/>
      <c r="T85" s="148"/>
      <c r="U85" s="119"/>
      <c r="V85" s="119"/>
      <c r="W85" s="119"/>
    </row>
    <row r="86" spans="2:31" x14ac:dyDescent="0.2">
      <c r="C86" s="49" t="s">
        <v>324</v>
      </c>
      <c r="E86" s="96">
        <v>1</v>
      </c>
      <c r="T86" s="148"/>
      <c r="U86" s="119"/>
      <c r="V86" s="119"/>
      <c r="W86" s="119"/>
    </row>
    <row r="87" spans="2:31" x14ac:dyDescent="0.2">
      <c r="C87" s="49" t="s">
        <v>578</v>
      </c>
      <c r="E87" s="96">
        <v>1</v>
      </c>
      <c r="T87" s="148"/>
      <c r="U87" s="119"/>
      <c r="V87" s="119"/>
      <c r="W87" s="119"/>
    </row>
    <row r="88" spans="2:31" x14ac:dyDescent="0.2">
      <c r="E88" s="2"/>
    </row>
    <row r="89" spans="2:31" x14ac:dyDescent="0.2">
      <c r="B89" s="6"/>
      <c r="C89" s="6"/>
      <c r="D89" s="6"/>
      <c r="E89" s="7"/>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2:31" x14ac:dyDescent="0.2">
      <c r="C90" s="5"/>
      <c r="D90" s="5"/>
    </row>
    <row r="91" spans="2:31" x14ac:dyDescent="0.2">
      <c r="B91" s="8">
        <f>B6+1</f>
        <v>2</v>
      </c>
      <c r="C91" s="20" t="s">
        <v>14</v>
      </c>
      <c r="D91" s="20"/>
      <c r="L91" s="17"/>
    </row>
    <row r="92" spans="2:31" x14ac:dyDescent="0.2">
      <c r="C92" s="20"/>
      <c r="D92" s="20"/>
    </row>
    <row r="93" spans="2:31" x14ac:dyDescent="0.2">
      <c r="B93" s="10">
        <f>B91+0.1</f>
        <v>2.1</v>
      </c>
      <c r="C93" s="20" t="s">
        <v>362</v>
      </c>
      <c r="D93" s="20"/>
    </row>
    <row r="94" spans="2:31" x14ac:dyDescent="0.2">
      <c r="B94" s="10"/>
      <c r="C94" s="20"/>
      <c r="D94" s="20"/>
    </row>
    <row r="95" spans="2:31" x14ac:dyDescent="0.2">
      <c r="B95" s="10"/>
      <c r="C95" s="5" t="s">
        <v>577</v>
      </c>
      <c r="D95" s="20"/>
      <c r="E95" s="95">
        <v>0.43367299999999998</v>
      </c>
      <c r="F95" s="1" t="s">
        <v>335</v>
      </c>
    </row>
    <row r="96" spans="2:31" x14ac:dyDescent="0.2">
      <c r="B96" s="10"/>
      <c r="C96" s="5" t="s">
        <v>518</v>
      </c>
      <c r="D96" s="146">
        <f>E87</f>
        <v>1</v>
      </c>
      <c r="E96" s="318">
        <f>E95*E87</f>
        <v>0.43367299999999998</v>
      </c>
      <c r="F96" s="1" t="s">
        <v>335</v>
      </c>
      <c r="I96" s="121">
        <f>$E$96</f>
        <v>0.43367299999999998</v>
      </c>
      <c r="J96" s="121">
        <f>$E$96</f>
        <v>0.43367299999999998</v>
      </c>
      <c r="K96" s="121">
        <f>$E$96</f>
        <v>0.43367299999999998</v>
      </c>
      <c r="L96" s="121">
        <f>$E$96</f>
        <v>0.43367299999999998</v>
      </c>
      <c r="M96" s="121">
        <f t="shared" ref="M96:AE96" si="41">$E$96</f>
        <v>0.43367299999999998</v>
      </c>
      <c r="N96" s="121">
        <f t="shared" si="41"/>
        <v>0.43367299999999998</v>
      </c>
      <c r="O96" s="121">
        <f t="shared" si="41"/>
        <v>0.43367299999999998</v>
      </c>
      <c r="P96" s="121">
        <f t="shared" si="41"/>
        <v>0.43367299999999998</v>
      </c>
      <c r="Q96" s="121">
        <f t="shared" si="41"/>
        <v>0.43367299999999998</v>
      </c>
      <c r="R96" s="121">
        <f t="shared" si="41"/>
        <v>0.43367299999999998</v>
      </c>
      <c r="S96" s="121">
        <f t="shared" si="41"/>
        <v>0.43367299999999998</v>
      </c>
      <c r="T96" s="121">
        <f t="shared" si="41"/>
        <v>0.43367299999999998</v>
      </c>
      <c r="U96" s="121">
        <f t="shared" si="41"/>
        <v>0.43367299999999998</v>
      </c>
      <c r="V96" s="121">
        <f t="shared" si="41"/>
        <v>0.43367299999999998</v>
      </c>
      <c r="W96" s="121">
        <f t="shared" si="41"/>
        <v>0.43367299999999998</v>
      </c>
      <c r="X96" s="121">
        <f t="shared" si="41"/>
        <v>0.43367299999999998</v>
      </c>
      <c r="Y96" s="121">
        <f t="shared" si="41"/>
        <v>0.43367299999999998</v>
      </c>
      <c r="Z96" s="121">
        <f t="shared" si="41"/>
        <v>0.43367299999999998</v>
      </c>
      <c r="AA96" s="121">
        <f t="shared" si="41"/>
        <v>0.43367299999999998</v>
      </c>
      <c r="AB96" s="121">
        <f t="shared" si="41"/>
        <v>0.43367299999999998</v>
      </c>
      <c r="AC96" s="121">
        <f t="shared" si="41"/>
        <v>0.43367299999999998</v>
      </c>
      <c r="AD96" s="121">
        <f t="shared" si="41"/>
        <v>0.43367299999999998</v>
      </c>
      <c r="AE96" s="121">
        <f t="shared" si="41"/>
        <v>0.43367299999999998</v>
      </c>
    </row>
    <row r="97" spans="2:31" x14ac:dyDescent="0.2">
      <c r="B97" s="10"/>
      <c r="C97" s="5" t="s">
        <v>329</v>
      </c>
      <c r="D97" s="20"/>
      <c r="I97" s="526">
        <f>I104/I96</f>
        <v>0</v>
      </c>
      <c r="J97" s="526">
        <f t="shared" ref="J97:L97" si="42">J104/J96</f>
        <v>0</v>
      </c>
      <c r="K97" s="526">
        <f t="shared" si="42"/>
        <v>0.31249999999999994</v>
      </c>
      <c r="L97" s="526">
        <f t="shared" si="42"/>
        <v>0.5</v>
      </c>
      <c r="M97" s="152">
        <v>1</v>
      </c>
      <c r="N97" s="152">
        <v>1</v>
      </c>
      <c r="O97" s="152">
        <v>1</v>
      </c>
      <c r="P97" s="152">
        <v>1</v>
      </c>
      <c r="Q97" s="152">
        <v>1</v>
      </c>
      <c r="R97" s="152">
        <v>1</v>
      </c>
      <c r="S97" s="152">
        <v>1</v>
      </c>
      <c r="T97" s="152">
        <v>1</v>
      </c>
      <c r="U97" s="152">
        <v>1</v>
      </c>
      <c r="V97" s="152">
        <v>1</v>
      </c>
      <c r="W97" s="152">
        <v>1</v>
      </c>
      <c r="X97" s="152">
        <v>1</v>
      </c>
      <c r="Y97" s="152">
        <v>1</v>
      </c>
      <c r="Z97" s="152">
        <v>1</v>
      </c>
      <c r="AA97" s="152">
        <v>1</v>
      </c>
      <c r="AB97" s="152">
        <v>1</v>
      </c>
      <c r="AC97" s="152">
        <v>1</v>
      </c>
      <c r="AD97" s="152">
        <v>1</v>
      </c>
      <c r="AE97" s="152">
        <v>1</v>
      </c>
    </row>
    <row r="98" spans="2:31" x14ac:dyDescent="0.2">
      <c r="B98" s="10"/>
      <c r="C98" s="20"/>
      <c r="D98" s="20"/>
    </row>
    <row r="99" spans="2:31" x14ac:dyDescent="0.2">
      <c r="B99" s="10"/>
      <c r="C99" s="90" t="s">
        <v>527</v>
      </c>
      <c r="D99" s="5"/>
      <c r="E99" s="258"/>
      <c r="I99" s="18"/>
      <c r="J99" s="18"/>
      <c r="K99" s="18"/>
      <c r="L99" s="18"/>
      <c r="M99" s="18"/>
      <c r="N99" s="18"/>
      <c r="O99" s="18"/>
      <c r="P99" s="18"/>
      <c r="Q99" s="18"/>
      <c r="R99" s="18"/>
      <c r="S99" s="18"/>
      <c r="T99" s="18"/>
      <c r="U99" s="18"/>
      <c r="V99" s="18"/>
      <c r="W99" s="18"/>
      <c r="X99" s="18"/>
      <c r="Y99" s="18"/>
      <c r="Z99" s="18"/>
      <c r="AA99" s="18"/>
      <c r="AB99" s="18"/>
      <c r="AC99" s="18"/>
      <c r="AD99" s="18"/>
      <c r="AE99" s="18"/>
    </row>
    <row r="100" spans="2:31" x14ac:dyDescent="0.2">
      <c r="B100" s="10"/>
      <c r="C100" s="5" t="s">
        <v>385</v>
      </c>
      <c r="D100" s="20"/>
      <c r="E100" s="331">
        <f>1-E101-E102-E103</f>
        <v>0</v>
      </c>
      <c r="F100" s="1" t="s">
        <v>335</v>
      </c>
      <c r="G100" s="21">
        <f>SUM(K100:AE100)</f>
        <v>0</v>
      </c>
      <c r="I100" s="41">
        <f>SUMIF('Quarterly Plant Model'!$I$2:$V$2,'Plant model'!I$2,'Quarterly Plant Model'!$I100:$V100)</f>
        <v>0</v>
      </c>
      <c r="J100" s="41">
        <f>SUMIF('Quarterly Plant Model'!$I$2:$V$2,'Plant model'!J$2,'Quarterly Plant Model'!$I100:$V100)</f>
        <v>0</v>
      </c>
      <c r="K100" s="41">
        <f>SUMIF('Quarterly Plant Model'!$I$2:$V$2,'Plant model'!K$2,'Quarterly Plant Model'!$I100:$V100)</f>
        <v>0</v>
      </c>
      <c r="L100" s="41">
        <f>SUMIF('Quarterly Plant Model'!$I$2:$V$2,'Plant model'!L$2,'Quarterly Plant Model'!$I100:$V100)</f>
        <v>0</v>
      </c>
      <c r="M100" s="315">
        <f>$E100*M$97*M$96</f>
        <v>0</v>
      </c>
      <c r="N100" s="18">
        <f t="shared" ref="M100:AB103" si="43">$E100*N$97*N$96</f>
        <v>0</v>
      </c>
      <c r="O100" s="18">
        <f t="shared" si="43"/>
        <v>0</v>
      </c>
      <c r="P100" s="18">
        <f t="shared" si="43"/>
        <v>0</v>
      </c>
      <c r="Q100" s="18">
        <f t="shared" si="43"/>
        <v>0</v>
      </c>
      <c r="R100" s="18">
        <f t="shared" si="43"/>
        <v>0</v>
      </c>
      <c r="S100" s="18">
        <f t="shared" si="43"/>
        <v>0</v>
      </c>
      <c r="T100" s="18">
        <f t="shared" si="43"/>
        <v>0</v>
      </c>
      <c r="U100" s="18">
        <f t="shared" si="43"/>
        <v>0</v>
      </c>
      <c r="V100" s="18">
        <f t="shared" si="43"/>
        <v>0</v>
      </c>
      <c r="W100" s="18">
        <f t="shared" si="43"/>
        <v>0</v>
      </c>
      <c r="X100" s="18">
        <f t="shared" si="43"/>
        <v>0</v>
      </c>
      <c r="Y100" s="18">
        <f t="shared" si="43"/>
        <v>0</v>
      </c>
      <c r="Z100" s="18">
        <f t="shared" si="43"/>
        <v>0</v>
      </c>
      <c r="AA100" s="18">
        <f t="shared" si="43"/>
        <v>0</v>
      </c>
      <c r="AB100" s="18">
        <f t="shared" si="43"/>
        <v>0</v>
      </c>
      <c r="AC100" s="18">
        <f t="shared" ref="AC100:AE103" si="44">$E100*AC$97*AC$96</f>
        <v>0</v>
      </c>
      <c r="AD100" s="18">
        <f t="shared" si="44"/>
        <v>0</v>
      </c>
      <c r="AE100" s="18">
        <f t="shared" si="44"/>
        <v>0</v>
      </c>
    </row>
    <row r="101" spans="2:31" x14ac:dyDescent="0.2">
      <c r="B101" s="10"/>
      <c r="C101" s="5" t="s">
        <v>390</v>
      </c>
      <c r="D101" s="20"/>
      <c r="E101" s="153">
        <v>0</v>
      </c>
      <c r="F101" s="1" t="s">
        <v>335</v>
      </c>
      <c r="G101" s="21">
        <f>SUM(K101:AE101)</f>
        <v>0</v>
      </c>
      <c r="I101" s="41">
        <f>SUMIF('Quarterly Plant Model'!$I$2:$V$2,'Plant model'!I$2,'Quarterly Plant Model'!$I101:$V101)</f>
        <v>0</v>
      </c>
      <c r="J101" s="41">
        <f>SUMIF('Quarterly Plant Model'!$I$2:$V$2,'Plant model'!J$2,'Quarterly Plant Model'!$I101:$V101)</f>
        <v>0</v>
      </c>
      <c r="K101" s="41">
        <f>SUMIF('Quarterly Plant Model'!$I$2:$V$2,'Plant model'!K$2,'Quarterly Plant Model'!$I101:$V101)</f>
        <v>0</v>
      </c>
      <c r="L101" s="41">
        <f>SUMIF('Quarterly Plant Model'!$I$2:$V$2,'Plant model'!L$2,'Quarterly Plant Model'!$I101:$V101)</f>
        <v>0</v>
      </c>
      <c r="M101" s="315">
        <f t="shared" si="43"/>
        <v>0</v>
      </c>
      <c r="N101" s="18">
        <f t="shared" si="43"/>
        <v>0</v>
      </c>
      <c r="O101" s="18">
        <f t="shared" si="43"/>
        <v>0</v>
      </c>
      <c r="P101" s="18">
        <f t="shared" si="43"/>
        <v>0</v>
      </c>
      <c r="Q101" s="18">
        <f t="shared" si="43"/>
        <v>0</v>
      </c>
      <c r="R101" s="18">
        <f t="shared" si="43"/>
        <v>0</v>
      </c>
      <c r="S101" s="18">
        <f t="shared" si="43"/>
        <v>0</v>
      </c>
      <c r="T101" s="18">
        <f t="shared" si="43"/>
        <v>0</v>
      </c>
      <c r="U101" s="18">
        <f t="shared" si="43"/>
        <v>0</v>
      </c>
      <c r="V101" s="18">
        <f t="shared" si="43"/>
        <v>0</v>
      </c>
      <c r="W101" s="18">
        <f t="shared" si="43"/>
        <v>0</v>
      </c>
      <c r="X101" s="18">
        <f t="shared" si="43"/>
        <v>0</v>
      </c>
      <c r="Y101" s="18">
        <f t="shared" si="43"/>
        <v>0</v>
      </c>
      <c r="Z101" s="18">
        <f t="shared" si="43"/>
        <v>0</v>
      </c>
      <c r="AA101" s="18">
        <f t="shared" si="43"/>
        <v>0</v>
      </c>
      <c r="AB101" s="18">
        <f t="shared" si="43"/>
        <v>0</v>
      </c>
      <c r="AC101" s="18">
        <f t="shared" si="44"/>
        <v>0</v>
      </c>
      <c r="AD101" s="18">
        <f t="shared" si="44"/>
        <v>0</v>
      </c>
      <c r="AE101" s="18">
        <f t="shared" si="44"/>
        <v>0</v>
      </c>
    </row>
    <row r="102" spans="2:31" x14ac:dyDescent="0.2">
      <c r="B102" s="10"/>
      <c r="C102" s="5" t="s">
        <v>386</v>
      </c>
      <c r="D102" s="20"/>
      <c r="E102" s="153">
        <v>1</v>
      </c>
      <c r="F102" s="1" t="s">
        <v>335</v>
      </c>
      <c r="G102" s="21">
        <f>SUM(K102:AE102)</f>
        <v>8.5921463124999971</v>
      </c>
      <c r="I102" s="41">
        <f>SUMIF('Quarterly Plant Model'!$I$2:$V$2,'Plant model'!I$2,'Quarterly Plant Model'!$I102:$V102)</f>
        <v>0</v>
      </c>
      <c r="J102" s="41">
        <f>SUMIF('Quarterly Plant Model'!$I$2:$V$2,'Plant model'!J$2,'Quarterly Plant Model'!$I102:$V102)</f>
        <v>0</v>
      </c>
      <c r="K102" s="41">
        <f>SUMIF('Quarterly Plant Model'!$I$2:$V$2,'Plant model'!K$2,'Quarterly Plant Model'!$I102:$V102)</f>
        <v>0.13552281249999998</v>
      </c>
      <c r="L102" s="41">
        <f>SUMIF('Quarterly Plant Model'!$I$2:$V$2,'Plant model'!L$2,'Quarterly Plant Model'!$I102:$V102)</f>
        <v>0.21683649999999999</v>
      </c>
      <c r="M102" s="315">
        <f t="shared" si="43"/>
        <v>0.43367299999999998</v>
      </c>
      <c r="N102" s="18">
        <f t="shared" si="43"/>
        <v>0.43367299999999998</v>
      </c>
      <c r="O102" s="18">
        <f t="shared" si="43"/>
        <v>0.43367299999999998</v>
      </c>
      <c r="P102" s="18">
        <f t="shared" si="43"/>
        <v>0.43367299999999998</v>
      </c>
      <c r="Q102" s="18">
        <f t="shared" si="43"/>
        <v>0.43367299999999998</v>
      </c>
      <c r="R102" s="18">
        <f t="shared" si="43"/>
        <v>0.43367299999999998</v>
      </c>
      <c r="S102" s="18">
        <f t="shared" si="43"/>
        <v>0.43367299999999998</v>
      </c>
      <c r="T102" s="18">
        <f t="shared" si="43"/>
        <v>0.43367299999999998</v>
      </c>
      <c r="U102" s="18">
        <f t="shared" si="43"/>
        <v>0.43367299999999998</v>
      </c>
      <c r="V102" s="18">
        <f t="shared" si="43"/>
        <v>0.43367299999999998</v>
      </c>
      <c r="W102" s="18">
        <f t="shared" si="43"/>
        <v>0.43367299999999998</v>
      </c>
      <c r="X102" s="18">
        <f t="shared" si="43"/>
        <v>0.43367299999999998</v>
      </c>
      <c r="Y102" s="18">
        <f t="shared" si="43"/>
        <v>0.43367299999999998</v>
      </c>
      <c r="Z102" s="18">
        <f t="shared" si="43"/>
        <v>0.43367299999999998</v>
      </c>
      <c r="AA102" s="18">
        <f t="shared" si="43"/>
        <v>0.43367299999999998</v>
      </c>
      <c r="AB102" s="18">
        <f t="shared" si="43"/>
        <v>0.43367299999999998</v>
      </c>
      <c r="AC102" s="18">
        <f t="shared" si="44"/>
        <v>0.43367299999999998</v>
      </c>
      <c r="AD102" s="18">
        <f t="shared" si="44"/>
        <v>0.43367299999999998</v>
      </c>
      <c r="AE102" s="18">
        <f t="shared" si="44"/>
        <v>0.43367299999999998</v>
      </c>
    </row>
    <row r="103" spans="2:31" x14ac:dyDescent="0.2">
      <c r="B103" s="10"/>
      <c r="C103" s="5" t="s">
        <v>391</v>
      </c>
      <c r="D103" s="20"/>
      <c r="E103" s="153">
        <v>0</v>
      </c>
      <c r="F103" s="1" t="s">
        <v>335</v>
      </c>
      <c r="G103" s="21">
        <f>SUM(K103:AE103)</f>
        <v>0</v>
      </c>
      <c r="I103" s="41">
        <f>SUMIF('Quarterly Plant Model'!$I$2:$V$2,'Plant model'!I$2,'Quarterly Plant Model'!$I103:$V103)</f>
        <v>0</v>
      </c>
      <c r="J103" s="41">
        <f>SUMIF('Quarterly Plant Model'!$I$2:$V$2,'Plant model'!J$2,'Quarterly Plant Model'!$I103:$V103)</f>
        <v>0</v>
      </c>
      <c r="K103" s="41">
        <f>SUMIF('Quarterly Plant Model'!$I$2:$V$2,'Plant model'!K$2,'Quarterly Plant Model'!$I103:$V103)</f>
        <v>0</v>
      </c>
      <c r="L103" s="41">
        <f>SUMIF('Quarterly Plant Model'!$I$2:$V$2,'Plant model'!L$2,'Quarterly Plant Model'!$I103:$V103)</f>
        <v>0</v>
      </c>
      <c r="M103" s="315">
        <f t="shared" si="43"/>
        <v>0</v>
      </c>
      <c r="N103" s="18">
        <f t="shared" si="43"/>
        <v>0</v>
      </c>
      <c r="O103" s="18">
        <f t="shared" si="43"/>
        <v>0</v>
      </c>
      <c r="P103" s="18">
        <f t="shared" si="43"/>
        <v>0</v>
      </c>
      <c r="Q103" s="18">
        <f t="shared" si="43"/>
        <v>0</v>
      </c>
      <c r="R103" s="18">
        <f t="shared" si="43"/>
        <v>0</v>
      </c>
      <c r="S103" s="18">
        <f t="shared" si="43"/>
        <v>0</v>
      </c>
      <c r="T103" s="18">
        <f t="shared" si="43"/>
        <v>0</v>
      </c>
      <c r="U103" s="18">
        <f t="shared" si="43"/>
        <v>0</v>
      </c>
      <c r="V103" s="18">
        <f t="shared" si="43"/>
        <v>0</v>
      </c>
      <c r="W103" s="18">
        <f t="shared" si="43"/>
        <v>0</v>
      </c>
      <c r="X103" s="18">
        <f t="shared" si="43"/>
        <v>0</v>
      </c>
      <c r="Y103" s="18">
        <f t="shared" si="43"/>
        <v>0</v>
      </c>
      <c r="Z103" s="18">
        <f t="shared" si="43"/>
        <v>0</v>
      </c>
      <c r="AA103" s="18">
        <f t="shared" si="43"/>
        <v>0</v>
      </c>
      <c r="AB103" s="18">
        <f t="shared" si="43"/>
        <v>0</v>
      </c>
      <c r="AC103" s="18">
        <f t="shared" si="44"/>
        <v>0</v>
      </c>
      <c r="AD103" s="18">
        <f t="shared" si="44"/>
        <v>0</v>
      </c>
      <c r="AE103" s="18">
        <f t="shared" si="44"/>
        <v>0</v>
      </c>
    </row>
    <row r="104" spans="2:31" x14ac:dyDescent="0.2">
      <c r="B104" s="10"/>
      <c r="C104" s="5" t="s">
        <v>45</v>
      </c>
      <c r="D104" s="20"/>
      <c r="E104" s="260">
        <f>SUM(E100:E103)</f>
        <v>1</v>
      </c>
      <c r="F104" s="1" t="s">
        <v>335</v>
      </c>
      <c r="G104" s="21">
        <f>SUM(K104:AE104)</f>
        <v>8.5921463124999971</v>
      </c>
      <c r="I104" s="18">
        <f>SUM(I100:I103)</f>
        <v>0</v>
      </c>
      <c r="J104" s="18">
        <f>SUM(J100:J103)</f>
        <v>0</v>
      </c>
      <c r="K104" s="18">
        <f>SUM(K100:K103)</f>
        <v>0.13552281249999998</v>
      </c>
      <c r="L104" s="18">
        <f>SUM(L100:L103)</f>
        <v>0.21683649999999999</v>
      </c>
      <c r="M104" s="18">
        <f t="shared" ref="M104:AE104" si="45">SUM(M100:M103)</f>
        <v>0.43367299999999998</v>
      </c>
      <c r="N104" s="18">
        <f t="shared" si="45"/>
        <v>0.43367299999999998</v>
      </c>
      <c r="O104" s="18">
        <f t="shared" si="45"/>
        <v>0.43367299999999998</v>
      </c>
      <c r="P104" s="18">
        <f t="shared" si="45"/>
        <v>0.43367299999999998</v>
      </c>
      <c r="Q104" s="18">
        <f t="shared" si="45"/>
        <v>0.43367299999999998</v>
      </c>
      <c r="R104" s="18">
        <f t="shared" si="45"/>
        <v>0.43367299999999998</v>
      </c>
      <c r="S104" s="18">
        <f t="shared" si="45"/>
        <v>0.43367299999999998</v>
      </c>
      <c r="T104" s="18">
        <f t="shared" si="45"/>
        <v>0.43367299999999998</v>
      </c>
      <c r="U104" s="18">
        <f t="shared" si="45"/>
        <v>0.43367299999999998</v>
      </c>
      <c r="V104" s="18">
        <f t="shared" si="45"/>
        <v>0.43367299999999998</v>
      </c>
      <c r="W104" s="18">
        <f t="shared" si="45"/>
        <v>0.43367299999999998</v>
      </c>
      <c r="X104" s="18">
        <f t="shared" si="45"/>
        <v>0.43367299999999998</v>
      </c>
      <c r="Y104" s="18">
        <f t="shared" si="45"/>
        <v>0.43367299999999998</v>
      </c>
      <c r="Z104" s="18">
        <f t="shared" si="45"/>
        <v>0.43367299999999998</v>
      </c>
      <c r="AA104" s="18">
        <f t="shared" si="45"/>
        <v>0.43367299999999998</v>
      </c>
      <c r="AB104" s="18">
        <f t="shared" si="45"/>
        <v>0.43367299999999998</v>
      </c>
      <c r="AC104" s="18">
        <f t="shared" si="45"/>
        <v>0.43367299999999998</v>
      </c>
      <c r="AD104" s="18">
        <f t="shared" si="45"/>
        <v>0.43367299999999998</v>
      </c>
      <c r="AE104" s="18">
        <f t="shared" si="45"/>
        <v>0.43367299999999998</v>
      </c>
    </row>
    <row r="105" spans="2:31" x14ac:dyDescent="0.2">
      <c r="B105" s="10"/>
      <c r="C105" s="5"/>
      <c r="D105" s="20"/>
      <c r="E105" s="260"/>
      <c r="G105" s="21"/>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row>
    <row r="106" spans="2:31" x14ac:dyDescent="0.2">
      <c r="B106" s="10"/>
      <c r="C106" s="90" t="s">
        <v>868</v>
      </c>
      <c r="D106" s="20"/>
      <c r="E106" s="260"/>
      <c r="G106" s="21"/>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row>
    <row r="107" spans="2:31" x14ac:dyDescent="0.2">
      <c r="B107" s="10"/>
      <c r="C107" s="47" t="s">
        <v>385</v>
      </c>
      <c r="D107" s="20"/>
      <c r="E107" s="260"/>
      <c r="G107" s="21"/>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row>
    <row r="108" spans="2:31" x14ac:dyDescent="0.2">
      <c r="B108" s="10"/>
      <c r="C108" s="5" t="s">
        <v>869</v>
      </c>
      <c r="D108" s="20"/>
      <c r="E108" s="153">
        <v>1</v>
      </c>
      <c r="F108" s="1" t="s">
        <v>335</v>
      </c>
      <c r="G108" s="21">
        <f t="shared" ref="G108:G109" si="46">SUM(K108:AE108)</f>
        <v>0</v>
      </c>
      <c r="I108" s="41">
        <f>SUMIF('Quarterly Plant Model'!$I$2:$V$2,'Plant model'!I$2,'Quarterly Plant Model'!$I108:$V108)</f>
        <v>0</v>
      </c>
      <c r="J108" s="41">
        <f>SUMIF('Quarterly Plant Model'!$I$2:$V$2,'Plant model'!J$2,'Quarterly Plant Model'!$I108:$V108)</f>
        <v>0</v>
      </c>
      <c r="K108" s="41">
        <f>SUMIF('Quarterly Plant Model'!$I$2:$V$2,'Plant model'!K$2,'Quarterly Plant Model'!$I108:$V108)</f>
        <v>0</v>
      </c>
      <c r="L108" s="41">
        <f>SUMIF('Quarterly Plant Model'!$I$2:$V$2,'Plant model'!L$2,'Quarterly Plant Model'!$I108:$V108)</f>
        <v>0</v>
      </c>
      <c r="M108" s="315">
        <f t="shared" ref="M108:AE109" si="47">M$100*$E108</f>
        <v>0</v>
      </c>
      <c r="N108" s="18">
        <f t="shared" si="47"/>
        <v>0</v>
      </c>
      <c r="O108" s="18">
        <f t="shared" si="47"/>
        <v>0</v>
      </c>
      <c r="P108" s="18">
        <f t="shared" si="47"/>
        <v>0</v>
      </c>
      <c r="Q108" s="18">
        <f t="shared" si="47"/>
        <v>0</v>
      </c>
      <c r="R108" s="18">
        <f t="shared" si="47"/>
        <v>0</v>
      </c>
      <c r="S108" s="18">
        <f t="shared" si="47"/>
        <v>0</v>
      </c>
      <c r="T108" s="18">
        <f t="shared" si="47"/>
        <v>0</v>
      </c>
      <c r="U108" s="18">
        <f t="shared" si="47"/>
        <v>0</v>
      </c>
      <c r="V108" s="18">
        <f t="shared" si="47"/>
        <v>0</v>
      </c>
      <c r="W108" s="18">
        <f t="shared" si="47"/>
        <v>0</v>
      </c>
      <c r="X108" s="18">
        <f t="shared" si="47"/>
        <v>0</v>
      </c>
      <c r="Y108" s="18">
        <f t="shared" si="47"/>
        <v>0</v>
      </c>
      <c r="Z108" s="18">
        <f t="shared" si="47"/>
        <v>0</v>
      </c>
      <c r="AA108" s="18">
        <f t="shared" si="47"/>
        <v>0</v>
      </c>
      <c r="AB108" s="18">
        <f t="shared" si="47"/>
        <v>0</v>
      </c>
      <c r="AC108" s="18">
        <f t="shared" si="47"/>
        <v>0</v>
      </c>
      <c r="AD108" s="18">
        <f t="shared" si="47"/>
        <v>0</v>
      </c>
      <c r="AE108" s="18">
        <f t="shared" si="47"/>
        <v>0</v>
      </c>
    </row>
    <row r="109" spans="2:31" x14ac:dyDescent="0.2">
      <c r="B109" s="10"/>
      <c r="C109" s="5" t="s">
        <v>870</v>
      </c>
      <c r="D109" s="20"/>
      <c r="E109" s="500">
        <f>1-E108</f>
        <v>0</v>
      </c>
      <c r="F109" s="1" t="s">
        <v>335</v>
      </c>
      <c r="G109" s="21">
        <f t="shared" si="46"/>
        <v>0</v>
      </c>
      <c r="I109" s="41">
        <f>SUMIF('Quarterly Plant Model'!$I$2:$V$2,'Plant model'!I$2,'Quarterly Plant Model'!$I109:$V109)</f>
        <v>0</v>
      </c>
      <c r="J109" s="41">
        <f>SUMIF('Quarterly Plant Model'!$I$2:$V$2,'Plant model'!J$2,'Quarterly Plant Model'!$I109:$V109)</f>
        <v>0</v>
      </c>
      <c r="K109" s="41">
        <f>SUMIF('Quarterly Plant Model'!$I$2:$V$2,'Plant model'!K$2,'Quarterly Plant Model'!$I109:$V109)</f>
        <v>0</v>
      </c>
      <c r="L109" s="41">
        <f>SUMIF('Quarterly Plant Model'!$I$2:$V$2,'Plant model'!L$2,'Quarterly Plant Model'!$I109:$V109)</f>
        <v>0</v>
      </c>
      <c r="M109" s="315">
        <f t="shared" si="47"/>
        <v>0</v>
      </c>
      <c r="N109" s="18">
        <f t="shared" si="47"/>
        <v>0</v>
      </c>
      <c r="O109" s="18">
        <f t="shared" si="47"/>
        <v>0</v>
      </c>
      <c r="P109" s="18">
        <f t="shared" si="47"/>
        <v>0</v>
      </c>
      <c r="Q109" s="18">
        <f t="shared" si="47"/>
        <v>0</v>
      </c>
      <c r="R109" s="18">
        <f t="shared" si="47"/>
        <v>0</v>
      </c>
      <c r="S109" s="18">
        <f t="shared" si="47"/>
        <v>0</v>
      </c>
      <c r="T109" s="18">
        <f t="shared" si="47"/>
        <v>0</v>
      </c>
      <c r="U109" s="18">
        <f t="shared" si="47"/>
        <v>0</v>
      </c>
      <c r="V109" s="18">
        <f t="shared" si="47"/>
        <v>0</v>
      </c>
      <c r="W109" s="18">
        <f t="shared" si="47"/>
        <v>0</v>
      </c>
      <c r="X109" s="18">
        <f t="shared" si="47"/>
        <v>0</v>
      </c>
      <c r="Y109" s="18">
        <f t="shared" si="47"/>
        <v>0</v>
      </c>
      <c r="Z109" s="18">
        <f t="shared" si="47"/>
        <v>0</v>
      </c>
      <c r="AA109" s="18">
        <f t="shared" si="47"/>
        <v>0</v>
      </c>
      <c r="AB109" s="18">
        <f t="shared" si="47"/>
        <v>0</v>
      </c>
      <c r="AC109" s="18">
        <f t="shared" si="47"/>
        <v>0</v>
      </c>
      <c r="AD109" s="18">
        <f t="shared" si="47"/>
        <v>0</v>
      </c>
      <c r="AE109" s="18">
        <f t="shared" si="47"/>
        <v>0</v>
      </c>
    </row>
    <row r="110" spans="2:31" x14ac:dyDescent="0.2">
      <c r="B110" s="10"/>
      <c r="C110" s="5"/>
      <c r="D110" s="20"/>
      <c r="E110" s="260"/>
      <c r="G110" s="21"/>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row>
    <row r="111" spans="2:31" x14ac:dyDescent="0.2">
      <c r="B111" s="10"/>
      <c r="C111" s="47" t="s">
        <v>386</v>
      </c>
      <c r="D111" s="20"/>
      <c r="E111" s="260"/>
      <c r="G111" s="21"/>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row>
    <row r="112" spans="2:31" x14ac:dyDescent="0.2">
      <c r="B112" s="10"/>
      <c r="C112" s="5" t="s">
        <v>869</v>
      </c>
      <c r="D112" s="20"/>
      <c r="E112" s="153">
        <v>0.5</v>
      </c>
      <c r="F112" s="1" t="s">
        <v>335</v>
      </c>
      <c r="G112" s="21">
        <f t="shared" ref="G112:G113" si="48">SUM(K112:AE112)</f>
        <v>4.2960731562499985</v>
      </c>
      <c r="I112" s="41">
        <f>SUMIF('Quarterly Plant Model'!$I$2:$V$2,'Plant model'!I$2,'Quarterly Plant Model'!$I112:$V112)</f>
        <v>0</v>
      </c>
      <c r="J112" s="41">
        <f>SUMIF('Quarterly Plant Model'!$I$2:$V$2,'Plant model'!J$2,'Quarterly Plant Model'!$I112:$V112)</f>
        <v>0</v>
      </c>
      <c r="K112" s="41">
        <f>SUMIF('Quarterly Plant Model'!$I$2:$V$2,'Plant model'!K$2,'Quarterly Plant Model'!$I112:$V112)</f>
        <v>6.7761406249999989E-2</v>
      </c>
      <c r="L112" s="41">
        <f>SUMIF('Quarterly Plant Model'!$I$2:$V$2,'Plant model'!L$2,'Quarterly Plant Model'!$I112:$V112)</f>
        <v>0.10841824999999999</v>
      </c>
      <c r="M112" s="315">
        <f t="shared" ref="M112:AE113" si="49">M$102*$E112</f>
        <v>0.21683649999999999</v>
      </c>
      <c r="N112" s="18">
        <f t="shared" si="49"/>
        <v>0.21683649999999999</v>
      </c>
      <c r="O112" s="18">
        <f t="shared" si="49"/>
        <v>0.21683649999999999</v>
      </c>
      <c r="P112" s="18">
        <f t="shared" si="49"/>
        <v>0.21683649999999999</v>
      </c>
      <c r="Q112" s="18">
        <f t="shared" si="49"/>
        <v>0.21683649999999999</v>
      </c>
      <c r="R112" s="18">
        <f t="shared" si="49"/>
        <v>0.21683649999999999</v>
      </c>
      <c r="S112" s="18">
        <f t="shared" si="49"/>
        <v>0.21683649999999999</v>
      </c>
      <c r="T112" s="18">
        <f t="shared" si="49"/>
        <v>0.21683649999999999</v>
      </c>
      <c r="U112" s="18">
        <f t="shared" si="49"/>
        <v>0.21683649999999999</v>
      </c>
      <c r="V112" s="18">
        <f t="shared" si="49"/>
        <v>0.21683649999999999</v>
      </c>
      <c r="W112" s="18">
        <f t="shared" si="49"/>
        <v>0.21683649999999999</v>
      </c>
      <c r="X112" s="18">
        <f t="shared" si="49"/>
        <v>0.21683649999999999</v>
      </c>
      <c r="Y112" s="18">
        <f t="shared" si="49"/>
        <v>0.21683649999999999</v>
      </c>
      <c r="Z112" s="18">
        <f t="shared" si="49"/>
        <v>0.21683649999999999</v>
      </c>
      <c r="AA112" s="18">
        <f t="shared" si="49"/>
        <v>0.21683649999999999</v>
      </c>
      <c r="AB112" s="18">
        <f t="shared" si="49"/>
        <v>0.21683649999999999</v>
      </c>
      <c r="AC112" s="18">
        <f t="shared" si="49"/>
        <v>0.21683649999999999</v>
      </c>
      <c r="AD112" s="18">
        <f t="shared" si="49"/>
        <v>0.21683649999999999</v>
      </c>
      <c r="AE112" s="18">
        <f t="shared" si="49"/>
        <v>0.21683649999999999</v>
      </c>
    </row>
    <row r="113" spans="2:31" x14ac:dyDescent="0.2">
      <c r="B113" s="10"/>
      <c r="C113" s="5" t="s">
        <v>870</v>
      </c>
      <c r="D113" s="20"/>
      <c r="E113" s="500">
        <f>1-E112</f>
        <v>0.5</v>
      </c>
      <c r="F113" s="1" t="s">
        <v>335</v>
      </c>
      <c r="G113" s="21">
        <f t="shared" si="48"/>
        <v>4.2960731562499985</v>
      </c>
      <c r="I113" s="41">
        <f>SUMIF('Quarterly Plant Model'!$I$2:$V$2,'Plant model'!I$2,'Quarterly Plant Model'!$I113:$V113)</f>
        <v>0</v>
      </c>
      <c r="J113" s="41">
        <f>SUMIF('Quarterly Plant Model'!$I$2:$V$2,'Plant model'!J$2,'Quarterly Plant Model'!$I113:$V113)</f>
        <v>0</v>
      </c>
      <c r="K113" s="41">
        <f>SUMIF('Quarterly Plant Model'!$I$2:$V$2,'Plant model'!K$2,'Quarterly Plant Model'!$I113:$V113)</f>
        <v>6.7761406249999989E-2</v>
      </c>
      <c r="L113" s="41">
        <f>SUMIF('Quarterly Plant Model'!$I$2:$V$2,'Plant model'!L$2,'Quarterly Plant Model'!$I113:$V113)</f>
        <v>0.10841824999999999</v>
      </c>
      <c r="M113" s="315">
        <f t="shared" si="49"/>
        <v>0.21683649999999999</v>
      </c>
      <c r="N113" s="18">
        <f t="shared" si="49"/>
        <v>0.21683649999999999</v>
      </c>
      <c r="O113" s="18">
        <f t="shared" si="49"/>
        <v>0.21683649999999999</v>
      </c>
      <c r="P113" s="18">
        <f t="shared" si="49"/>
        <v>0.21683649999999999</v>
      </c>
      <c r="Q113" s="18">
        <f t="shared" si="49"/>
        <v>0.21683649999999999</v>
      </c>
      <c r="R113" s="18">
        <f t="shared" si="49"/>
        <v>0.21683649999999999</v>
      </c>
      <c r="S113" s="18">
        <f t="shared" si="49"/>
        <v>0.21683649999999999</v>
      </c>
      <c r="T113" s="18">
        <f t="shared" si="49"/>
        <v>0.21683649999999999</v>
      </c>
      <c r="U113" s="18">
        <f t="shared" si="49"/>
        <v>0.21683649999999999</v>
      </c>
      <c r="V113" s="18">
        <f t="shared" si="49"/>
        <v>0.21683649999999999</v>
      </c>
      <c r="W113" s="18">
        <f t="shared" si="49"/>
        <v>0.21683649999999999</v>
      </c>
      <c r="X113" s="18">
        <f t="shared" si="49"/>
        <v>0.21683649999999999</v>
      </c>
      <c r="Y113" s="18">
        <f t="shared" si="49"/>
        <v>0.21683649999999999</v>
      </c>
      <c r="Z113" s="18">
        <f t="shared" si="49"/>
        <v>0.21683649999999999</v>
      </c>
      <c r="AA113" s="18">
        <f t="shared" si="49"/>
        <v>0.21683649999999999</v>
      </c>
      <c r="AB113" s="18">
        <f t="shared" si="49"/>
        <v>0.21683649999999999</v>
      </c>
      <c r="AC113" s="18">
        <f t="shared" si="49"/>
        <v>0.21683649999999999</v>
      </c>
      <c r="AD113" s="18">
        <f t="shared" si="49"/>
        <v>0.21683649999999999</v>
      </c>
      <c r="AE113" s="18">
        <f t="shared" si="49"/>
        <v>0.21683649999999999</v>
      </c>
    </row>
    <row r="114" spans="2:31" x14ac:dyDescent="0.2">
      <c r="B114" s="10"/>
      <c r="C114" s="5"/>
      <c r="D114" s="20"/>
      <c r="E114" s="260"/>
      <c r="G114" s="21"/>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row>
    <row r="115" spans="2:31" x14ac:dyDescent="0.2">
      <c r="B115" s="10"/>
      <c r="C115" s="47" t="s">
        <v>871</v>
      </c>
      <c r="D115" s="20"/>
      <c r="E115" s="260"/>
      <c r="G115" s="21"/>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row>
    <row r="116" spans="2:31" x14ac:dyDescent="0.2">
      <c r="B116" s="10"/>
      <c r="C116" s="5" t="s">
        <v>390</v>
      </c>
      <c r="D116" s="20"/>
      <c r="E116" s="260"/>
      <c r="F116" s="1" t="s">
        <v>335</v>
      </c>
      <c r="G116" s="21">
        <f>SUM(K116:AE116)</f>
        <v>0</v>
      </c>
      <c r="I116" s="41">
        <f>SUMIF('Quarterly Plant Model'!$I$2:$V$2,'Plant model'!I$2,'Quarterly Plant Model'!$I116:$V116)</f>
        <v>0</v>
      </c>
      <c r="J116" s="41">
        <f>SUMIF('Quarterly Plant Model'!$I$2:$V$2,'Plant model'!J$2,'Quarterly Plant Model'!$I116:$V116)</f>
        <v>0</v>
      </c>
      <c r="K116" s="41">
        <f>SUMIF('Quarterly Plant Model'!$I$2:$V$2,'Plant model'!K$2,'Quarterly Plant Model'!$I116:$V116)</f>
        <v>0</v>
      </c>
      <c r="L116" s="41">
        <f>SUMIF('Quarterly Plant Model'!$I$2:$V$2,'Plant model'!L$2,'Quarterly Plant Model'!$I116:$V116)</f>
        <v>0</v>
      </c>
      <c r="M116" s="315">
        <f t="shared" ref="M116:AE116" si="50">M101</f>
        <v>0</v>
      </c>
      <c r="N116" s="18">
        <f t="shared" si="50"/>
        <v>0</v>
      </c>
      <c r="O116" s="18">
        <f t="shared" si="50"/>
        <v>0</v>
      </c>
      <c r="P116" s="18">
        <f t="shared" si="50"/>
        <v>0</v>
      </c>
      <c r="Q116" s="18">
        <f t="shared" si="50"/>
        <v>0</v>
      </c>
      <c r="R116" s="18">
        <f t="shared" si="50"/>
        <v>0</v>
      </c>
      <c r="S116" s="18">
        <f t="shared" si="50"/>
        <v>0</v>
      </c>
      <c r="T116" s="18">
        <f t="shared" si="50"/>
        <v>0</v>
      </c>
      <c r="U116" s="18">
        <f t="shared" si="50"/>
        <v>0</v>
      </c>
      <c r="V116" s="18">
        <f t="shared" si="50"/>
        <v>0</v>
      </c>
      <c r="W116" s="18">
        <f t="shared" si="50"/>
        <v>0</v>
      </c>
      <c r="X116" s="18">
        <f t="shared" si="50"/>
        <v>0</v>
      </c>
      <c r="Y116" s="18">
        <f t="shared" si="50"/>
        <v>0</v>
      </c>
      <c r="Z116" s="18">
        <f t="shared" si="50"/>
        <v>0</v>
      </c>
      <c r="AA116" s="18">
        <f t="shared" si="50"/>
        <v>0</v>
      </c>
      <c r="AB116" s="18">
        <f t="shared" si="50"/>
        <v>0</v>
      </c>
      <c r="AC116" s="18">
        <f t="shared" si="50"/>
        <v>0</v>
      </c>
      <c r="AD116" s="18">
        <f t="shared" si="50"/>
        <v>0</v>
      </c>
      <c r="AE116" s="18">
        <f t="shared" si="50"/>
        <v>0</v>
      </c>
    </row>
    <row r="117" spans="2:31" x14ac:dyDescent="0.2">
      <c r="B117" s="10"/>
      <c r="C117" s="5" t="s">
        <v>391</v>
      </c>
      <c r="D117" s="20"/>
      <c r="E117" s="260"/>
      <c r="F117" s="1" t="s">
        <v>335</v>
      </c>
      <c r="G117" s="21">
        <f>SUM(K117:AE117)</f>
        <v>0</v>
      </c>
      <c r="I117" s="41">
        <f>SUMIF('Quarterly Plant Model'!$I$2:$V$2,'Plant model'!I$2,'Quarterly Plant Model'!$I117:$V117)</f>
        <v>0</v>
      </c>
      <c r="J117" s="41">
        <f>SUMIF('Quarterly Plant Model'!$I$2:$V$2,'Plant model'!J$2,'Quarterly Plant Model'!$I117:$V117)</f>
        <v>0</v>
      </c>
      <c r="K117" s="41">
        <f>SUMIF('Quarterly Plant Model'!$I$2:$V$2,'Plant model'!K$2,'Quarterly Plant Model'!$I117:$V117)</f>
        <v>0</v>
      </c>
      <c r="L117" s="41">
        <f>SUMIF('Quarterly Plant Model'!$I$2:$V$2,'Plant model'!L$2,'Quarterly Plant Model'!$I117:$V117)</f>
        <v>0</v>
      </c>
      <c r="M117" s="315">
        <f t="shared" ref="M117:AE117" si="51">M103</f>
        <v>0</v>
      </c>
      <c r="N117" s="18">
        <f t="shared" si="51"/>
        <v>0</v>
      </c>
      <c r="O117" s="18">
        <f t="shared" si="51"/>
        <v>0</v>
      </c>
      <c r="P117" s="18">
        <f t="shared" si="51"/>
        <v>0</v>
      </c>
      <c r="Q117" s="18">
        <f t="shared" si="51"/>
        <v>0</v>
      </c>
      <c r="R117" s="18">
        <f t="shared" si="51"/>
        <v>0</v>
      </c>
      <c r="S117" s="18">
        <f t="shared" si="51"/>
        <v>0</v>
      </c>
      <c r="T117" s="18">
        <f t="shared" si="51"/>
        <v>0</v>
      </c>
      <c r="U117" s="18">
        <f t="shared" si="51"/>
        <v>0</v>
      </c>
      <c r="V117" s="18">
        <f t="shared" si="51"/>
        <v>0</v>
      </c>
      <c r="W117" s="18">
        <f t="shared" si="51"/>
        <v>0</v>
      </c>
      <c r="X117" s="18">
        <f t="shared" si="51"/>
        <v>0</v>
      </c>
      <c r="Y117" s="18">
        <f t="shared" si="51"/>
        <v>0</v>
      </c>
      <c r="Z117" s="18">
        <f t="shared" si="51"/>
        <v>0</v>
      </c>
      <c r="AA117" s="18">
        <f t="shared" si="51"/>
        <v>0</v>
      </c>
      <c r="AB117" s="18">
        <f t="shared" si="51"/>
        <v>0</v>
      </c>
      <c r="AC117" s="18">
        <f t="shared" si="51"/>
        <v>0</v>
      </c>
      <c r="AD117" s="18">
        <f t="shared" si="51"/>
        <v>0</v>
      </c>
      <c r="AE117" s="18">
        <f t="shared" si="51"/>
        <v>0</v>
      </c>
    </row>
    <row r="118" spans="2:31" x14ac:dyDescent="0.2">
      <c r="B118" s="10"/>
      <c r="C118" s="5"/>
      <c r="D118" s="20"/>
      <c r="E118" s="260"/>
      <c r="G118" s="21"/>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row>
    <row r="119" spans="2:31" x14ac:dyDescent="0.2">
      <c r="B119" s="10"/>
      <c r="C119" s="5" t="s">
        <v>872</v>
      </c>
      <c r="D119" s="20"/>
      <c r="E119" s="260"/>
      <c r="F119" s="1" t="s">
        <v>335</v>
      </c>
      <c r="G119" s="21">
        <f>SUM(K119:AE119)</f>
        <v>4.2960731562499985</v>
      </c>
      <c r="I119" s="41">
        <f>SUMIF('Quarterly Plant Model'!$I$2:$V$2,'Plant model'!I$2,'Quarterly Plant Model'!$I119:$V119)</f>
        <v>0</v>
      </c>
      <c r="J119" s="41">
        <f>SUMIF('Quarterly Plant Model'!$I$2:$V$2,'Plant model'!J$2,'Quarterly Plant Model'!$I119:$V119)</f>
        <v>0</v>
      </c>
      <c r="K119" s="41">
        <f>SUMIF('Quarterly Plant Model'!$I$2:$V$2,'Plant model'!K$2,'Quarterly Plant Model'!$I119:$V119)</f>
        <v>6.7761406249999989E-2</v>
      </c>
      <c r="L119" s="41">
        <f>SUMIF('Quarterly Plant Model'!$I$2:$V$2,'Plant model'!L$2,'Quarterly Plant Model'!$I119:$V119)</f>
        <v>0.10841824999999999</v>
      </c>
      <c r="M119" s="315">
        <f t="shared" ref="M119:AE119" si="52">M108+M112+SUM(M116:M117)</f>
        <v>0.21683649999999999</v>
      </c>
      <c r="N119" s="18">
        <f t="shared" si="52"/>
        <v>0.21683649999999999</v>
      </c>
      <c r="O119" s="18">
        <f t="shared" si="52"/>
        <v>0.21683649999999999</v>
      </c>
      <c r="P119" s="18">
        <f t="shared" si="52"/>
        <v>0.21683649999999999</v>
      </c>
      <c r="Q119" s="18">
        <f t="shared" si="52"/>
        <v>0.21683649999999999</v>
      </c>
      <c r="R119" s="18">
        <f t="shared" si="52"/>
        <v>0.21683649999999999</v>
      </c>
      <c r="S119" s="18">
        <f t="shared" si="52"/>
        <v>0.21683649999999999</v>
      </c>
      <c r="T119" s="18">
        <f t="shared" si="52"/>
        <v>0.21683649999999999</v>
      </c>
      <c r="U119" s="18">
        <f t="shared" si="52"/>
        <v>0.21683649999999999</v>
      </c>
      <c r="V119" s="18">
        <f t="shared" si="52"/>
        <v>0.21683649999999999</v>
      </c>
      <c r="W119" s="18">
        <f t="shared" si="52"/>
        <v>0.21683649999999999</v>
      </c>
      <c r="X119" s="18">
        <f t="shared" si="52"/>
        <v>0.21683649999999999</v>
      </c>
      <c r="Y119" s="18">
        <f t="shared" si="52"/>
        <v>0.21683649999999999</v>
      </c>
      <c r="Z119" s="18">
        <f t="shared" si="52"/>
        <v>0.21683649999999999</v>
      </c>
      <c r="AA119" s="18">
        <f t="shared" si="52"/>
        <v>0.21683649999999999</v>
      </c>
      <c r="AB119" s="18">
        <f t="shared" si="52"/>
        <v>0.21683649999999999</v>
      </c>
      <c r="AC119" s="18">
        <f t="shared" si="52"/>
        <v>0.21683649999999999</v>
      </c>
      <c r="AD119" s="18">
        <f t="shared" si="52"/>
        <v>0.21683649999999999</v>
      </c>
      <c r="AE119" s="18">
        <f t="shared" si="52"/>
        <v>0.21683649999999999</v>
      </c>
    </row>
    <row r="120" spans="2:31" x14ac:dyDescent="0.2">
      <c r="B120" s="10"/>
      <c r="C120" s="5" t="s">
        <v>873</v>
      </c>
      <c r="D120" s="20"/>
      <c r="E120" s="260"/>
      <c r="F120" s="1" t="s">
        <v>335</v>
      </c>
      <c r="G120" s="21">
        <f>SUM(K120:AE120)</f>
        <v>4.2960731562499985</v>
      </c>
      <c r="I120" s="41">
        <f>SUMIF('Quarterly Plant Model'!$I$2:$V$2,'Plant model'!I$2,'Quarterly Plant Model'!$I120:$V120)</f>
        <v>0</v>
      </c>
      <c r="J120" s="41">
        <f>SUMIF('Quarterly Plant Model'!$I$2:$V$2,'Plant model'!J$2,'Quarterly Plant Model'!$I120:$V120)</f>
        <v>0</v>
      </c>
      <c r="K120" s="41">
        <f>SUMIF('Quarterly Plant Model'!$I$2:$V$2,'Plant model'!K$2,'Quarterly Plant Model'!$I120:$V120)</f>
        <v>6.7761406249999989E-2</v>
      </c>
      <c r="L120" s="41">
        <f>SUMIF('Quarterly Plant Model'!$I$2:$V$2,'Plant model'!L$2,'Quarterly Plant Model'!$I120:$V120)</f>
        <v>0.10841824999999999</v>
      </c>
      <c r="M120" s="315">
        <f t="shared" ref="M120:AE120" si="53">M109+M113</f>
        <v>0.21683649999999999</v>
      </c>
      <c r="N120" s="18">
        <f t="shared" si="53"/>
        <v>0.21683649999999999</v>
      </c>
      <c r="O120" s="18">
        <f t="shared" si="53"/>
        <v>0.21683649999999999</v>
      </c>
      <c r="P120" s="18">
        <f t="shared" si="53"/>
        <v>0.21683649999999999</v>
      </c>
      <c r="Q120" s="18">
        <f t="shared" si="53"/>
        <v>0.21683649999999999</v>
      </c>
      <c r="R120" s="18">
        <f t="shared" si="53"/>
        <v>0.21683649999999999</v>
      </c>
      <c r="S120" s="18">
        <f t="shared" si="53"/>
        <v>0.21683649999999999</v>
      </c>
      <c r="T120" s="18">
        <f t="shared" si="53"/>
        <v>0.21683649999999999</v>
      </c>
      <c r="U120" s="18">
        <f t="shared" si="53"/>
        <v>0.21683649999999999</v>
      </c>
      <c r="V120" s="18">
        <f t="shared" si="53"/>
        <v>0.21683649999999999</v>
      </c>
      <c r="W120" s="18">
        <f t="shared" si="53"/>
        <v>0.21683649999999999</v>
      </c>
      <c r="X120" s="18">
        <f t="shared" si="53"/>
        <v>0.21683649999999999</v>
      </c>
      <c r="Y120" s="18">
        <f t="shared" si="53"/>
        <v>0.21683649999999999</v>
      </c>
      <c r="Z120" s="18">
        <f t="shared" si="53"/>
        <v>0.21683649999999999</v>
      </c>
      <c r="AA120" s="18">
        <f t="shared" si="53"/>
        <v>0.21683649999999999</v>
      </c>
      <c r="AB120" s="18">
        <f t="shared" si="53"/>
        <v>0.21683649999999999</v>
      </c>
      <c r="AC120" s="18">
        <f t="shared" si="53"/>
        <v>0.21683649999999999</v>
      </c>
      <c r="AD120" s="18">
        <f t="shared" si="53"/>
        <v>0.21683649999999999</v>
      </c>
      <c r="AE120" s="18">
        <f t="shared" si="53"/>
        <v>0.21683649999999999</v>
      </c>
    </row>
    <row r="121" spans="2:31" x14ac:dyDescent="0.2">
      <c r="B121" s="10"/>
      <c r="C121" s="5" t="s">
        <v>45</v>
      </c>
      <c r="D121" s="20"/>
      <c r="E121" s="260"/>
      <c r="F121" s="1" t="s">
        <v>335</v>
      </c>
      <c r="G121" s="21">
        <f>SUM(K121:AE121)</f>
        <v>8.5921463124999971</v>
      </c>
      <c r="I121" s="41">
        <f>SUMIF('Quarterly Plant Model'!$I$2:$V$2,'Plant model'!I$2,'Quarterly Plant Model'!$I121:$V121)</f>
        <v>0</v>
      </c>
      <c r="J121" s="41">
        <f>SUMIF('Quarterly Plant Model'!$I$2:$V$2,'Plant model'!J$2,'Quarterly Plant Model'!$I121:$V121)</f>
        <v>0</v>
      </c>
      <c r="K121" s="41">
        <f>SUMIF('Quarterly Plant Model'!$I$2:$V$2,'Plant model'!K$2,'Quarterly Plant Model'!$I121:$V121)</f>
        <v>0.13552281249999998</v>
      </c>
      <c r="L121" s="41">
        <f>SUMIF('Quarterly Plant Model'!$I$2:$V$2,'Plant model'!L$2,'Quarterly Plant Model'!$I121:$V121)</f>
        <v>0.21683649999999999</v>
      </c>
      <c r="M121" s="315">
        <f t="shared" ref="M121:AE121" si="54">SUM(M119:M120)</f>
        <v>0.43367299999999998</v>
      </c>
      <c r="N121" s="18">
        <f t="shared" si="54"/>
        <v>0.43367299999999998</v>
      </c>
      <c r="O121" s="18">
        <f t="shared" si="54"/>
        <v>0.43367299999999998</v>
      </c>
      <c r="P121" s="18">
        <f t="shared" si="54"/>
        <v>0.43367299999999998</v>
      </c>
      <c r="Q121" s="18">
        <f t="shared" si="54"/>
        <v>0.43367299999999998</v>
      </c>
      <c r="R121" s="18">
        <f t="shared" si="54"/>
        <v>0.43367299999999998</v>
      </c>
      <c r="S121" s="18">
        <f t="shared" si="54"/>
        <v>0.43367299999999998</v>
      </c>
      <c r="T121" s="18">
        <f t="shared" si="54"/>
        <v>0.43367299999999998</v>
      </c>
      <c r="U121" s="18">
        <f t="shared" si="54"/>
        <v>0.43367299999999998</v>
      </c>
      <c r="V121" s="18">
        <f t="shared" si="54"/>
        <v>0.43367299999999998</v>
      </c>
      <c r="W121" s="18">
        <f t="shared" si="54"/>
        <v>0.43367299999999998</v>
      </c>
      <c r="X121" s="18">
        <f t="shared" si="54"/>
        <v>0.43367299999999998</v>
      </c>
      <c r="Y121" s="18">
        <f t="shared" si="54"/>
        <v>0.43367299999999998</v>
      </c>
      <c r="Z121" s="18">
        <f t="shared" si="54"/>
        <v>0.43367299999999998</v>
      </c>
      <c r="AA121" s="18">
        <f t="shared" si="54"/>
        <v>0.43367299999999998</v>
      </c>
      <c r="AB121" s="18">
        <f t="shared" si="54"/>
        <v>0.43367299999999998</v>
      </c>
      <c r="AC121" s="18">
        <f t="shared" si="54"/>
        <v>0.43367299999999998</v>
      </c>
      <c r="AD121" s="18">
        <f t="shared" si="54"/>
        <v>0.43367299999999998</v>
      </c>
      <c r="AE121" s="18">
        <f t="shared" si="54"/>
        <v>0.43367299999999998</v>
      </c>
    </row>
    <row r="122" spans="2:31" x14ac:dyDescent="0.2">
      <c r="B122" s="10"/>
      <c r="C122" s="5"/>
      <c r="D122" s="302"/>
      <c r="E122" s="303"/>
      <c r="G122" s="21"/>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row>
    <row r="123" spans="2:31" s="5" customFormat="1" x14ac:dyDescent="0.2">
      <c r="B123" s="273"/>
      <c r="C123" s="5" t="s">
        <v>16</v>
      </c>
      <c r="D123" s="120"/>
      <c r="E123" s="97">
        <v>0.159</v>
      </c>
      <c r="F123" s="5" t="s">
        <v>519</v>
      </c>
      <c r="I123" s="45">
        <f>$E$123</f>
        <v>0.159</v>
      </c>
      <c r="J123" s="45">
        <f>$E$123</f>
        <v>0.159</v>
      </c>
      <c r="K123" s="45">
        <f>$E$123</f>
        <v>0.159</v>
      </c>
      <c r="L123" s="45">
        <f>$E$123</f>
        <v>0.159</v>
      </c>
      <c r="M123" s="315">
        <f t="shared" ref="M123:AE123" si="55">$E$123</f>
        <v>0.159</v>
      </c>
      <c r="N123" s="45">
        <f t="shared" si="55"/>
        <v>0.159</v>
      </c>
      <c r="O123" s="45">
        <f t="shared" si="55"/>
        <v>0.159</v>
      </c>
      <c r="P123" s="45">
        <f t="shared" si="55"/>
        <v>0.159</v>
      </c>
      <c r="Q123" s="45">
        <f t="shared" si="55"/>
        <v>0.159</v>
      </c>
      <c r="R123" s="45">
        <f t="shared" si="55"/>
        <v>0.159</v>
      </c>
      <c r="S123" s="45">
        <f t="shared" si="55"/>
        <v>0.159</v>
      </c>
      <c r="T123" s="45">
        <f t="shared" si="55"/>
        <v>0.159</v>
      </c>
      <c r="U123" s="45">
        <f t="shared" si="55"/>
        <v>0.159</v>
      </c>
      <c r="V123" s="45">
        <f t="shared" si="55"/>
        <v>0.159</v>
      </c>
      <c r="W123" s="45">
        <f t="shared" si="55"/>
        <v>0.159</v>
      </c>
      <c r="X123" s="45">
        <f t="shared" si="55"/>
        <v>0.159</v>
      </c>
      <c r="Y123" s="45">
        <f t="shared" si="55"/>
        <v>0.159</v>
      </c>
      <c r="Z123" s="45">
        <f t="shared" si="55"/>
        <v>0.159</v>
      </c>
      <c r="AA123" s="45">
        <f t="shared" si="55"/>
        <v>0.159</v>
      </c>
      <c r="AB123" s="45">
        <f t="shared" si="55"/>
        <v>0.159</v>
      </c>
      <c r="AC123" s="45">
        <f t="shared" si="55"/>
        <v>0.159</v>
      </c>
      <c r="AD123" s="45">
        <f t="shared" si="55"/>
        <v>0.159</v>
      </c>
      <c r="AE123" s="45">
        <f t="shared" si="55"/>
        <v>0.159</v>
      </c>
    </row>
    <row r="124" spans="2:31" s="5" customFormat="1" x14ac:dyDescent="0.2">
      <c r="B124" s="273"/>
      <c r="C124" s="5" t="s">
        <v>17</v>
      </c>
      <c r="F124" s="5" t="s">
        <v>335</v>
      </c>
      <c r="G124" s="52">
        <f>SUM(K124:AE124)</f>
        <v>1.3661512636875004</v>
      </c>
      <c r="I124" s="52">
        <f>I123*I104</f>
        <v>0</v>
      </c>
      <c r="J124" s="52">
        <f t="shared" ref="J124" si="56">J123*J104</f>
        <v>0</v>
      </c>
      <c r="K124" s="52">
        <f t="shared" ref="K124:AE124" si="57">K123*K104</f>
        <v>2.1548127187499998E-2</v>
      </c>
      <c r="L124" s="52">
        <f>L123*L104</f>
        <v>3.4477003499999999E-2</v>
      </c>
      <c r="M124" s="46">
        <f t="shared" si="57"/>
        <v>6.8954006999999998E-2</v>
      </c>
      <c r="N124" s="52">
        <f t="shared" si="57"/>
        <v>6.8954006999999998E-2</v>
      </c>
      <c r="O124" s="52">
        <f t="shared" si="57"/>
        <v>6.8954006999999998E-2</v>
      </c>
      <c r="P124" s="52">
        <f t="shared" si="57"/>
        <v>6.8954006999999998E-2</v>
      </c>
      <c r="Q124" s="52">
        <f t="shared" si="57"/>
        <v>6.8954006999999998E-2</v>
      </c>
      <c r="R124" s="52">
        <f t="shared" si="57"/>
        <v>6.8954006999999998E-2</v>
      </c>
      <c r="S124" s="52">
        <f t="shared" si="57"/>
        <v>6.8954006999999998E-2</v>
      </c>
      <c r="T124" s="52">
        <f t="shared" si="57"/>
        <v>6.8954006999999998E-2</v>
      </c>
      <c r="U124" s="52">
        <f t="shared" si="57"/>
        <v>6.8954006999999998E-2</v>
      </c>
      <c r="V124" s="52">
        <f t="shared" si="57"/>
        <v>6.8954006999999998E-2</v>
      </c>
      <c r="W124" s="52">
        <f t="shared" si="57"/>
        <v>6.8954006999999998E-2</v>
      </c>
      <c r="X124" s="52">
        <f t="shared" si="57"/>
        <v>6.8954006999999998E-2</v>
      </c>
      <c r="Y124" s="52">
        <f t="shared" si="57"/>
        <v>6.8954006999999998E-2</v>
      </c>
      <c r="Z124" s="52">
        <f t="shared" si="57"/>
        <v>6.8954006999999998E-2</v>
      </c>
      <c r="AA124" s="52">
        <f t="shared" si="57"/>
        <v>6.8954006999999998E-2</v>
      </c>
      <c r="AB124" s="52">
        <f t="shared" si="57"/>
        <v>6.8954006999999998E-2</v>
      </c>
      <c r="AC124" s="52">
        <f t="shared" si="57"/>
        <v>6.8954006999999998E-2</v>
      </c>
      <c r="AD124" s="52">
        <f t="shared" si="57"/>
        <v>6.8954006999999998E-2</v>
      </c>
      <c r="AE124" s="52">
        <f t="shared" si="57"/>
        <v>6.8954006999999998E-2</v>
      </c>
    </row>
    <row r="125" spans="2:31" x14ac:dyDescent="0.2">
      <c r="B125" s="10"/>
      <c r="C125" s="5"/>
      <c r="D125" s="5"/>
      <c r="E125" s="259"/>
    </row>
    <row r="126" spans="2:31" x14ac:dyDescent="0.2">
      <c r="B126" s="10"/>
      <c r="C126" s="271"/>
      <c r="D126" s="271"/>
      <c r="E126" s="272"/>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2:31" x14ac:dyDescent="0.2">
      <c r="B127" s="10"/>
      <c r="C127" s="5"/>
      <c r="D127" s="5"/>
      <c r="E127" s="259"/>
    </row>
    <row r="128" spans="2:31" x14ac:dyDescent="0.2">
      <c r="B128" s="10">
        <f>B93+0.1</f>
        <v>2.2000000000000002</v>
      </c>
      <c r="C128" s="20" t="s">
        <v>104</v>
      </c>
      <c r="D128" s="5"/>
      <c r="E128" s="259"/>
    </row>
    <row r="129" spans="2:31" x14ac:dyDescent="0.2">
      <c r="B129" s="10"/>
      <c r="C129" s="5"/>
      <c r="D129" s="5"/>
      <c r="E129" s="259"/>
    </row>
    <row r="130" spans="2:31" x14ac:dyDescent="0.2">
      <c r="B130" s="10"/>
      <c r="C130" s="5" t="s">
        <v>874</v>
      </c>
      <c r="D130" s="5"/>
      <c r="E130" s="259"/>
      <c r="F130" s="1" t="s">
        <v>55</v>
      </c>
      <c r="G130" s="21">
        <f t="shared" ref="G130" si="58">SUM(K130:AE130)</f>
        <v>0</v>
      </c>
      <c r="I130" s="41">
        <f>SUMIF('Quarterly Plant Model'!$I$2:$V$2,'Plant model'!I$2,'Quarterly Plant Model'!$I130:$V130)</f>
        <v>0</v>
      </c>
      <c r="J130" s="41">
        <f>SUMIF('Quarterly Plant Model'!$I$2:$V$2,'Plant model'!J$2,'Quarterly Plant Model'!$I130:$V130)</f>
        <v>0</v>
      </c>
      <c r="K130" s="41">
        <f>SUMIF('Quarterly Plant Model'!$I$2:$V$2,'Plant model'!K$2,'Quarterly Plant Model'!$I130:$V130)</f>
        <v>0</v>
      </c>
      <c r="L130" s="41">
        <f>SUMIF('Quarterly Plant Model'!$I$2:$V$2,'Plant model'!L$2,'Quarterly Plant Model'!$I130:$V130)</f>
        <v>0</v>
      </c>
      <c r="M130" s="18">
        <f t="shared" ref="M130:AE130" si="59">M108*M21</f>
        <v>0</v>
      </c>
      <c r="N130" s="18">
        <f t="shared" si="59"/>
        <v>0</v>
      </c>
      <c r="O130" s="18">
        <f t="shared" si="59"/>
        <v>0</v>
      </c>
      <c r="P130" s="18">
        <f t="shared" si="59"/>
        <v>0</v>
      </c>
      <c r="Q130" s="18">
        <f t="shared" si="59"/>
        <v>0</v>
      </c>
      <c r="R130" s="18">
        <f t="shared" si="59"/>
        <v>0</v>
      </c>
      <c r="S130" s="18">
        <f t="shared" si="59"/>
        <v>0</v>
      </c>
      <c r="T130" s="18">
        <f t="shared" si="59"/>
        <v>0</v>
      </c>
      <c r="U130" s="18">
        <f t="shared" si="59"/>
        <v>0</v>
      </c>
      <c r="V130" s="18">
        <f t="shared" si="59"/>
        <v>0</v>
      </c>
      <c r="W130" s="18">
        <f t="shared" si="59"/>
        <v>0</v>
      </c>
      <c r="X130" s="18">
        <f t="shared" si="59"/>
        <v>0</v>
      </c>
      <c r="Y130" s="18">
        <f t="shared" si="59"/>
        <v>0</v>
      </c>
      <c r="Z130" s="18">
        <f t="shared" si="59"/>
        <v>0</v>
      </c>
      <c r="AA130" s="18">
        <f t="shared" si="59"/>
        <v>0</v>
      </c>
      <c r="AB130" s="18">
        <f t="shared" si="59"/>
        <v>0</v>
      </c>
      <c r="AC130" s="18">
        <f t="shared" si="59"/>
        <v>0</v>
      </c>
      <c r="AD130" s="18">
        <f t="shared" si="59"/>
        <v>0</v>
      </c>
      <c r="AE130" s="18">
        <f t="shared" si="59"/>
        <v>0</v>
      </c>
    </row>
    <row r="131" spans="2:31" x14ac:dyDescent="0.2">
      <c r="B131" s="10"/>
      <c r="C131" s="5" t="s">
        <v>876</v>
      </c>
      <c r="D131" s="5"/>
      <c r="E131" s="259"/>
      <c r="F131" s="1" t="s">
        <v>55</v>
      </c>
      <c r="G131" s="21">
        <f t="shared" ref="G131" si="60">SUM(K131:AE131)</f>
        <v>0</v>
      </c>
      <c r="I131" s="41">
        <f>SUMIF('Quarterly Plant Model'!$I$2:$V$2,'Plant model'!I$2,'Quarterly Plant Model'!$I131:$V131)</f>
        <v>0</v>
      </c>
      <c r="J131" s="41">
        <f>SUMIF('Quarterly Plant Model'!$I$2:$V$2,'Plant model'!J$2,'Quarterly Plant Model'!$I131:$V131)</f>
        <v>0</v>
      </c>
      <c r="K131" s="41">
        <f>SUMIF('Quarterly Plant Model'!$I$2:$V$2,'Plant model'!K$2,'Quarterly Plant Model'!$I131:$V131)</f>
        <v>0</v>
      </c>
      <c r="L131" s="41">
        <f>SUMIF('Quarterly Plant Model'!$I$2:$V$2,'Plant model'!L$2,'Quarterly Plant Model'!$I131:$V131)</f>
        <v>0</v>
      </c>
      <c r="M131" s="18">
        <f t="shared" ref="M131:AE131" si="61">M109*M22</f>
        <v>0</v>
      </c>
      <c r="N131" s="18">
        <f t="shared" si="61"/>
        <v>0</v>
      </c>
      <c r="O131" s="18">
        <f t="shared" si="61"/>
        <v>0</v>
      </c>
      <c r="P131" s="18">
        <f t="shared" si="61"/>
        <v>0</v>
      </c>
      <c r="Q131" s="18">
        <f t="shared" si="61"/>
        <v>0</v>
      </c>
      <c r="R131" s="18">
        <f t="shared" si="61"/>
        <v>0</v>
      </c>
      <c r="S131" s="18">
        <f t="shared" si="61"/>
        <v>0</v>
      </c>
      <c r="T131" s="18">
        <f t="shared" si="61"/>
        <v>0</v>
      </c>
      <c r="U131" s="18">
        <f t="shared" si="61"/>
        <v>0</v>
      </c>
      <c r="V131" s="18">
        <f t="shared" si="61"/>
        <v>0</v>
      </c>
      <c r="W131" s="18">
        <f t="shared" si="61"/>
        <v>0</v>
      </c>
      <c r="X131" s="18">
        <f t="shared" si="61"/>
        <v>0</v>
      </c>
      <c r="Y131" s="18">
        <f t="shared" si="61"/>
        <v>0</v>
      </c>
      <c r="Z131" s="18">
        <f t="shared" si="61"/>
        <v>0</v>
      </c>
      <c r="AA131" s="18">
        <f t="shared" si="61"/>
        <v>0</v>
      </c>
      <c r="AB131" s="18">
        <f t="shared" si="61"/>
        <v>0</v>
      </c>
      <c r="AC131" s="18">
        <f t="shared" si="61"/>
        <v>0</v>
      </c>
      <c r="AD131" s="18">
        <f t="shared" si="61"/>
        <v>0</v>
      </c>
      <c r="AE131" s="18">
        <f t="shared" si="61"/>
        <v>0</v>
      </c>
    </row>
    <row r="132" spans="2:31" x14ac:dyDescent="0.2">
      <c r="B132" s="10"/>
      <c r="C132" s="5" t="s">
        <v>879</v>
      </c>
      <c r="D132" s="5"/>
      <c r="E132" s="259"/>
      <c r="F132" s="1" t="s">
        <v>55</v>
      </c>
      <c r="G132" s="21">
        <f t="shared" ref="G132" si="62">SUM(K132:AE132)</f>
        <v>2886.9611610000006</v>
      </c>
      <c r="I132" s="41">
        <f>SUMIF('Quarterly Plant Model'!$I$2:$V$2,'Plant model'!I$2,'Quarterly Plant Model'!$I132:$V132)</f>
        <v>0</v>
      </c>
      <c r="J132" s="41">
        <f>SUMIF('Quarterly Plant Model'!$I$2:$V$2,'Plant model'!J$2,'Quarterly Plant Model'!$I132:$V132)</f>
        <v>0</v>
      </c>
      <c r="K132" s="41">
        <f>SUMIF('Quarterly Plant Model'!$I$2:$V$2,'Plant model'!K$2,'Quarterly Plant Model'!$I132:$V132)</f>
        <v>45.535664999999995</v>
      </c>
      <c r="L132" s="41">
        <f>SUMIF('Quarterly Plant Model'!$I$2:$V$2,'Plant model'!L$2,'Quarterly Plant Model'!$I132:$V132)</f>
        <v>72.857063999999994</v>
      </c>
      <c r="M132" s="18">
        <f t="shared" ref="M132:AE132" si="63">M112*M24</f>
        <v>145.71412799999999</v>
      </c>
      <c r="N132" s="18">
        <f t="shared" si="63"/>
        <v>145.71412799999999</v>
      </c>
      <c r="O132" s="18">
        <f t="shared" si="63"/>
        <v>145.71412799999999</v>
      </c>
      <c r="P132" s="18">
        <f t="shared" si="63"/>
        <v>145.71412799999999</v>
      </c>
      <c r="Q132" s="18">
        <f t="shared" si="63"/>
        <v>145.71412799999999</v>
      </c>
      <c r="R132" s="18">
        <f t="shared" si="63"/>
        <v>145.71412799999999</v>
      </c>
      <c r="S132" s="18">
        <f t="shared" si="63"/>
        <v>145.71412799999999</v>
      </c>
      <c r="T132" s="18">
        <f t="shared" si="63"/>
        <v>145.71412799999999</v>
      </c>
      <c r="U132" s="18">
        <f t="shared" si="63"/>
        <v>145.71412799999999</v>
      </c>
      <c r="V132" s="18">
        <f t="shared" si="63"/>
        <v>145.71412799999999</v>
      </c>
      <c r="W132" s="18">
        <f t="shared" si="63"/>
        <v>145.71412799999999</v>
      </c>
      <c r="X132" s="18">
        <f t="shared" si="63"/>
        <v>145.71412799999999</v>
      </c>
      <c r="Y132" s="18">
        <f t="shared" si="63"/>
        <v>145.71412799999999</v>
      </c>
      <c r="Z132" s="18">
        <f t="shared" si="63"/>
        <v>145.71412799999999</v>
      </c>
      <c r="AA132" s="18">
        <f t="shared" si="63"/>
        <v>145.71412799999999</v>
      </c>
      <c r="AB132" s="18">
        <f t="shared" si="63"/>
        <v>145.71412799999999</v>
      </c>
      <c r="AC132" s="18">
        <f t="shared" si="63"/>
        <v>145.71412799999999</v>
      </c>
      <c r="AD132" s="18">
        <f t="shared" si="63"/>
        <v>145.71412799999999</v>
      </c>
      <c r="AE132" s="18">
        <f t="shared" si="63"/>
        <v>145.71412799999999</v>
      </c>
    </row>
    <row r="133" spans="2:31" x14ac:dyDescent="0.2">
      <c r="B133" s="10"/>
      <c r="C133" s="5" t="s">
        <v>878</v>
      </c>
      <c r="D133" s="5"/>
      <c r="E133" s="259"/>
      <c r="F133" s="1" t="s">
        <v>55</v>
      </c>
      <c r="G133" s="21">
        <f t="shared" ref="G133" si="64">SUM(K133:AE133)</f>
        <v>2921.3297462500004</v>
      </c>
      <c r="I133" s="41">
        <f>SUMIF('Quarterly Plant Model'!$I$2:$V$2,'Plant model'!I$2,'Quarterly Plant Model'!$I133:$V133)</f>
        <v>0</v>
      </c>
      <c r="J133" s="41">
        <f>SUMIF('Quarterly Plant Model'!$I$2:$V$2,'Plant model'!J$2,'Quarterly Plant Model'!$I133:$V133)</f>
        <v>0</v>
      </c>
      <c r="K133" s="41">
        <f>SUMIF('Quarterly Plant Model'!$I$2:$V$2,'Plant model'!K$2,'Quarterly Plant Model'!$I133:$V133)</f>
        <v>46.077756249999993</v>
      </c>
      <c r="L133" s="41">
        <f>SUMIF('Quarterly Plant Model'!$I$2:$V$2,'Plant model'!L$2,'Quarterly Plant Model'!$I133:$V133)</f>
        <v>73.724409999999992</v>
      </c>
      <c r="M133" s="18">
        <f t="shared" ref="M133:AE133" si="65">M113*M25</f>
        <v>147.44881999999998</v>
      </c>
      <c r="N133" s="18">
        <f t="shared" si="65"/>
        <v>147.44881999999998</v>
      </c>
      <c r="O133" s="18">
        <f t="shared" si="65"/>
        <v>147.44881999999998</v>
      </c>
      <c r="P133" s="18">
        <f t="shared" si="65"/>
        <v>147.44881999999998</v>
      </c>
      <c r="Q133" s="18">
        <f t="shared" si="65"/>
        <v>147.44881999999998</v>
      </c>
      <c r="R133" s="18">
        <f t="shared" si="65"/>
        <v>147.44881999999998</v>
      </c>
      <c r="S133" s="18">
        <f t="shared" si="65"/>
        <v>147.44881999999998</v>
      </c>
      <c r="T133" s="18">
        <f t="shared" si="65"/>
        <v>147.44881999999998</v>
      </c>
      <c r="U133" s="18">
        <f t="shared" si="65"/>
        <v>147.44881999999998</v>
      </c>
      <c r="V133" s="18">
        <f t="shared" si="65"/>
        <v>147.44881999999998</v>
      </c>
      <c r="W133" s="18">
        <f t="shared" si="65"/>
        <v>147.44881999999998</v>
      </c>
      <c r="X133" s="18">
        <f t="shared" si="65"/>
        <v>147.44881999999998</v>
      </c>
      <c r="Y133" s="18">
        <f t="shared" si="65"/>
        <v>147.44881999999998</v>
      </c>
      <c r="Z133" s="18">
        <f t="shared" si="65"/>
        <v>147.44881999999998</v>
      </c>
      <c r="AA133" s="18">
        <f t="shared" si="65"/>
        <v>147.44881999999998</v>
      </c>
      <c r="AB133" s="18">
        <f t="shared" si="65"/>
        <v>147.44881999999998</v>
      </c>
      <c r="AC133" s="18">
        <f t="shared" si="65"/>
        <v>147.44881999999998</v>
      </c>
      <c r="AD133" s="18">
        <f t="shared" si="65"/>
        <v>147.44881999999998</v>
      </c>
      <c r="AE133" s="18">
        <f t="shared" si="65"/>
        <v>147.44881999999998</v>
      </c>
    </row>
    <row r="134" spans="2:31" x14ac:dyDescent="0.2">
      <c r="B134" s="10"/>
      <c r="C134" s="5" t="str">
        <f>C101</f>
        <v>Nodular off-spec</v>
      </c>
      <c r="D134" s="5"/>
      <c r="E134" s="259"/>
      <c r="F134" s="1" t="s">
        <v>55</v>
      </c>
      <c r="G134" s="21">
        <f t="shared" ref="G134:G137" si="66">SUM(K134:AE134)</f>
        <v>0</v>
      </c>
      <c r="I134" s="41">
        <f>SUMIF('Quarterly Plant Model'!$I$2:$V$2,'Plant model'!I$2,'Quarterly Plant Model'!$I134:$V134)</f>
        <v>0</v>
      </c>
      <c r="J134" s="41">
        <f>SUMIF('Quarterly Plant Model'!$I$2:$V$2,'Plant model'!J$2,'Quarterly Plant Model'!$I134:$V134)</f>
        <v>0</v>
      </c>
      <c r="K134" s="41">
        <f>SUMIF('Quarterly Plant Model'!$I$2:$V$2,'Plant model'!K$2,'Quarterly Plant Model'!$I134:$V134)</f>
        <v>0</v>
      </c>
      <c r="L134" s="41">
        <f>SUMIF('Quarterly Plant Model'!$I$2:$V$2,'Plant model'!L$2,'Quarterly Plant Model'!$I134:$V134)</f>
        <v>0</v>
      </c>
      <c r="M134" s="18">
        <f t="shared" ref="M134:AE134" si="67">M101*M23</f>
        <v>0</v>
      </c>
      <c r="N134" s="18">
        <f t="shared" si="67"/>
        <v>0</v>
      </c>
      <c r="O134" s="18">
        <f t="shared" si="67"/>
        <v>0</v>
      </c>
      <c r="P134" s="18">
        <f t="shared" si="67"/>
        <v>0</v>
      </c>
      <c r="Q134" s="18">
        <f t="shared" si="67"/>
        <v>0</v>
      </c>
      <c r="R134" s="18">
        <f t="shared" si="67"/>
        <v>0</v>
      </c>
      <c r="S134" s="18">
        <f t="shared" si="67"/>
        <v>0</v>
      </c>
      <c r="T134" s="18">
        <f t="shared" si="67"/>
        <v>0</v>
      </c>
      <c r="U134" s="18">
        <f t="shared" si="67"/>
        <v>0</v>
      </c>
      <c r="V134" s="18">
        <f t="shared" si="67"/>
        <v>0</v>
      </c>
      <c r="W134" s="18">
        <f t="shared" si="67"/>
        <v>0</v>
      </c>
      <c r="X134" s="18">
        <f t="shared" si="67"/>
        <v>0</v>
      </c>
      <c r="Y134" s="18">
        <f t="shared" si="67"/>
        <v>0</v>
      </c>
      <c r="Z134" s="18">
        <f t="shared" si="67"/>
        <v>0</v>
      </c>
      <c r="AA134" s="18">
        <f t="shared" si="67"/>
        <v>0</v>
      </c>
      <c r="AB134" s="18">
        <f t="shared" si="67"/>
        <v>0</v>
      </c>
      <c r="AC134" s="18">
        <f t="shared" si="67"/>
        <v>0</v>
      </c>
      <c r="AD134" s="18">
        <f t="shared" si="67"/>
        <v>0</v>
      </c>
      <c r="AE134" s="18">
        <f t="shared" si="67"/>
        <v>0</v>
      </c>
    </row>
    <row r="135" spans="2:31" x14ac:dyDescent="0.2">
      <c r="B135" s="10"/>
      <c r="C135" s="5" t="str">
        <f>C103</f>
        <v>Scrap Grade</v>
      </c>
      <c r="D135" s="5"/>
      <c r="E135" s="259"/>
      <c r="F135" s="1" t="s">
        <v>55</v>
      </c>
      <c r="G135" s="21">
        <f t="shared" si="66"/>
        <v>0</v>
      </c>
      <c r="I135" s="41">
        <f>SUMIF('Quarterly Plant Model'!$I$2:$V$2,'Plant model'!I$2,'Quarterly Plant Model'!$I135:$V135)</f>
        <v>0</v>
      </c>
      <c r="J135" s="41">
        <f>SUMIF('Quarterly Plant Model'!$I$2:$V$2,'Plant model'!J$2,'Quarterly Plant Model'!$I135:$V135)</f>
        <v>0</v>
      </c>
      <c r="K135" s="41">
        <f>SUMIF('Quarterly Plant Model'!$I$2:$V$2,'Plant model'!K$2,'Quarterly Plant Model'!$I135:$V135)</f>
        <v>0</v>
      </c>
      <c r="L135" s="41">
        <f>SUMIF('Quarterly Plant Model'!$I$2:$V$2,'Plant model'!L$2,'Quarterly Plant Model'!$I135:$V135)</f>
        <v>0</v>
      </c>
      <c r="M135" s="18">
        <f t="shared" ref="M135:AE135" si="68">M103*M26</f>
        <v>0</v>
      </c>
      <c r="N135" s="18">
        <f t="shared" si="68"/>
        <v>0</v>
      </c>
      <c r="O135" s="18">
        <f t="shared" si="68"/>
        <v>0</v>
      </c>
      <c r="P135" s="18">
        <f t="shared" si="68"/>
        <v>0</v>
      </c>
      <c r="Q135" s="18">
        <f t="shared" si="68"/>
        <v>0</v>
      </c>
      <c r="R135" s="18">
        <f t="shared" si="68"/>
        <v>0</v>
      </c>
      <c r="S135" s="18">
        <f t="shared" si="68"/>
        <v>0</v>
      </c>
      <c r="T135" s="18">
        <f t="shared" si="68"/>
        <v>0</v>
      </c>
      <c r="U135" s="18">
        <f t="shared" si="68"/>
        <v>0</v>
      </c>
      <c r="V135" s="18">
        <f t="shared" si="68"/>
        <v>0</v>
      </c>
      <c r="W135" s="18">
        <f t="shared" si="68"/>
        <v>0</v>
      </c>
      <c r="X135" s="18">
        <f t="shared" si="68"/>
        <v>0</v>
      </c>
      <c r="Y135" s="18">
        <f t="shared" si="68"/>
        <v>0</v>
      </c>
      <c r="Z135" s="18">
        <f t="shared" si="68"/>
        <v>0</v>
      </c>
      <c r="AA135" s="18">
        <f t="shared" si="68"/>
        <v>0</v>
      </c>
      <c r="AB135" s="18">
        <f t="shared" si="68"/>
        <v>0</v>
      </c>
      <c r="AC135" s="18">
        <f t="shared" si="68"/>
        <v>0</v>
      </c>
      <c r="AD135" s="18">
        <f t="shared" si="68"/>
        <v>0</v>
      </c>
      <c r="AE135" s="18">
        <f t="shared" si="68"/>
        <v>0</v>
      </c>
    </row>
    <row r="136" spans="2:31" x14ac:dyDescent="0.2">
      <c r="B136" s="10"/>
      <c r="C136" s="5" t="s">
        <v>119</v>
      </c>
      <c r="D136" s="5"/>
      <c r="E136" s="259"/>
      <c r="F136" s="1" t="s">
        <v>55</v>
      </c>
      <c r="G136" s="21">
        <f t="shared" si="66"/>
        <v>0</v>
      </c>
      <c r="I136" s="41">
        <f>SUMIF('Quarterly Plant Model'!$I$2:$V$2,'Plant model'!I$2,'Quarterly Plant Model'!$I136:$V136)</f>
        <v>0</v>
      </c>
      <c r="J136" s="41">
        <f>SUMIF('Quarterly Plant Model'!$I$2:$V$2,'Plant model'!J$2,'Quarterly Plant Model'!$I136:$V136)</f>
        <v>0</v>
      </c>
      <c r="K136" s="41">
        <f>SUMIF('Quarterly Plant Model'!$I$2:$V$2,'Plant model'!K$2,'Quarterly Plant Model'!$I136:$V136)</f>
        <v>0</v>
      </c>
      <c r="L136" s="41">
        <f>SUMIF('Quarterly Plant Model'!$I$2:$V$2,'Plant model'!L$2,'Quarterly Plant Model'!$I136:$V136)</f>
        <v>0</v>
      </c>
      <c r="M136" s="18">
        <f t="shared" ref="M136:AE136" si="69">M124*M68</f>
        <v>0</v>
      </c>
      <c r="N136" s="18">
        <f t="shared" si="69"/>
        <v>0</v>
      </c>
      <c r="O136" s="18">
        <f t="shared" si="69"/>
        <v>0</v>
      </c>
      <c r="P136" s="18">
        <f t="shared" si="69"/>
        <v>0</v>
      </c>
      <c r="Q136" s="18">
        <f t="shared" si="69"/>
        <v>0</v>
      </c>
      <c r="R136" s="18">
        <f t="shared" si="69"/>
        <v>0</v>
      </c>
      <c r="S136" s="18">
        <f t="shared" si="69"/>
        <v>0</v>
      </c>
      <c r="T136" s="18">
        <f t="shared" si="69"/>
        <v>0</v>
      </c>
      <c r="U136" s="18">
        <f t="shared" si="69"/>
        <v>0</v>
      </c>
      <c r="V136" s="18">
        <f t="shared" si="69"/>
        <v>0</v>
      </c>
      <c r="W136" s="18">
        <f t="shared" si="69"/>
        <v>0</v>
      </c>
      <c r="X136" s="18">
        <f t="shared" si="69"/>
        <v>0</v>
      </c>
      <c r="Y136" s="18">
        <f t="shared" si="69"/>
        <v>0</v>
      </c>
      <c r="Z136" s="18">
        <f t="shared" si="69"/>
        <v>0</v>
      </c>
      <c r="AA136" s="18">
        <f t="shared" si="69"/>
        <v>0</v>
      </c>
      <c r="AB136" s="18">
        <f t="shared" si="69"/>
        <v>0</v>
      </c>
      <c r="AC136" s="18">
        <f t="shared" si="69"/>
        <v>0</v>
      </c>
      <c r="AD136" s="18">
        <f t="shared" si="69"/>
        <v>0</v>
      </c>
      <c r="AE136" s="18">
        <f t="shared" si="69"/>
        <v>0</v>
      </c>
    </row>
    <row r="137" spans="2:31" x14ac:dyDescent="0.2">
      <c r="B137" s="10"/>
      <c r="C137" s="20" t="str">
        <f>C104</f>
        <v>Total</v>
      </c>
      <c r="D137" s="5"/>
      <c r="E137" s="259"/>
      <c r="F137" s="9" t="s">
        <v>55</v>
      </c>
      <c r="G137" s="44">
        <f t="shared" si="66"/>
        <v>5808.2909072500015</v>
      </c>
      <c r="I137" s="44">
        <f>SUM(I130:I136)</f>
        <v>0</v>
      </c>
      <c r="J137" s="44">
        <f>SUM(J130:J136)</f>
        <v>0</v>
      </c>
      <c r="K137" s="44">
        <f>SUM(K130:K136)</f>
        <v>91.613421249999988</v>
      </c>
      <c r="L137" s="44">
        <f>SUM(L130:L136)</f>
        <v>146.58147399999999</v>
      </c>
      <c r="M137" s="44">
        <f t="shared" ref="M137:AE137" si="70">SUM(M130:M136)</f>
        <v>293.16294799999997</v>
      </c>
      <c r="N137" s="44">
        <f t="shared" si="70"/>
        <v>293.16294799999997</v>
      </c>
      <c r="O137" s="44">
        <f t="shared" si="70"/>
        <v>293.16294799999997</v>
      </c>
      <c r="P137" s="44">
        <f t="shared" si="70"/>
        <v>293.16294799999997</v>
      </c>
      <c r="Q137" s="44">
        <f t="shared" si="70"/>
        <v>293.16294799999997</v>
      </c>
      <c r="R137" s="44">
        <f t="shared" si="70"/>
        <v>293.16294799999997</v>
      </c>
      <c r="S137" s="44">
        <f t="shared" si="70"/>
        <v>293.16294799999997</v>
      </c>
      <c r="T137" s="44">
        <f t="shared" si="70"/>
        <v>293.16294799999997</v>
      </c>
      <c r="U137" s="44">
        <f t="shared" si="70"/>
        <v>293.16294799999997</v>
      </c>
      <c r="V137" s="44">
        <f t="shared" si="70"/>
        <v>293.16294799999997</v>
      </c>
      <c r="W137" s="44">
        <f t="shared" si="70"/>
        <v>293.16294799999997</v>
      </c>
      <c r="X137" s="44">
        <f t="shared" si="70"/>
        <v>293.16294799999997</v>
      </c>
      <c r="Y137" s="44">
        <f t="shared" si="70"/>
        <v>293.16294799999997</v>
      </c>
      <c r="Z137" s="44">
        <f t="shared" si="70"/>
        <v>293.16294799999997</v>
      </c>
      <c r="AA137" s="44">
        <f t="shared" si="70"/>
        <v>293.16294799999997</v>
      </c>
      <c r="AB137" s="44">
        <f t="shared" si="70"/>
        <v>293.16294799999997</v>
      </c>
      <c r="AC137" s="44">
        <f t="shared" si="70"/>
        <v>293.16294799999997</v>
      </c>
      <c r="AD137" s="44">
        <f t="shared" si="70"/>
        <v>293.16294799999997</v>
      </c>
      <c r="AE137" s="44">
        <f t="shared" si="70"/>
        <v>293.16294799999997</v>
      </c>
    </row>
    <row r="138" spans="2:31" x14ac:dyDescent="0.2">
      <c r="B138" s="10"/>
      <c r="C138" s="20"/>
      <c r="D138" s="5"/>
      <c r="E138" s="259"/>
      <c r="F138" s="9"/>
      <c r="G138" s="44"/>
      <c r="L138" s="44"/>
      <c r="M138" s="44"/>
      <c r="N138" s="44"/>
      <c r="O138" s="44"/>
      <c r="P138" s="44"/>
      <c r="Q138" s="44"/>
      <c r="R138" s="44"/>
      <c r="S138" s="44"/>
      <c r="T138" s="44"/>
      <c r="U138" s="44"/>
      <c r="V138" s="44"/>
      <c r="W138" s="44"/>
      <c r="X138" s="44"/>
      <c r="Y138" s="44"/>
      <c r="Z138" s="44"/>
      <c r="AA138" s="44"/>
      <c r="AB138" s="44"/>
      <c r="AC138" s="44"/>
      <c r="AD138" s="44"/>
      <c r="AE138" s="44"/>
    </row>
    <row r="139" spans="2:31" x14ac:dyDescent="0.2">
      <c r="B139" s="10"/>
      <c r="C139" s="5" t="s">
        <v>448</v>
      </c>
      <c r="D139" s="5"/>
      <c r="E139" s="259"/>
      <c r="F139" s="1" t="s">
        <v>3</v>
      </c>
      <c r="G139" s="21">
        <f>SUM(G134:G135)/G104</f>
        <v>0</v>
      </c>
      <c r="I139" s="21">
        <f>IFERROR(SUM(I130:I135)/I104,0)</f>
        <v>0</v>
      </c>
      <c r="J139" s="21">
        <f t="shared" ref="J139:AE139" si="71">IFERROR(SUM(J130:J135)/J104,0)</f>
        <v>0</v>
      </c>
      <c r="K139" s="21">
        <f t="shared" si="71"/>
        <v>676</v>
      </c>
      <c r="L139" s="21">
        <f t="shared" si="71"/>
        <v>676</v>
      </c>
      <c r="M139" s="21">
        <f t="shared" si="71"/>
        <v>676</v>
      </c>
      <c r="N139" s="21">
        <f t="shared" si="71"/>
        <v>676</v>
      </c>
      <c r="O139" s="21">
        <f t="shared" si="71"/>
        <v>676</v>
      </c>
      <c r="P139" s="21">
        <f t="shared" si="71"/>
        <v>676</v>
      </c>
      <c r="Q139" s="21">
        <f t="shared" si="71"/>
        <v>676</v>
      </c>
      <c r="R139" s="21">
        <f t="shared" si="71"/>
        <v>676</v>
      </c>
      <c r="S139" s="21">
        <f t="shared" si="71"/>
        <v>676</v>
      </c>
      <c r="T139" s="21">
        <f t="shared" si="71"/>
        <v>676</v>
      </c>
      <c r="U139" s="21">
        <f t="shared" si="71"/>
        <v>676</v>
      </c>
      <c r="V139" s="21">
        <f t="shared" si="71"/>
        <v>676</v>
      </c>
      <c r="W139" s="21">
        <f t="shared" si="71"/>
        <v>676</v>
      </c>
      <c r="X139" s="21">
        <f t="shared" si="71"/>
        <v>676</v>
      </c>
      <c r="Y139" s="21">
        <f t="shared" si="71"/>
        <v>676</v>
      </c>
      <c r="Z139" s="21">
        <f t="shared" si="71"/>
        <v>676</v>
      </c>
      <c r="AA139" s="21">
        <f t="shared" si="71"/>
        <v>676</v>
      </c>
      <c r="AB139" s="21">
        <f t="shared" si="71"/>
        <v>676</v>
      </c>
      <c r="AC139" s="21">
        <f t="shared" si="71"/>
        <v>676</v>
      </c>
      <c r="AD139" s="21">
        <f t="shared" si="71"/>
        <v>676</v>
      </c>
      <c r="AE139" s="21">
        <f t="shared" si="71"/>
        <v>676</v>
      </c>
    </row>
    <row r="140" spans="2:31" x14ac:dyDescent="0.2">
      <c r="C140" s="20"/>
      <c r="D140" s="20"/>
    </row>
    <row r="141" spans="2:31" x14ac:dyDescent="0.2">
      <c r="C141" s="22"/>
      <c r="D141" s="22"/>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2:31" x14ac:dyDescent="0.2">
      <c r="C142" s="20"/>
      <c r="D142" s="20"/>
    </row>
    <row r="143" spans="2:31" x14ac:dyDescent="0.2">
      <c r="B143" s="10">
        <f>B93+0.1</f>
        <v>2.2000000000000002</v>
      </c>
      <c r="C143" s="20" t="s">
        <v>18</v>
      </c>
      <c r="D143" s="20"/>
      <c r="L143" s="33"/>
    </row>
    <row r="144" spans="2:31" x14ac:dyDescent="0.2">
      <c r="C144" s="5"/>
      <c r="D144" s="234"/>
      <c r="E144" s="62" t="s">
        <v>519</v>
      </c>
    </row>
    <row r="145" spans="1:32" x14ac:dyDescent="0.2">
      <c r="C145" s="5" t="s">
        <v>580</v>
      </c>
      <c r="D145" s="120">
        <f>E145*425000</f>
        <v>670756.82599562337</v>
      </c>
      <c r="E145" s="97">
        <f>684445/433673</f>
        <v>1.5782513552838198</v>
      </c>
      <c r="F145" s="1" t="s">
        <v>335</v>
      </c>
      <c r="H145" s="33"/>
      <c r="I145" s="45">
        <f t="shared" ref="I145:K147" si="72">I$104*$E145</f>
        <v>0</v>
      </c>
      <c r="J145" s="45">
        <f t="shared" si="72"/>
        <v>0</v>
      </c>
      <c r="K145" s="45">
        <f t="shared" si="72"/>
        <v>0.21388906249999995</v>
      </c>
      <c r="L145" s="45">
        <f>L$104*$E145</f>
        <v>0.34222249999999999</v>
      </c>
      <c r="M145" s="45">
        <f t="shared" ref="M145:AB147" si="73">M$104*$E145</f>
        <v>0.68444499999999997</v>
      </c>
      <c r="N145" s="45">
        <f t="shared" si="73"/>
        <v>0.68444499999999997</v>
      </c>
      <c r="O145" s="45">
        <f t="shared" si="73"/>
        <v>0.68444499999999997</v>
      </c>
      <c r="P145" s="45">
        <f t="shared" si="73"/>
        <v>0.68444499999999997</v>
      </c>
      <c r="Q145" s="45">
        <f t="shared" si="73"/>
        <v>0.68444499999999997</v>
      </c>
      <c r="R145" s="45">
        <f t="shared" si="73"/>
        <v>0.68444499999999997</v>
      </c>
      <c r="S145" s="45">
        <f t="shared" si="73"/>
        <v>0.68444499999999997</v>
      </c>
      <c r="T145" s="45">
        <f t="shared" si="73"/>
        <v>0.68444499999999997</v>
      </c>
      <c r="U145" s="45">
        <f t="shared" si="73"/>
        <v>0.68444499999999997</v>
      </c>
      <c r="V145" s="45">
        <f t="shared" si="73"/>
        <v>0.68444499999999997</v>
      </c>
      <c r="W145" s="45">
        <f t="shared" si="73"/>
        <v>0.68444499999999997</v>
      </c>
      <c r="X145" s="45">
        <f t="shared" si="73"/>
        <v>0.68444499999999997</v>
      </c>
      <c r="Y145" s="45">
        <f t="shared" si="73"/>
        <v>0.68444499999999997</v>
      </c>
      <c r="Z145" s="45">
        <f t="shared" si="73"/>
        <v>0.68444499999999997</v>
      </c>
      <c r="AA145" s="45">
        <f t="shared" si="73"/>
        <v>0.68444499999999997</v>
      </c>
      <c r="AB145" s="45">
        <f t="shared" si="73"/>
        <v>0.68444499999999997</v>
      </c>
      <c r="AC145" s="45">
        <f t="shared" ref="AC145:AE147" si="74">AC$104*$E145</f>
        <v>0.68444499999999997</v>
      </c>
      <c r="AD145" s="45">
        <f t="shared" si="74"/>
        <v>0.68444499999999997</v>
      </c>
      <c r="AE145" s="45">
        <f t="shared" si="74"/>
        <v>0.68444499999999997</v>
      </c>
    </row>
    <row r="146" spans="1:32" x14ac:dyDescent="0.2">
      <c r="C146" s="5" t="s">
        <v>379</v>
      </c>
      <c r="D146" s="120">
        <f>E146*425000</f>
        <v>28305.000000000004</v>
      </c>
      <c r="E146" s="97">
        <v>6.6600000000000006E-2</v>
      </c>
      <c r="F146" s="1" t="s">
        <v>335</v>
      </c>
      <c r="I146" s="45">
        <f t="shared" si="72"/>
        <v>0</v>
      </c>
      <c r="J146" s="45">
        <f t="shared" si="72"/>
        <v>0</v>
      </c>
      <c r="K146" s="45">
        <f t="shared" si="72"/>
        <v>9.025819312499999E-3</v>
      </c>
      <c r="L146" s="45">
        <f>L$104*$E146</f>
        <v>1.44413109E-2</v>
      </c>
      <c r="M146" s="45">
        <f t="shared" si="73"/>
        <v>2.8882621800000001E-2</v>
      </c>
      <c r="N146" s="45">
        <f t="shared" si="73"/>
        <v>2.8882621800000001E-2</v>
      </c>
      <c r="O146" s="45">
        <f t="shared" si="73"/>
        <v>2.8882621800000001E-2</v>
      </c>
      <c r="P146" s="45">
        <f t="shared" si="73"/>
        <v>2.8882621800000001E-2</v>
      </c>
      <c r="Q146" s="45">
        <f t="shared" si="73"/>
        <v>2.8882621800000001E-2</v>
      </c>
      <c r="R146" s="45">
        <f t="shared" si="73"/>
        <v>2.8882621800000001E-2</v>
      </c>
      <c r="S146" s="45">
        <f t="shared" si="73"/>
        <v>2.8882621800000001E-2</v>
      </c>
      <c r="T146" s="45">
        <f t="shared" si="73"/>
        <v>2.8882621800000001E-2</v>
      </c>
      <c r="U146" s="45">
        <f t="shared" si="73"/>
        <v>2.8882621800000001E-2</v>
      </c>
      <c r="V146" s="45">
        <f t="shared" si="73"/>
        <v>2.8882621800000001E-2</v>
      </c>
      <c r="W146" s="45">
        <f t="shared" si="73"/>
        <v>2.8882621800000001E-2</v>
      </c>
      <c r="X146" s="45">
        <f t="shared" si="73"/>
        <v>2.8882621800000001E-2</v>
      </c>
      <c r="Y146" s="45">
        <f t="shared" si="73"/>
        <v>2.8882621800000001E-2</v>
      </c>
      <c r="Z146" s="45">
        <f t="shared" si="73"/>
        <v>2.8882621800000001E-2</v>
      </c>
      <c r="AA146" s="45">
        <f t="shared" si="73"/>
        <v>2.8882621800000001E-2</v>
      </c>
      <c r="AB146" s="45">
        <f t="shared" si="73"/>
        <v>2.8882621800000001E-2</v>
      </c>
      <c r="AC146" s="45">
        <f t="shared" si="74"/>
        <v>2.8882621800000001E-2</v>
      </c>
      <c r="AD146" s="45">
        <f t="shared" si="74"/>
        <v>2.8882621800000001E-2</v>
      </c>
      <c r="AE146" s="45">
        <f t="shared" si="74"/>
        <v>2.8882621800000001E-2</v>
      </c>
    </row>
    <row r="147" spans="1:32" x14ac:dyDescent="0.2">
      <c r="C147" s="5" t="s">
        <v>575</v>
      </c>
      <c r="D147" s="120"/>
      <c r="E147" s="97">
        <v>5.8783093246970203E-2</v>
      </c>
      <c r="F147" s="1" t="s">
        <v>335</v>
      </c>
      <c r="I147" s="45">
        <f t="shared" si="72"/>
        <v>0</v>
      </c>
      <c r="J147" s="45">
        <f t="shared" si="72"/>
        <v>0</v>
      </c>
      <c r="K147" s="45">
        <f t="shared" si="72"/>
        <v>7.9664501242791581E-3</v>
      </c>
      <c r="L147" s="45">
        <f>L$104*$E147</f>
        <v>1.2746320198846653E-2</v>
      </c>
      <c r="M147" s="45">
        <f t="shared" si="73"/>
        <v>2.5492640397693306E-2</v>
      </c>
      <c r="N147" s="45">
        <f t="shared" si="73"/>
        <v>2.5492640397693306E-2</v>
      </c>
      <c r="O147" s="45">
        <f t="shared" si="73"/>
        <v>2.5492640397693306E-2</v>
      </c>
      <c r="P147" s="45">
        <f t="shared" si="73"/>
        <v>2.5492640397693306E-2</v>
      </c>
      <c r="Q147" s="45">
        <f t="shared" si="73"/>
        <v>2.5492640397693306E-2</v>
      </c>
      <c r="R147" s="45">
        <f t="shared" si="73"/>
        <v>2.5492640397693306E-2</v>
      </c>
      <c r="S147" s="45">
        <f t="shared" si="73"/>
        <v>2.5492640397693306E-2</v>
      </c>
      <c r="T147" s="45">
        <f t="shared" si="73"/>
        <v>2.5492640397693306E-2</v>
      </c>
      <c r="U147" s="45">
        <f t="shared" si="73"/>
        <v>2.5492640397693306E-2</v>
      </c>
      <c r="V147" s="45">
        <f t="shared" si="73"/>
        <v>2.5492640397693306E-2</v>
      </c>
      <c r="W147" s="45">
        <f t="shared" si="73"/>
        <v>2.5492640397693306E-2</v>
      </c>
      <c r="X147" s="45">
        <f t="shared" si="73"/>
        <v>2.5492640397693306E-2</v>
      </c>
      <c r="Y147" s="45">
        <f t="shared" si="73"/>
        <v>2.5492640397693306E-2</v>
      </c>
      <c r="Z147" s="45">
        <f t="shared" si="73"/>
        <v>2.5492640397693306E-2</v>
      </c>
      <c r="AA147" s="45">
        <f t="shared" si="73"/>
        <v>2.5492640397693306E-2</v>
      </c>
      <c r="AB147" s="45">
        <f t="shared" si="73"/>
        <v>2.5492640397693306E-2</v>
      </c>
      <c r="AC147" s="45">
        <f t="shared" si="74"/>
        <v>2.5492640397693306E-2</v>
      </c>
      <c r="AD147" s="45">
        <f t="shared" si="74"/>
        <v>2.5492640397693306E-2</v>
      </c>
      <c r="AE147" s="45">
        <f t="shared" si="74"/>
        <v>2.5492640397693306E-2</v>
      </c>
    </row>
    <row r="148" spans="1:32" x14ac:dyDescent="0.2">
      <c r="A148" s="27"/>
      <c r="C148" s="28"/>
      <c r="D148" s="28"/>
      <c r="E148" s="25"/>
      <c r="G148" s="25"/>
      <c r="H148" s="255"/>
      <c r="U148" s="29"/>
    </row>
    <row r="149" spans="1:32" x14ac:dyDescent="0.2">
      <c r="C149" s="22"/>
      <c r="D149" s="22"/>
      <c r="E149" s="23"/>
      <c r="F149" s="23"/>
      <c r="G149" s="23"/>
      <c r="H149" s="23"/>
      <c r="I149" s="23"/>
      <c r="J149" s="23"/>
      <c r="K149" s="23"/>
      <c r="L149" s="332"/>
      <c r="M149" s="23"/>
      <c r="N149" s="23"/>
      <c r="O149" s="23"/>
      <c r="P149" s="23"/>
      <c r="Q149" s="23"/>
      <c r="R149" s="23"/>
      <c r="S149" s="23"/>
      <c r="T149" s="23"/>
      <c r="U149" s="23"/>
      <c r="V149" s="23"/>
      <c r="W149" s="23"/>
      <c r="X149" s="23"/>
      <c r="Y149" s="23"/>
      <c r="Z149" s="23"/>
      <c r="AA149" s="23"/>
      <c r="AB149" s="23"/>
      <c r="AC149" s="23"/>
      <c r="AD149" s="23"/>
      <c r="AE149" s="23"/>
    </row>
    <row r="150" spans="1:32" x14ac:dyDescent="0.2">
      <c r="A150" s="27"/>
      <c r="C150" s="28"/>
      <c r="D150" s="28"/>
      <c r="E150" s="25"/>
      <c r="G150" s="25"/>
      <c r="H150" s="26"/>
      <c r="U150" s="29"/>
    </row>
    <row r="151" spans="1:32" x14ac:dyDescent="0.2">
      <c r="A151" s="27"/>
      <c r="B151" s="10">
        <f>B143+0.1</f>
        <v>2.3000000000000003</v>
      </c>
      <c r="C151" s="31" t="s">
        <v>20</v>
      </c>
      <c r="D151" s="31"/>
      <c r="E151" s="25"/>
      <c r="G151" s="25"/>
      <c r="H151" s="26"/>
      <c r="L151" s="333"/>
      <c r="U151" s="29"/>
    </row>
    <row r="152" spans="1:32" x14ac:dyDescent="0.2">
      <c r="A152" s="27"/>
      <c r="C152" s="28"/>
      <c r="D152" s="28"/>
      <c r="E152" s="25"/>
      <c r="G152" s="25"/>
      <c r="H152" s="26"/>
      <c r="I152" s="33"/>
      <c r="U152" s="29"/>
      <c r="AF152" s="1"/>
    </row>
    <row r="153" spans="1:32" x14ac:dyDescent="0.2">
      <c r="A153" s="27"/>
      <c r="C153" s="31" t="s">
        <v>392</v>
      </c>
      <c r="D153" s="28"/>
      <c r="E153" s="25"/>
      <c r="G153" s="25"/>
      <c r="H153" s="26"/>
      <c r="U153" s="29"/>
      <c r="AF153" s="1"/>
    </row>
    <row r="154" spans="1:32" x14ac:dyDescent="0.2">
      <c r="A154" s="27"/>
      <c r="C154" s="31"/>
      <c r="D154" s="28"/>
      <c r="E154" s="25"/>
      <c r="G154" s="25"/>
      <c r="H154" s="26"/>
      <c r="U154" s="29"/>
      <c r="AF154" s="1"/>
    </row>
    <row r="155" spans="1:32" x14ac:dyDescent="0.2">
      <c r="A155" s="27"/>
      <c r="C155" s="28" t="s">
        <v>21</v>
      </c>
      <c r="D155" s="28"/>
      <c r="E155" s="95">
        <v>4.011485421176471</v>
      </c>
      <c r="F155" s="1" t="s">
        <v>394</v>
      </c>
      <c r="G155" s="25"/>
      <c r="H155" s="26"/>
      <c r="I155" s="26">
        <f>$E155</f>
        <v>4.011485421176471</v>
      </c>
      <c r="J155" s="26">
        <f>$E155</f>
        <v>4.011485421176471</v>
      </c>
      <c r="K155" s="26">
        <f>$E155</f>
        <v>4.011485421176471</v>
      </c>
      <c r="L155" s="26">
        <f>$E155</f>
        <v>4.011485421176471</v>
      </c>
      <c r="M155" s="26">
        <f t="shared" ref="M155:AB156" si="75">$E155</f>
        <v>4.011485421176471</v>
      </c>
      <c r="N155" s="26">
        <f t="shared" si="75"/>
        <v>4.011485421176471</v>
      </c>
      <c r="O155" s="26">
        <f t="shared" si="75"/>
        <v>4.011485421176471</v>
      </c>
      <c r="P155" s="26">
        <f t="shared" si="75"/>
        <v>4.011485421176471</v>
      </c>
      <c r="Q155" s="26">
        <f t="shared" si="75"/>
        <v>4.011485421176471</v>
      </c>
      <c r="R155" s="26">
        <f t="shared" si="75"/>
        <v>4.011485421176471</v>
      </c>
      <c r="S155" s="26">
        <f t="shared" si="75"/>
        <v>4.011485421176471</v>
      </c>
      <c r="T155" s="26">
        <f t="shared" si="75"/>
        <v>4.011485421176471</v>
      </c>
      <c r="U155" s="26">
        <f t="shared" si="75"/>
        <v>4.011485421176471</v>
      </c>
      <c r="V155" s="26">
        <f t="shared" si="75"/>
        <v>4.011485421176471</v>
      </c>
      <c r="W155" s="26">
        <f t="shared" si="75"/>
        <v>4.011485421176471</v>
      </c>
      <c r="X155" s="26">
        <f t="shared" si="75"/>
        <v>4.011485421176471</v>
      </c>
      <c r="Y155" s="26">
        <f t="shared" si="75"/>
        <v>4.011485421176471</v>
      </c>
      <c r="Z155" s="26">
        <f t="shared" si="75"/>
        <v>4.011485421176471</v>
      </c>
      <c r="AA155" s="26">
        <f t="shared" si="75"/>
        <v>4.011485421176471</v>
      </c>
      <c r="AB155" s="26">
        <f t="shared" si="75"/>
        <v>4.011485421176471</v>
      </c>
      <c r="AC155" s="26">
        <f t="shared" ref="AC155:AE156" si="76">$E155</f>
        <v>4.011485421176471</v>
      </c>
      <c r="AD155" s="26">
        <f t="shared" si="76"/>
        <v>4.011485421176471</v>
      </c>
      <c r="AE155" s="26">
        <f t="shared" si="76"/>
        <v>4.011485421176471</v>
      </c>
      <c r="AF155" s="1"/>
    </row>
    <row r="156" spans="1:32" x14ac:dyDescent="0.2">
      <c r="A156" s="27"/>
      <c r="C156" s="28" t="s">
        <v>395</v>
      </c>
      <c r="D156" s="28"/>
      <c r="E156" s="95">
        <v>0.118829</v>
      </c>
      <c r="F156" s="1" t="s">
        <v>55</v>
      </c>
      <c r="G156" s="25"/>
      <c r="H156" s="26"/>
      <c r="I156" s="26">
        <f t="shared" ref="I156:L156" si="77">$E156</f>
        <v>0.118829</v>
      </c>
      <c r="J156" s="26">
        <f t="shared" si="77"/>
        <v>0.118829</v>
      </c>
      <c r="K156" s="26">
        <f t="shared" si="77"/>
        <v>0.118829</v>
      </c>
      <c r="L156" s="26">
        <f t="shared" si="77"/>
        <v>0.118829</v>
      </c>
      <c r="M156" s="26">
        <f>$E156</f>
        <v>0.118829</v>
      </c>
      <c r="N156" s="26">
        <f t="shared" si="75"/>
        <v>0.118829</v>
      </c>
      <c r="O156" s="26">
        <f t="shared" si="75"/>
        <v>0.118829</v>
      </c>
      <c r="P156" s="26">
        <f t="shared" si="75"/>
        <v>0.118829</v>
      </c>
      <c r="Q156" s="26">
        <f t="shared" si="75"/>
        <v>0.118829</v>
      </c>
      <c r="R156" s="26">
        <f t="shared" si="75"/>
        <v>0.118829</v>
      </c>
      <c r="S156" s="26">
        <f t="shared" si="75"/>
        <v>0.118829</v>
      </c>
      <c r="T156" s="26">
        <f t="shared" si="75"/>
        <v>0.118829</v>
      </c>
      <c r="U156" s="26">
        <f t="shared" si="75"/>
        <v>0.118829</v>
      </c>
      <c r="V156" s="26">
        <f t="shared" si="75"/>
        <v>0.118829</v>
      </c>
      <c r="W156" s="26">
        <f t="shared" si="75"/>
        <v>0.118829</v>
      </c>
      <c r="X156" s="26">
        <f t="shared" si="75"/>
        <v>0.118829</v>
      </c>
      <c r="Y156" s="26">
        <f t="shared" si="75"/>
        <v>0.118829</v>
      </c>
      <c r="Z156" s="26">
        <f t="shared" si="75"/>
        <v>0.118829</v>
      </c>
      <c r="AA156" s="26">
        <f t="shared" si="75"/>
        <v>0.118829</v>
      </c>
      <c r="AB156" s="26">
        <f t="shared" si="75"/>
        <v>0.118829</v>
      </c>
      <c r="AC156" s="26">
        <f t="shared" si="76"/>
        <v>0.118829</v>
      </c>
      <c r="AD156" s="26">
        <f t="shared" si="76"/>
        <v>0.118829</v>
      </c>
      <c r="AE156" s="26">
        <f t="shared" si="76"/>
        <v>0.118829</v>
      </c>
      <c r="AF156" s="1"/>
    </row>
    <row r="157" spans="1:32" x14ac:dyDescent="0.2">
      <c r="A157" s="27"/>
      <c r="C157" s="28"/>
      <c r="D157" s="28"/>
      <c r="E157" s="25"/>
      <c r="G157" s="25"/>
      <c r="H157" s="26"/>
      <c r="U157" s="29"/>
      <c r="AF157" s="1"/>
    </row>
    <row r="158" spans="1:32" x14ac:dyDescent="0.2">
      <c r="A158" s="27"/>
      <c r="C158" s="31" t="s">
        <v>528</v>
      </c>
      <c r="D158" s="28"/>
      <c r="E158" s="25"/>
      <c r="G158" s="25"/>
      <c r="H158" s="26"/>
      <c r="U158" s="29"/>
      <c r="AF158" s="1"/>
    </row>
    <row r="159" spans="1:32" x14ac:dyDescent="0.2">
      <c r="A159" s="27"/>
      <c r="C159" s="28"/>
      <c r="D159" s="28"/>
      <c r="E159" s="25"/>
      <c r="G159" s="25"/>
      <c r="H159" s="26"/>
      <c r="U159" s="29"/>
      <c r="AF159" s="1"/>
    </row>
    <row r="160" spans="1:32" x14ac:dyDescent="0.2">
      <c r="C160" s="28" t="s">
        <v>23</v>
      </c>
      <c r="E160" s="95">
        <v>11.329231745442984</v>
      </c>
      <c r="F160" s="1" t="s">
        <v>393</v>
      </c>
      <c r="I160" s="26">
        <f t="shared" ref="I160:AE163" si="78">$E160</f>
        <v>11.329231745442984</v>
      </c>
      <c r="J160" s="26">
        <f t="shared" si="78"/>
        <v>11.329231745442984</v>
      </c>
      <c r="K160" s="26">
        <f t="shared" si="78"/>
        <v>11.329231745442984</v>
      </c>
      <c r="L160" s="26">
        <f t="shared" si="78"/>
        <v>11.329231745442984</v>
      </c>
      <c r="M160" s="26">
        <f t="shared" si="78"/>
        <v>11.329231745442984</v>
      </c>
      <c r="N160" s="26">
        <f t="shared" si="78"/>
        <v>11.329231745442984</v>
      </c>
      <c r="O160" s="26">
        <f t="shared" si="78"/>
        <v>11.329231745442984</v>
      </c>
      <c r="P160" s="26">
        <f t="shared" si="78"/>
        <v>11.329231745442984</v>
      </c>
      <c r="Q160" s="26">
        <f t="shared" si="78"/>
        <v>11.329231745442984</v>
      </c>
      <c r="R160" s="26">
        <f t="shared" si="78"/>
        <v>11.329231745442984</v>
      </c>
      <c r="S160" s="26">
        <f t="shared" si="78"/>
        <v>11.329231745442984</v>
      </c>
      <c r="T160" s="26">
        <f t="shared" si="78"/>
        <v>11.329231745442984</v>
      </c>
      <c r="U160" s="26">
        <f t="shared" si="78"/>
        <v>11.329231745442984</v>
      </c>
      <c r="V160" s="26">
        <f t="shared" si="78"/>
        <v>11.329231745442984</v>
      </c>
      <c r="W160" s="26">
        <f t="shared" si="78"/>
        <v>11.329231745442984</v>
      </c>
      <c r="X160" s="26">
        <f t="shared" si="78"/>
        <v>11.329231745442984</v>
      </c>
      <c r="Y160" s="26">
        <f t="shared" si="78"/>
        <v>11.329231745442984</v>
      </c>
      <c r="Z160" s="26">
        <f t="shared" si="78"/>
        <v>11.329231745442984</v>
      </c>
      <c r="AA160" s="26">
        <f t="shared" si="78"/>
        <v>11.329231745442984</v>
      </c>
      <c r="AB160" s="26">
        <f t="shared" si="78"/>
        <v>11.329231745442984</v>
      </c>
      <c r="AC160" s="26">
        <f t="shared" si="78"/>
        <v>11.329231745442984</v>
      </c>
      <c r="AD160" s="26">
        <f t="shared" si="78"/>
        <v>11.329231745442984</v>
      </c>
      <c r="AE160" s="26">
        <f t="shared" si="78"/>
        <v>11.329231745442984</v>
      </c>
      <c r="AF160" s="1"/>
    </row>
    <row r="161" spans="1:32" x14ac:dyDescent="0.2">
      <c r="C161" s="28" t="s">
        <v>21</v>
      </c>
      <c r="E161" s="95">
        <v>90.031800808785363</v>
      </c>
      <c r="F161" s="1" t="s">
        <v>394</v>
      </c>
      <c r="I161" s="26">
        <f t="shared" si="78"/>
        <v>90.031800808785363</v>
      </c>
      <c r="J161" s="26">
        <f t="shared" si="78"/>
        <v>90.031800808785363</v>
      </c>
      <c r="K161" s="26">
        <f t="shared" si="78"/>
        <v>90.031800808785363</v>
      </c>
      <c r="L161" s="26">
        <f t="shared" si="78"/>
        <v>90.031800808785363</v>
      </c>
      <c r="M161" s="26">
        <f t="shared" si="78"/>
        <v>90.031800808785363</v>
      </c>
      <c r="N161" s="26">
        <f t="shared" si="78"/>
        <v>90.031800808785363</v>
      </c>
      <c r="O161" s="26">
        <f t="shared" si="78"/>
        <v>90.031800808785363</v>
      </c>
      <c r="P161" s="26">
        <f t="shared" si="78"/>
        <v>90.031800808785363</v>
      </c>
      <c r="Q161" s="26">
        <f t="shared" si="78"/>
        <v>90.031800808785363</v>
      </c>
      <c r="R161" s="26">
        <f t="shared" si="78"/>
        <v>90.031800808785363</v>
      </c>
      <c r="S161" s="26">
        <f t="shared" si="78"/>
        <v>90.031800808785363</v>
      </c>
      <c r="T161" s="26">
        <f t="shared" si="78"/>
        <v>90.031800808785363</v>
      </c>
      <c r="U161" s="26">
        <f t="shared" si="78"/>
        <v>90.031800808785363</v>
      </c>
      <c r="V161" s="26">
        <f t="shared" si="78"/>
        <v>90.031800808785363</v>
      </c>
      <c r="W161" s="26">
        <f t="shared" si="78"/>
        <v>90.031800808785363</v>
      </c>
      <c r="X161" s="26">
        <f t="shared" si="78"/>
        <v>90.031800808785363</v>
      </c>
      <c r="Y161" s="26">
        <f t="shared" si="78"/>
        <v>90.031800808785363</v>
      </c>
      <c r="Z161" s="26">
        <f t="shared" si="78"/>
        <v>90.031800808785363</v>
      </c>
      <c r="AA161" s="26">
        <f t="shared" si="78"/>
        <v>90.031800808785363</v>
      </c>
      <c r="AB161" s="26">
        <f t="shared" si="78"/>
        <v>90.031800808785363</v>
      </c>
      <c r="AC161" s="26">
        <f t="shared" si="78"/>
        <v>90.031800808785363</v>
      </c>
      <c r="AD161" s="26">
        <f t="shared" si="78"/>
        <v>90.031800808785363</v>
      </c>
      <c r="AE161" s="26">
        <f t="shared" si="78"/>
        <v>90.031800808785363</v>
      </c>
      <c r="AF161" s="1"/>
    </row>
    <row r="162" spans="1:32" x14ac:dyDescent="0.2">
      <c r="C162" s="28" t="s">
        <v>397</v>
      </c>
      <c r="E162" s="95">
        <v>1.3443879999999999</v>
      </c>
      <c r="F162" s="1" t="s">
        <v>55</v>
      </c>
      <c r="I162" s="26">
        <f t="shared" si="78"/>
        <v>1.3443879999999999</v>
      </c>
      <c r="J162" s="26">
        <f t="shared" si="78"/>
        <v>1.3443879999999999</v>
      </c>
      <c r="K162" s="26">
        <f t="shared" si="78"/>
        <v>1.3443879999999999</v>
      </c>
      <c r="L162" s="26">
        <f t="shared" si="78"/>
        <v>1.3443879999999999</v>
      </c>
      <c r="M162" s="26">
        <f t="shared" si="78"/>
        <v>1.3443879999999999</v>
      </c>
      <c r="N162" s="26">
        <f t="shared" si="78"/>
        <v>1.3443879999999999</v>
      </c>
      <c r="O162" s="26">
        <f t="shared" si="78"/>
        <v>1.3443879999999999</v>
      </c>
      <c r="P162" s="26">
        <f t="shared" si="78"/>
        <v>1.3443879999999999</v>
      </c>
      <c r="Q162" s="26">
        <f t="shared" si="78"/>
        <v>1.3443879999999999</v>
      </c>
      <c r="R162" s="26">
        <f t="shared" si="78"/>
        <v>1.3443879999999999</v>
      </c>
      <c r="S162" s="26">
        <f t="shared" si="78"/>
        <v>1.3443879999999999</v>
      </c>
      <c r="T162" s="26">
        <f t="shared" si="78"/>
        <v>1.3443879999999999</v>
      </c>
      <c r="U162" s="26">
        <f t="shared" si="78"/>
        <v>1.3443879999999999</v>
      </c>
      <c r="V162" s="26">
        <f t="shared" si="78"/>
        <v>1.3443879999999999</v>
      </c>
      <c r="W162" s="26">
        <f t="shared" si="78"/>
        <v>1.3443879999999999</v>
      </c>
      <c r="X162" s="26">
        <f t="shared" si="78"/>
        <v>1.3443879999999999</v>
      </c>
      <c r="Y162" s="26">
        <f t="shared" si="78"/>
        <v>1.3443879999999999</v>
      </c>
      <c r="Z162" s="26">
        <f t="shared" si="78"/>
        <v>1.3443879999999999</v>
      </c>
      <c r="AA162" s="26">
        <f t="shared" si="78"/>
        <v>1.3443879999999999</v>
      </c>
      <c r="AB162" s="26">
        <f t="shared" si="78"/>
        <v>1.3443879999999999</v>
      </c>
      <c r="AC162" s="26">
        <f t="shared" si="78"/>
        <v>1.3443879999999999</v>
      </c>
      <c r="AD162" s="26">
        <f t="shared" si="78"/>
        <v>1.3443879999999999</v>
      </c>
      <c r="AE162" s="26">
        <f t="shared" si="78"/>
        <v>1.3443879999999999</v>
      </c>
      <c r="AF162" s="1"/>
    </row>
    <row r="163" spans="1:32" x14ac:dyDescent="0.2">
      <c r="C163" s="28" t="s">
        <v>516</v>
      </c>
      <c r="E163" s="95">
        <v>5.05</v>
      </c>
      <c r="F163" s="1" t="s">
        <v>405</v>
      </c>
      <c r="I163" s="26">
        <f>$E163</f>
        <v>5.05</v>
      </c>
      <c r="J163" s="26">
        <f>$E163</f>
        <v>5.05</v>
      </c>
      <c r="K163" s="26">
        <f>$E163</f>
        <v>5.05</v>
      </c>
      <c r="L163" s="26">
        <f>$E163</f>
        <v>5.05</v>
      </c>
      <c r="M163" s="26">
        <f t="shared" si="78"/>
        <v>5.05</v>
      </c>
      <c r="N163" s="26">
        <f t="shared" si="78"/>
        <v>5.05</v>
      </c>
      <c r="O163" s="26">
        <f t="shared" si="78"/>
        <v>5.05</v>
      </c>
      <c r="P163" s="26">
        <f t="shared" si="78"/>
        <v>5.05</v>
      </c>
      <c r="Q163" s="26">
        <f t="shared" si="78"/>
        <v>5.05</v>
      </c>
      <c r="R163" s="26">
        <f t="shared" si="78"/>
        <v>5.05</v>
      </c>
      <c r="S163" s="26">
        <f t="shared" si="78"/>
        <v>5.05</v>
      </c>
      <c r="T163" s="26">
        <f t="shared" si="78"/>
        <v>5.05</v>
      </c>
      <c r="U163" s="26">
        <f t="shared" si="78"/>
        <v>5.05</v>
      </c>
      <c r="V163" s="26">
        <f t="shared" si="78"/>
        <v>5.05</v>
      </c>
      <c r="W163" s="26">
        <f t="shared" si="78"/>
        <v>5.05</v>
      </c>
      <c r="X163" s="26">
        <f t="shared" si="78"/>
        <v>5.05</v>
      </c>
      <c r="Y163" s="26">
        <f t="shared" si="78"/>
        <v>5.05</v>
      </c>
      <c r="Z163" s="26">
        <f t="shared" si="78"/>
        <v>5.05</v>
      </c>
      <c r="AA163" s="26">
        <f t="shared" si="78"/>
        <v>5.05</v>
      </c>
      <c r="AB163" s="26">
        <f t="shared" si="78"/>
        <v>5.05</v>
      </c>
      <c r="AC163" s="26">
        <f t="shared" si="78"/>
        <v>5.05</v>
      </c>
      <c r="AD163" s="26">
        <f t="shared" si="78"/>
        <v>5.05</v>
      </c>
      <c r="AE163" s="26">
        <f t="shared" si="78"/>
        <v>5.05</v>
      </c>
      <c r="AF163" s="1"/>
    </row>
    <row r="165" spans="1:32" x14ac:dyDescent="0.2">
      <c r="C165" s="9" t="s">
        <v>389</v>
      </c>
      <c r="AF165" s="1"/>
    </row>
    <row r="167" spans="1:32" x14ac:dyDescent="0.2">
      <c r="C167" s="28" t="s">
        <v>399</v>
      </c>
      <c r="E167" s="95">
        <v>2</v>
      </c>
      <c r="F167" s="1" t="s">
        <v>398</v>
      </c>
      <c r="I167" s="26">
        <f t="shared" ref="I167:AE176" si="79">$E167</f>
        <v>2</v>
      </c>
      <c r="J167" s="26">
        <f t="shared" si="79"/>
        <v>2</v>
      </c>
      <c r="K167" s="26">
        <f t="shared" si="79"/>
        <v>2</v>
      </c>
      <c r="L167" s="26">
        <f t="shared" si="79"/>
        <v>2</v>
      </c>
      <c r="M167" s="26">
        <f t="shared" si="79"/>
        <v>2</v>
      </c>
      <c r="N167" s="26">
        <f t="shared" si="79"/>
        <v>2</v>
      </c>
      <c r="O167" s="26">
        <f t="shared" si="79"/>
        <v>2</v>
      </c>
      <c r="P167" s="26">
        <f t="shared" si="79"/>
        <v>2</v>
      </c>
      <c r="Q167" s="26">
        <f t="shared" si="79"/>
        <v>2</v>
      </c>
      <c r="R167" s="26">
        <f t="shared" si="79"/>
        <v>2</v>
      </c>
      <c r="S167" s="26">
        <f t="shared" si="79"/>
        <v>2</v>
      </c>
      <c r="T167" s="26">
        <f t="shared" si="79"/>
        <v>2</v>
      </c>
      <c r="U167" s="26">
        <f t="shared" si="79"/>
        <v>2</v>
      </c>
      <c r="V167" s="26">
        <f t="shared" si="79"/>
        <v>2</v>
      </c>
      <c r="W167" s="26">
        <f t="shared" si="79"/>
        <v>2</v>
      </c>
      <c r="X167" s="26">
        <f t="shared" si="79"/>
        <v>2</v>
      </c>
      <c r="Y167" s="26">
        <f t="shared" si="79"/>
        <v>2</v>
      </c>
      <c r="Z167" s="26">
        <f t="shared" si="79"/>
        <v>2</v>
      </c>
      <c r="AA167" s="26">
        <f t="shared" si="79"/>
        <v>2</v>
      </c>
      <c r="AB167" s="26">
        <f t="shared" si="79"/>
        <v>2</v>
      </c>
      <c r="AC167" s="26">
        <f t="shared" si="79"/>
        <v>2</v>
      </c>
      <c r="AD167" s="26">
        <f t="shared" si="79"/>
        <v>2</v>
      </c>
      <c r="AE167" s="26">
        <f t="shared" si="79"/>
        <v>2</v>
      </c>
      <c r="AF167" s="1"/>
    </row>
    <row r="168" spans="1:32" x14ac:dyDescent="0.2">
      <c r="A168" s="27"/>
      <c r="B168" s="24"/>
      <c r="C168" s="28" t="s">
        <v>691</v>
      </c>
      <c r="D168" s="28"/>
      <c r="E168" s="95">
        <v>0.5</v>
      </c>
      <c r="F168" s="1" t="s">
        <v>519</v>
      </c>
      <c r="G168" s="25"/>
      <c r="H168" s="26"/>
      <c r="I168" s="26">
        <f t="shared" ref="I168:AE168" si="80">$E168</f>
        <v>0.5</v>
      </c>
      <c r="J168" s="26">
        <f t="shared" si="80"/>
        <v>0.5</v>
      </c>
      <c r="K168" s="26">
        <f t="shared" si="80"/>
        <v>0.5</v>
      </c>
      <c r="L168" s="26">
        <f t="shared" si="80"/>
        <v>0.5</v>
      </c>
      <c r="M168" s="26">
        <f t="shared" si="80"/>
        <v>0.5</v>
      </c>
      <c r="N168" s="26">
        <f t="shared" si="80"/>
        <v>0.5</v>
      </c>
      <c r="O168" s="26">
        <f t="shared" si="80"/>
        <v>0.5</v>
      </c>
      <c r="P168" s="26">
        <f t="shared" si="80"/>
        <v>0.5</v>
      </c>
      <c r="Q168" s="26">
        <f t="shared" si="80"/>
        <v>0.5</v>
      </c>
      <c r="R168" s="26">
        <f t="shared" si="80"/>
        <v>0.5</v>
      </c>
      <c r="S168" s="26">
        <f t="shared" si="80"/>
        <v>0.5</v>
      </c>
      <c r="T168" s="26">
        <f t="shared" si="80"/>
        <v>0.5</v>
      </c>
      <c r="U168" s="26">
        <f t="shared" si="80"/>
        <v>0.5</v>
      </c>
      <c r="V168" s="26">
        <f t="shared" si="80"/>
        <v>0.5</v>
      </c>
      <c r="W168" s="26">
        <f t="shared" si="80"/>
        <v>0.5</v>
      </c>
      <c r="X168" s="26">
        <f t="shared" si="80"/>
        <v>0.5</v>
      </c>
      <c r="Y168" s="26">
        <f t="shared" si="80"/>
        <v>0.5</v>
      </c>
      <c r="Z168" s="26">
        <f t="shared" si="80"/>
        <v>0.5</v>
      </c>
      <c r="AA168" s="26">
        <f t="shared" si="80"/>
        <v>0.5</v>
      </c>
      <c r="AB168" s="26">
        <f t="shared" si="80"/>
        <v>0.5</v>
      </c>
      <c r="AC168" s="26">
        <f t="shared" si="80"/>
        <v>0.5</v>
      </c>
      <c r="AD168" s="26">
        <f t="shared" si="80"/>
        <v>0.5</v>
      </c>
      <c r="AE168" s="26">
        <f t="shared" si="80"/>
        <v>0.5</v>
      </c>
      <c r="AF168" s="1"/>
    </row>
    <row r="169" spans="1:32" x14ac:dyDescent="0.2">
      <c r="C169" s="28" t="s">
        <v>686</v>
      </c>
      <c r="E169" s="95">
        <v>2.5</v>
      </c>
      <c r="F169" s="1" t="s">
        <v>398</v>
      </c>
      <c r="I169" s="26">
        <f t="shared" si="79"/>
        <v>2.5</v>
      </c>
      <c r="J169" s="26">
        <f t="shared" si="79"/>
        <v>2.5</v>
      </c>
      <c r="K169" s="26">
        <f t="shared" si="79"/>
        <v>2.5</v>
      </c>
      <c r="L169" s="26">
        <f t="shared" si="79"/>
        <v>2.5</v>
      </c>
      <c r="M169" s="26">
        <f t="shared" si="79"/>
        <v>2.5</v>
      </c>
      <c r="N169" s="26">
        <f t="shared" si="79"/>
        <v>2.5</v>
      </c>
      <c r="O169" s="26">
        <f t="shared" si="79"/>
        <v>2.5</v>
      </c>
      <c r="P169" s="26">
        <f t="shared" si="79"/>
        <v>2.5</v>
      </c>
      <c r="Q169" s="26">
        <f t="shared" si="79"/>
        <v>2.5</v>
      </c>
      <c r="R169" s="26">
        <f t="shared" si="79"/>
        <v>2.5</v>
      </c>
      <c r="S169" s="26">
        <f t="shared" si="79"/>
        <v>2.5</v>
      </c>
      <c r="T169" s="26">
        <f t="shared" si="79"/>
        <v>2.5</v>
      </c>
      <c r="U169" s="26">
        <f t="shared" si="79"/>
        <v>2.5</v>
      </c>
      <c r="V169" s="26">
        <f t="shared" si="79"/>
        <v>2.5</v>
      </c>
      <c r="W169" s="26">
        <f t="shared" si="79"/>
        <v>2.5</v>
      </c>
      <c r="X169" s="26">
        <f t="shared" si="79"/>
        <v>2.5</v>
      </c>
      <c r="Y169" s="26">
        <f t="shared" si="79"/>
        <v>2.5</v>
      </c>
      <c r="Z169" s="26">
        <f t="shared" si="79"/>
        <v>2.5</v>
      </c>
      <c r="AA169" s="26">
        <f t="shared" si="79"/>
        <v>2.5</v>
      </c>
      <c r="AB169" s="26">
        <f t="shared" si="79"/>
        <v>2.5</v>
      </c>
      <c r="AC169" s="26">
        <f t="shared" si="79"/>
        <v>2.5</v>
      </c>
      <c r="AD169" s="26">
        <f t="shared" si="79"/>
        <v>2.5</v>
      </c>
      <c r="AE169" s="26">
        <f t="shared" si="79"/>
        <v>2.5</v>
      </c>
      <c r="AF169" s="1"/>
    </row>
    <row r="170" spans="1:32" x14ac:dyDescent="0.2">
      <c r="C170" s="28" t="s">
        <v>687</v>
      </c>
      <c r="E170" s="95">
        <v>1</v>
      </c>
      <c r="F170" s="1" t="s">
        <v>398</v>
      </c>
      <c r="I170" s="26">
        <f t="shared" si="79"/>
        <v>1</v>
      </c>
      <c r="J170" s="26">
        <f t="shared" si="79"/>
        <v>1</v>
      </c>
      <c r="K170" s="26">
        <f t="shared" si="79"/>
        <v>1</v>
      </c>
      <c r="L170" s="26">
        <f t="shared" si="79"/>
        <v>1</v>
      </c>
      <c r="M170" s="26">
        <f t="shared" si="79"/>
        <v>1</v>
      </c>
      <c r="N170" s="26">
        <f t="shared" si="79"/>
        <v>1</v>
      </c>
      <c r="O170" s="26">
        <f t="shared" si="79"/>
        <v>1</v>
      </c>
      <c r="P170" s="26">
        <f t="shared" si="79"/>
        <v>1</v>
      </c>
      <c r="Q170" s="26">
        <f t="shared" si="79"/>
        <v>1</v>
      </c>
      <c r="R170" s="26">
        <f t="shared" si="79"/>
        <v>1</v>
      </c>
      <c r="S170" s="26">
        <f t="shared" si="79"/>
        <v>1</v>
      </c>
      <c r="T170" s="26">
        <f t="shared" si="79"/>
        <v>1</v>
      </c>
      <c r="U170" s="26">
        <f t="shared" si="79"/>
        <v>1</v>
      </c>
      <c r="V170" s="26">
        <f t="shared" si="79"/>
        <v>1</v>
      </c>
      <c r="W170" s="26">
        <f t="shared" si="79"/>
        <v>1</v>
      </c>
      <c r="X170" s="26">
        <f t="shared" si="79"/>
        <v>1</v>
      </c>
      <c r="Y170" s="26">
        <f t="shared" si="79"/>
        <v>1</v>
      </c>
      <c r="Z170" s="26">
        <f t="shared" si="79"/>
        <v>1</v>
      </c>
      <c r="AA170" s="26">
        <f t="shared" si="79"/>
        <v>1</v>
      </c>
      <c r="AB170" s="26">
        <f t="shared" si="79"/>
        <v>1</v>
      </c>
      <c r="AC170" s="26">
        <f t="shared" si="79"/>
        <v>1</v>
      </c>
      <c r="AD170" s="26">
        <f t="shared" si="79"/>
        <v>1</v>
      </c>
      <c r="AE170" s="26">
        <f t="shared" si="79"/>
        <v>1</v>
      </c>
      <c r="AF170" s="1"/>
    </row>
    <row r="171" spans="1:32" x14ac:dyDescent="0.2">
      <c r="A171" s="27"/>
      <c r="B171" s="24"/>
      <c r="C171" s="28" t="s">
        <v>404</v>
      </c>
      <c r="D171" s="28"/>
      <c r="E171" s="95">
        <f>7369/1000000</f>
        <v>7.3689999999999997E-3</v>
      </c>
      <c r="F171" s="1" t="s">
        <v>55</v>
      </c>
      <c r="G171" s="25"/>
      <c r="H171" s="26"/>
      <c r="I171" s="26">
        <f t="shared" ref="I171:AE171" si="81">$E171</f>
        <v>7.3689999999999997E-3</v>
      </c>
      <c r="J171" s="26">
        <f t="shared" si="81"/>
        <v>7.3689999999999997E-3</v>
      </c>
      <c r="K171" s="26">
        <f t="shared" si="81"/>
        <v>7.3689999999999997E-3</v>
      </c>
      <c r="L171" s="26">
        <f t="shared" si="81"/>
        <v>7.3689999999999997E-3</v>
      </c>
      <c r="M171" s="26">
        <f t="shared" si="81"/>
        <v>7.3689999999999997E-3</v>
      </c>
      <c r="N171" s="26">
        <f t="shared" si="81"/>
        <v>7.3689999999999997E-3</v>
      </c>
      <c r="O171" s="26">
        <f t="shared" si="81"/>
        <v>7.3689999999999997E-3</v>
      </c>
      <c r="P171" s="26">
        <f t="shared" si="81"/>
        <v>7.3689999999999997E-3</v>
      </c>
      <c r="Q171" s="26">
        <f t="shared" si="81"/>
        <v>7.3689999999999997E-3</v>
      </c>
      <c r="R171" s="26">
        <f t="shared" si="81"/>
        <v>7.3689999999999997E-3</v>
      </c>
      <c r="S171" s="26">
        <f t="shared" si="81"/>
        <v>7.3689999999999997E-3</v>
      </c>
      <c r="T171" s="26">
        <f t="shared" si="81"/>
        <v>7.3689999999999997E-3</v>
      </c>
      <c r="U171" s="26">
        <f t="shared" si="81"/>
        <v>7.3689999999999997E-3</v>
      </c>
      <c r="V171" s="26">
        <f t="shared" si="81"/>
        <v>7.3689999999999997E-3</v>
      </c>
      <c r="W171" s="26">
        <f t="shared" si="81"/>
        <v>7.3689999999999997E-3</v>
      </c>
      <c r="X171" s="26">
        <f t="shared" si="81"/>
        <v>7.3689999999999997E-3</v>
      </c>
      <c r="Y171" s="26">
        <f t="shared" si="81"/>
        <v>7.3689999999999997E-3</v>
      </c>
      <c r="Z171" s="26">
        <f t="shared" si="81"/>
        <v>7.3689999999999997E-3</v>
      </c>
      <c r="AA171" s="26">
        <f t="shared" si="81"/>
        <v>7.3689999999999997E-3</v>
      </c>
      <c r="AB171" s="26">
        <f t="shared" si="81"/>
        <v>7.3689999999999997E-3</v>
      </c>
      <c r="AC171" s="26">
        <f t="shared" si="81"/>
        <v>7.3689999999999997E-3</v>
      </c>
      <c r="AD171" s="26">
        <f t="shared" si="81"/>
        <v>7.3689999999999997E-3</v>
      </c>
      <c r="AE171" s="26">
        <f t="shared" si="81"/>
        <v>7.3689999999999997E-3</v>
      </c>
      <c r="AF171" s="1"/>
    </row>
    <row r="172" spans="1:32" x14ac:dyDescent="0.2">
      <c r="C172" s="28" t="s">
        <v>400</v>
      </c>
      <c r="E172" s="95">
        <v>0.5464941176470588</v>
      </c>
      <c r="F172" s="1" t="s">
        <v>394</v>
      </c>
      <c r="I172" s="26">
        <f t="shared" si="79"/>
        <v>0.5464941176470588</v>
      </c>
      <c r="J172" s="26">
        <f t="shared" si="79"/>
        <v>0.5464941176470588</v>
      </c>
      <c r="K172" s="26">
        <f t="shared" si="79"/>
        <v>0.5464941176470588</v>
      </c>
      <c r="L172" s="26">
        <f t="shared" si="79"/>
        <v>0.5464941176470588</v>
      </c>
      <c r="M172" s="26">
        <f t="shared" si="79"/>
        <v>0.5464941176470588</v>
      </c>
      <c r="N172" s="26">
        <f t="shared" si="79"/>
        <v>0.5464941176470588</v>
      </c>
      <c r="O172" s="26">
        <f t="shared" si="79"/>
        <v>0.5464941176470588</v>
      </c>
      <c r="P172" s="26">
        <f t="shared" si="79"/>
        <v>0.5464941176470588</v>
      </c>
      <c r="Q172" s="26">
        <f t="shared" si="79"/>
        <v>0.5464941176470588</v>
      </c>
      <c r="R172" s="26">
        <f t="shared" si="79"/>
        <v>0.5464941176470588</v>
      </c>
      <c r="S172" s="26">
        <f t="shared" si="79"/>
        <v>0.5464941176470588</v>
      </c>
      <c r="T172" s="26">
        <f t="shared" si="79"/>
        <v>0.5464941176470588</v>
      </c>
      <c r="U172" s="26">
        <f t="shared" si="79"/>
        <v>0.5464941176470588</v>
      </c>
      <c r="V172" s="26">
        <f t="shared" si="79"/>
        <v>0.5464941176470588</v>
      </c>
      <c r="W172" s="26">
        <f t="shared" si="79"/>
        <v>0.5464941176470588</v>
      </c>
      <c r="X172" s="26">
        <f t="shared" si="79"/>
        <v>0.5464941176470588</v>
      </c>
      <c r="Y172" s="26">
        <f t="shared" si="79"/>
        <v>0.5464941176470588</v>
      </c>
      <c r="Z172" s="26">
        <f t="shared" si="79"/>
        <v>0.5464941176470588</v>
      </c>
      <c r="AA172" s="26">
        <f t="shared" si="79"/>
        <v>0.5464941176470588</v>
      </c>
      <c r="AB172" s="26">
        <f t="shared" si="79"/>
        <v>0.5464941176470588</v>
      </c>
      <c r="AC172" s="26">
        <f t="shared" si="79"/>
        <v>0.5464941176470588</v>
      </c>
      <c r="AD172" s="26">
        <f t="shared" si="79"/>
        <v>0.5464941176470588</v>
      </c>
      <c r="AE172" s="26">
        <f t="shared" si="79"/>
        <v>0.5464941176470588</v>
      </c>
      <c r="AF172" s="1"/>
    </row>
    <row r="173" spans="1:32" x14ac:dyDescent="0.2">
      <c r="C173" s="28" t="s">
        <v>401</v>
      </c>
      <c r="E173" s="95">
        <v>511</v>
      </c>
      <c r="F173" s="1" t="s">
        <v>394</v>
      </c>
      <c r="I173" s="26">
        <f t="shared" si="79"/>
        <v>511</v>
      </c>
      <c r="J173" s="26">
        <f t="shared" si="79"/>
        <v>511</v>
      </c>
      <c r="K173" s="26">
        <f t="shared" si="79"/>
        <v>511</v>
      </c>
      <c r="L173" s="26">
        <f t="shared" si="79"/>
        <v>511</v>
      </c>
      <c r="M173" s="26">
        <f t="shared" si="79"/>
        <v>511</v>
      </c>
      <c r="N173" s="26">
        <f t="shared" si="79"/>
        <v>511</v>
      </c>
      <c r="O173" s="26">
        <f t="shared" si="79"/>
        <v>511</v>
      </c>
      <c r="P173" s="26">
        <f t="shared" si="79"/>
        <v>511</v>
      </c>
      <c r="Q173" s="26">
        <f t="shared" si="79"/>
        <v>511</v>
      </c>
      <c r="R173" s="26">
        <f t="shared" si="79"/>
        <v>511</v>
      </c>
      <c r="S173" s="26">
        <f t="shared" si="79"/>
        <v>511</v>
      </c>
      <c r="T173" s="26">
        <f t="shared" si="79"/>
        <v>511</v>
      </c>
      <c r="U173" s="26">
        <f t="shared" si="79"/>
        <v>511</v>
      </c>
      <c r="V173" s="26">
        <f t="shared" si="79"/>
        <v>511</v>
      </c>
      <c r="W173" s="26">
        <f t="shared" si="79"/>
        <v>511</v>
      </c>
      <c r="X173" s="26">
        <f t="shared" si="79"/>
        <v>511</v>
      </c>
      <c r="Y173" s="26">
        <f t="shared" si="79"/>
        <v>511</v>
      </c>
      <c r="Z173" s="26">
        <f t="shared" si="79"/>
        <v>511</v>
      </c>
      <c r="AA173" s="26">
        <f t="shared" si="79"/>
        <v>511</v>
      </c>
      <c r="AB173" s="26">
        <f t="shared" si="79"/>
        <v>511</v>
      </c>
      <c r="AC173" s="26">
        <f t="shared" si="79"/>
        <v>511</v>
      </c>
      <c r="AD173" s="26">
        <f t="shared" si="79"/>
        <v>511</v>
      </c>
      <c r="AE173" s="26">
        <f t="shared" si="79"/>
        <v>511</v>
      </c>
      <c r="AF173" s="1"/>
    </row>
    <row r="174" spans="1:32" x14ac:dyDescent="0.2">
      <c r="C174" s="28" t="s">
        <v>402</v>
      </c>
      <c r="E174" s="95">
        <v>3.1750616470588238</v>
      </c>
      <c r="F174" s="1" t="s">
        <v>405</v>
      </c>
      <c r="I174" s="26">
        <f t="shared" si="79"/>
        <v>3.1750616470588238</v>
      </c>
      <c r="J174" s="26">
        <f t="shared" si="79"/>
        <v>3.1750616470588238</v>
      </c>
      <c r="K174" s="26">
        <f t="shared" si="79"/>
        <v>3.1750616470588238</v>
      </c>
      <c r="L174" s="26">
        <f t="shared" si="79"/>
        <v>3.1750616470588238</v>
      </c>
      <c r="M174" s="26">
        <f t="shared" si="79"/>
        <v>3.1750616470588238</v>
      </c>
      <c r="N174" s="26">
        <f t="shared" si="79"/>
        <v>3.1750616470588238</v>
      </c>
      <c r="O174" s="26">
        <f t="shared" si="79"/>
        <v>3.1750616470588238</v>
      </c>
      <c r="P174" s="26">
        <f t="shared" si="79"/>
        <v>3.1750616470588238</v>
      </c>
      <c r="Q174" s="26">
        <f t="shared" si="79"/>
        <v>3.1750616470588238</v>
      </c>
      <c r="R174" s="26">
        <f t="shared" si="79"/>
        <v>3.1750616470588238</v>
      </c>
      <c r="S174" s="26">
        <f t="shared" si="79"/>
        <v>3.1750616470588238</v>
      </c>
      <c r="T174" s="26">
        <f t="shared" si="79"/>
        <v>3.1750616470588238</v>
      </c>
      <c r="U174" s="26">
        <f t="shared" si="79"/>
        <v>3.1750616470588238</v>
      </c>
      <c r="V174" s="26">
        <f t="shared" si="79"/>
        <v>3.1750616470588238</v>
      </c>
      <c r="W174" s="26">
        <f t="shared" si="79"/>
        <v>3.1750616470588238</v>
      </c>
      <c r="X174" s="26">
        <f t="shared" si="79"/>
        <v>3.1750616470588238</v>
      </c>
      <c r="Y174" s="26">
        <f t="shared" si="79"/>
        <v>3.1750616470588238</v>
      </c>
      <c r="Z174" s="26">
        <f t="shared" si="79"/>
        <v>3.1750616470588238</v>
      </c>
      <c r="AA174" s="26">
        <f t="shared" si="79"/>
        <v>3.1750616470588238</v>
      </c>
      <c r="AB174" s="26">
        <f t="shared" si="79"/>
        <v>3.1750616470588238</v>
      </c>
      <c r="AC174" s="26">
        <f t="shared" si="79"/>
        <v>3.1750616470588238</v>
      </c>
      <c r="AD174" s="26">
        <f t="shared" si="79"/>
        <v>3.1750616470588238</v>
      </c>
      <c r="AE174" s="26">
        <f t="shared" si="79"/>
        <v>3.1750616470588238</v>
      </c>
      <c r="AF174" s="1"/>
    </row>
    <row r="175" spans="1:32" x14ac:dyDescent="0.2">
      <c r="C175" s="28" t="s">
        <v>693</v>
      </c>
      <c r="E175" s="95">
        <f>80000/1000000</f>
        <v>0.08</v>
      </c>
      <c r="F175" s="1" t="s">
        <v>55</v>
      </c>
      <c r="I175" s="26">
        <f t="shared" si="79"/>
        <v>0.08</v>
      </c>
      <c r="J175" s="26">
        <f t="shared" si="79"/>
        <v>0.08</v>
      </c>
      <c r="K175" s="26">
        <f t="shared" si="79"/>
        <v>0.08</v>
      </c>
      <c r="L175" s="26">
        <f t="shared" si="79"/>
        <v>0.08</v>
      </c>
      <c r="M175" s="26">
        <f t="shared" si="79"/>
        <v>0.08</v>
      </c>
      <c r="N175" s="26">
        <f t="shared" si="79"/>
        <v>0.08</v>
      </c>
      <c r="O175" s="26">
        <f t="shared" si="79"/>
        <v>0.08</v>
      </c>
      <c r="P175" s="26">
        <f t="shared" si="79"/>
        <v>0.08</v>
      </c>
      <c r="Q175" s="26">
        <f t="shared" si="79"/>
        <v>0.08</v>
      </c>
      <c r="R175" s="26">
        <f t="shared" si="79"/>
        <v>0.08</v>
      </c>
      <c r="S175" s="26">
        <f t="shared" si="79"/>
        <v>0.08</v>
      </c>
      <c r="T175" s="26">
        <f t="shared" si="79"/>
        <v>0.08</v>
      </c>
      <c r="U175" s="26">
        <f t="shared" si="79"/>
        <v>0.08</v>
      </c>
      <c r="V175" s="26">
        <f t="shared" si="79"/>
        <v>0.08</v>
      </c>
      <c r="W175" s="26">
        <f t="shared" si="79"/>
        <v>0.08</v>
      </c>
      <c r="X175" s="26">
        <f t="shared" si="79"/>
        <v>0.08</v>
      </c>
      <c r="Y175" s="26">
        <f t="shared" si="79"/>
        <v>0.08</v>
      </c>
      <c r="Z175" s="26">
        <f t="shared" si="79"/>
        <v>0.08</v>
      </c>
      <c r="AA175" s="26">
        <f t="shared" si="79"/>
        <v>0.08</v>
      </c>
      <c r="AB175" s="26">
        <f t="shared" si="79"/>
        <v>0.08</v>
      </c>
      <c r="AC175" s="26">
        <f t="shared" si="79"/>
        <v>0.08</v>
      </c>
      <c r="AD175" s="26">
        <f t="shared" si="79"/>
        <v>0.08</v>
      </c>
      <c r="AE175" s="26">
        <f t="shared" si="79"/>
        <v>0.08</v>
      </c>
      <c r="AF175" s="1"/>
    </row>
    <row r="176" spans="1:32" x14ac:dyDescent="0.2">
      <c r="C176" s="28" t="s">
        <v>403</v>
      </c>
      <c r="E176" s="95">
        <v>0.14437800000000001</v>
      </c>
      <c r="F176" s="1" t="s">
        <v>55</v>
      </c>
      <c r="I176" s="26">
        <f t="shared" si="79"/>
        <v>0.14437800000000001</v>
      </c>
      <c r="J176" s="26">
        <f t="shared" si="79"/>
        <v>0.14437800000000001</v>
      </c>
      <c r="K176" s="26">
        <f t="shared" si="79"/>
        <v>0.14437800000000001</v>
      </c>
      <c r="L176" s="26">
        <f t="shared" si="79"/>
        <v>0.14437800000000001</v>
      </c>
      <c r="M176" s="26">
        <f t="shared" si="79"/>
        <v>0.14437800000000001</v>
      </c>
      <c r="N176" s="26">
        <f t="shared" si="79"/>
        <v>0.14437800000000001</v>
      </c>
      <c r="O176" s="26">
        <f t="shared" si="79"/>
        <v>0.14437800000000001</v>
      </c>
      <c r="P176" s="26">
        <f t="shared" si="79"/>
        <v>0.14437800000000001</v>
      </c>
      <c r="Q176" s="26">
        <f t="shared" si="79"/>
        <v>0.14437800000000001</v>
      </c>
      <c r="R176" s="26">
        <f t="shared" si="79"/>
        <v>0.14437800000000001</v>
      </c>
      <c r="S176" s="26">
        <f t="shared" si="79"/>
        <v>0.14437800000000001</v>
      </c>
      <c r="T176" s="26">
        <f t="shared" si="79"/>
        <v>0.14437800000000001</v>
      </c>
      <c r="U176" s="26">
        <f t="shared" si="79"/>
        <v>0.14437800000000001</v>
      </c>
      <c r="V176" s="26">
        <f t="shared" si="79"/>
        <v>0.14437800000000001</v>
      </c>
      <c r="W176" s="26">
        <f t="shared" si="79"/>
        <v>0.14437800000000001</v>
      </c>
      <c r="X176" s="26">
        <f t="shared" si="79"/>
        <v>0.14437800000000001</v>
      </c>
      <c r="Y176" s="26">
        <f t="shared" si="79"/>
        <v>0.14437800000000001</v>
      </c>
      <c r="Z176" s="26">
        <f t="shared" si="79"/>
        <v>0.14437800000000001</v>
      </c>
      <c r="AA176" s="26">
        <f t="shared" si="79"/>
        <v>0.14437800000000001</v>
      </c>
      <c r="AB176" s="26">
        <f t="shared" si="79"/>
        <v>0.14437800000000001</v>
      </c>
      <c r="AC176" s="26">
        <f t="shared" si="79"/>
        <v>0.14437800000000001</v>
      </c>
      <c r="AD176" s="26">
        <f t="shared" si="79"/>
        <v>0.14437800000000001</v>
      </c>
      <c r="AE176" s="26">
        <f t="shared" si="79"/>
        <v>0.14437800000000001</v>
      </c>
      <c r="AF176" s="1"/>
    </row>
    <row r="178" spans="1:32" x14ac:dyDescent="0.2">
      <c r="A178" s="27"/>
      <c r="B178" s="24"/>
      <c r="C178" s="31" t="s">
        <v>692</v>
      </c>
      <c r="D178" s="28"/>
      <c r="E178" s="25"/>
      <c r="G178" s="25"/>
      <c r="H178" s="26"/>
      <c r="U178" s="29"/>
      <c r="AF178" s="1"/>
    </row>
    <row r="179" spans="1:32" x14ac:dyDescent="0.2">
      <c r="A179" s="27"/>
      <c r="B179" s="24"/>
      <c r="C179" s="28"/>
      <c r="D179" s="28"/>
      <c r="E179" s="25"/>
      <c r="G179" s="25"/>
      <c r="H179" s="26"/>
      <c r="U179" s="29"/>
      <c r="AF179" s="1"/>
    </row>
    <row r="180" spans="1:32" x14ac:dyDescent="0.2">
      <c r="A180" s="27"/>
      <c r="B180" s="24"/>
      <c r="C180" s="28" t="s">
        <v>403</v>
      </c>
      <c r="D180" s="28"/>
      <c r="E180" s="95">
        <v>0.83100499999999999</v>
      </c>
      <c r="F180" s="1" t="s">
        <v>55</v>
      </c>
      <c r="G180" s="25"/>
      <c r="H180" s="26"/>
      <c r="I180" s="26">
        <f t="shared" ref="I180:AE183" si="82">$E180</f>
        <v>0.83100499999999999</v>
      </c>
      <c r="J180" s="26">
        <f t="shared" si="82"/>
        <v>0.83100499999999999</v>
      </c>
      <c r="K180" s="26">
        <f t="shared" si="82"/>
        <v>0.83100499999999999</v>
      </c>
      <c r="L180" s="26">
        <f t="shared" si="82"/>
        <v>0.83100499999999999</v>
      </c>
      <c r="M180" s="26">
        <f t="shared" si="82"/>
        <v>0.83100499999999999</v>
      </c>
      <c r="N180" s="26">
        <f t="shared" si="82"/>
        <v>0.83100499999999999</v>
      </c>
      <c r="O180" s="26">
        <f t="shared" si="82"/>
        <v>0.83100499999999999</v>
      </c>
      <c r="P180" s="26">
        <f t="shared" si="82"/>
        <v>0.83100499999999999</v>
      </c>
      <c r="Q180" s="26">
        <f t="shared" si="82"/>
        <v>0.83100499999999999</v>
      </c>
      <c r="R180" s="26">
        <f t="shared" si="82"/>
        <v>0.83100499999999999</v>
      </c>
      <c r="S180" s="26">
        <f t="shared" si="82"/>
        <v>0.83100499999999999</v>
      </c>
      <c r="T180" s="26">
        <f t="shared" si="82"/>
        <v>0.83100499999999999</v>
      </c>
      <c r="U180" s="26">
        <f t="shared" si="82"/>
        <v>0.83100499999999999</v>
      </c>
      <c r="V180" s="26">
        <f t="shared" si="82"/>
        <v>0.83100499999999999</v>
      </c>
      <c r="W180" s="26">
        <f t="shared" si="82"/>
        <v>0.83100499999999999</v>
      </c>
      <c r="X180" s="26">
        <f t="shared" si="82"/>
        <v>0.83100499999999999</v>
      </c>
      <c r="Y180" s="26">
        <f t="shared" si="82"/>
        <v>0.83100499999999999</v>
      </c>
      <c r="Z180" s="26">
        <f t="shared" si="82"/>
        <v>0.83100499999999999</v>
      </c>
      <c r="AA180" s="26">
        <f t="shared" si="82"/>
        <v>0.83100499999999999</v>
      </c>
      <c r="AB180" s="26">
        <f t="shared" si="82"/>
        <v>0.83100499999999999</v>
      </c>
      <c r="AC180" s="26">
        <f t="shared" si="82"/>
        <v>0.83100499999999999</v>
      </c>
      <c r="AD180" s="26">
        <f t="shared" si="82"/>
        <v>0.83100499999999999</v>
      </c>
      <c r="AE180" s="26">
        <f t="shared" si="82"/>
        <v>0.83100499999999999</v>
      </c>
      <c r="AF180" s="1"/>
    </row>
    <row r="181" spans="1:32" x14ac:dyDescent="0.2">
      <c r="A181" s="27"/>
      <c r="B181" s="24"/>
      <c r="C181" s="28" t="s">
        <v>579</v>
      </c>
      <c r="D181" s="28"/>
      <c r="E181" s="95">
        <v>1.75</v>
      </c>
      <c r="F181" s="1" t="s">
        <v>405</v>
      </c>
      <c r="G181" s="25"/>
      <c r="H181" s="26"/>
      <c r="I181" s="26">
        <f t="shared" si="82"/>
        <v>1.75</v>
      </c>
      <c r="J181" s="26">
        <f t="shared" si="82"/>
        <v>1.75</v>
      </c>
      <c r="K181" s="26">
        <f t="shared" si="82"/>
        <v>1.75</v>
      </c>
      <c r="L181" s="26">
        <f t="shared" si="82"/>
        <v>1.75</v>
      </c>
      <c r="M181" s="26">
        <f t="shared" si="82"/>
        <v>1.75</v>
      </c>
      <c r="N181" s="26">
        <f t="shared" si="82"/>
        <v>1.75</v>
      </c>
      <c r="O181" s="26">
        <f t="shared" si="82"/>
        <v>1.75</v>
      </c>
      <c r="P181" s="26">
        <f t="shared" si="82"/>
        <v>1.75</v>
      </c>
      <c r="Q181" s="26">
        <f t="shared" si="82"/>
        <v>1.75</v>
      </c>
      <c r="R181" s="26">
        <f t="shared" si="82"/>
        <v>1.75</v>
      </c>
      <c r="S181" s="26">
        <f t="shared" si="82"/>
        <v>1.75</v>
      </c>
      <c r="T181" s="26">
        <f t="shared" si="82"/>
        <v>1.75</v>
      </c>
      <c r="U181" s="26">
        <f t="shared" si="82"/>
        <v>1.75</v>
      </c>
      <c r="V181" s="26">
        <f t="shared" si="82"/>
        <v>1.75</v>
      </c>
      <c r="W181" s="26">
        <f t="shared" si="82"/>
        <v>1.75</v>
      </c>
      <c r="X181" s="26">
        <f t="shared" si="82"/>
        <v>1.75</v>
      </c>
      <c r="Y181" s="26">
        <f t="shared" si="82"/>
        <v>1.75</v>
      </c>
      <c r="Z181" s="26">
        <f t="shared" si="82"/>
        <v>1.75</v>
      </c>
      <c r="AA181" s="26">
        <f t="shared" si="82"/>
        <v>1.75</v>
      </c>
      <c r="AB181" s="26">
        <f t="shared" si="82"/>
        <v>1.75</v>
      </c>
      <c r="AC181" s="26">
        <f t="shared" si="82"/>
        <v>1.75</v>
      </c>
      <c r="AD181" s="26">
        <f t="shared" si="82"/>
        <v>1.75</v>
      </c>
      <c r="AE181" s="26">
        <f t="shared" si="82"/>
        <v>1.75</v>
      </c>
      <c r="AF181" s="1"/>
    </row>
    <row r="182" spans="1:32" x14ac:dyDescent="0.2">
      <c r="A182" s="27"/>
      <c r="B182" s="24"/>
      <c r="C182" s="28" t="s">
        <v>517</v>
      </c>
      <c r="D182" s="28"/>
      <c r="E182" s="95">
        <v>2.2988452655889144</v>
      </c>
      <c r="F182" s="1" t="s">
        <v>684</v>
      </c>
      <c r="G182" s="25"/>
      <c r="H182" s="26"/>
      <c r="I182" s="26">
        <f>$E$182</f>
        <v>2.2988452655889144</v>
      </c>
      <c r="J182" s="26">
        <f>$E$182</f>
        <v>2.2988452655889144</v>
      </c>
      <c r="K182" s="26">
        <f>$E$182</f>
        <v>2.2988452655889144</v>
      </c>
      <c r="L182" s="26">
        <f t="shared" ref="L182:AE182" si="83">$E$182</f>
        <v>2.2988452655889144</v>
      </c>
      <c r="M182" s="26">
        <f t="shared" si="83"/>
        <v>2.2988452655889144</v>
      </c>
      <c r="N182" s="26">
        <f t="shared" si="83"/>
        <v>2.2988452655889144</v>
      </c>
      <c r="O182" s="26">
        <f t="shared" si="83"/>
        <v>2.2988452655889144</v>
      </c>
      <c r="P182" s="26">
        <f t="shared" si="83"/>
        <v>2.2988452655889144</v>
      </c>
      <c r="Q182" s="26">
        <f t="shared" si="83"/>
        <v>2.2988452655889144</v>
      </c>
      <c r="R182" s="26">
        <f t="shared" si="83"/>
        <v>2.2988452655889144</v>
      </c>
      <c r="S182" s="26">
        <f t="shared" si="83"/>
        <v>2.2988452655889144</v>
      </c>
      <c r="T182" s="26">
        <f t="shared" si="83"/>
        <v>2.2988452655889144</v>
      </c>
      <c r="U182" s="26">
        <f t="shared" si="83"/>
        <v>2.2988452655889144</v>
      </c>
      <c r="V182" s="26">
        <f t="shared" si="83"/>
        <v>2.2988452655889144</v>
      </c>
      <c r="W182" s="26">
        <f t="shared" si="83"/>
        <v>2.2988452655889144</v>
      </c>
      <c r="X182" s="26">
        <f t="shared" si="83"/>
        <v>2.2988452655889144</v>
      </c>
      <c r="Y182" s="26">
        <f t="shared" si="83"/>
        <v>2.2988452655889144</v>
      </c>
      <c r="Z182" s="26">
        <f t="shared" si="83"/>
        <v>2.2988452655889144</v>
      </c>
      <c r="AA182" s="26">
        <f t="shared" si="83"/>
        <v>2.2988452655889144</v>
      </c>
      <c r="AB182" s="26">
        <f t="shared" si="83"/>
        <v>2.2988452655889144</v>
      </c>
      <c r="AC182" s="26">
        <f t="shared" si="83"/>
        <v>2.2988452655889144</v>
      </c>
      <c r="AD182" s="26">
        <f t="shared" si="83"/>
        <v>2.2988452655889144</v>
      </c>
      <c r="AE182" s="26">
        <f t="shared" si="83"/>
        <v>2.2988452655889144</v>
      </c>
      <c r="AF182" s="1"/>
    </row>
    <row r="183" spans="1:32" x14ac:dyDescent="0.2">
      <c r="A183" s="27"/>
      <c r="B183" s="24"/>
      <c r="C183" s="28" t="s">
        <v>21</v>
      </c>
      <c r="D183" s="28"/>
      <c r="E183" s="95">
        <v>98.351755522497101</v>
      </c>
      <c r="F183" s="1" t="s">
        <v>394</v>
      </c>
      <c r="G183" s="25"/>
      <c r="H183" s="26"/>
      <c r="I183" s="26">
        <f t="shared" si="82"/>
        <v>98.351755522497101</v>
      </c>
      <c r="J183" s="26">
        <f t="shared" si="82"/>
        <v>98.351755522497101</v>
      </c>
      <c r="K183" s="26">
        <f t="shared" si="82"/>
        <v>98.351755522497101</v>
      </c>
      <c r="L183" s="26">
        <f t="shared" si="82"/>
        <v>98.351755522497101</v>
      </c>
      <c r="M183" s="26">
        <f t="shared" si="82"/>
        <v>98.351755522497101</v>
      </c>
      <c r="N183" s="26">
        <f t="shared" si="82"/>
        <v>98.351755522497101</v>
      </c>
      <c r="O183" s="26">
        <f t="shared" si="82"/>
        <v>98.351755522497101</v>
      </c>
      <c r="P183" s="26">
        <f t="shared" si="82"/>
        <v>98.351755522497101</v>
      </c>
      <c r="Q183" s="26">
        <f t="shared" si="82"/>
        <v>98.351755522497101</v>
      </c>
      <c r="R183" s="26">
        <f t="shared" si="82"/>
        <v>98.351755522497101</v>
      </c>
      <c r="S183" s="26">
        <f t="shared" si="82"/>
        <v>98.351755522497101</v>
      </c>
      <c r="T183" s="26">
        <f t="shared" si="82"/>
        <v>98.351755522497101</v>
      </c>
      <c r="U183" s="26">
        <f t="shared" si="82"/>
        <v>98.351755522497101</v>
      </c>
      <c r="V183" s="26">
        <f t="shared" si="82"/>
        <v>98.351755522497101</v>
      </c>
      <c r="W183" s="26">
        <f t="shared" si="82"/>
        <v>98.351755522497101</v>
      </c>
      <c r="X183" s="26">
        <f t="shared" si="82"/>
        <v>98.351755522497101</v>
      </c>
      <c r="Y183" s="26">
        <f t="shared" si="82"/>
        <v>98.351755522497101</v>
      </c>
      <c r="Z183" s="26">
        <f t="shared" si="82"/>
        <v>98.351755522497101</v>
      </c>
      <c r="AA183" s="26">
        <f t="shared" si="82"/>
        <v>98.351755522497101</v>
      </c>
      <c r="AB183" s="26">
        <f t="shared" si="82"/>
        <v>98.351755522497101</v>
      </c>
      <c r="AC183" s="26">
        <f t="shared" si="82"/>
        <v>98.351755522497101</v>
      </c>
      <c r="AD183" s="26">
        <f t="shared" si="82"/>
        <v>98.351755522497101</v>
      </c>
      <c r="AE183" s="26">
        <f t="shared" si="82"/>
        <v>98.351755522497101</v>
      </c>
      <c r="AF183" s="1"/>
    </row>
    <row r="184" spans="1:32" x14ac:dyDescent="0.2">
      <c r="A184" s="27"/>
      <c r="C184" s="28"/>
      <c r="D184" s="28"/>
      <c r="E184" s="25"/>
      <c r="G184" s="25"/>
      <c r="H184" s="26"/>
      <c r="U184" s="29"/>
      <c r="AF184" s="1"/>
    </row>
    <row r="185" spans="1:32" x14ac:dyDescent="0.2">
      <c r="B185" s="6"/>
      <c r="C185" s="6"/>
      <c r="D185" s="6"/>
      <c r="E185" s="7"/>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1"/>
    </row>
    <row r="186" spans="1:32" x14ac:dyDescent="0.2">
      <c r="C186" s="30"/>
      <c r="D186" s="30"/>
      <c r="AF186" s="1"/>
    </row>
    <row r="187" spans="1:32" x14ac:dyDescent="0.2">
      <c r="B187" s="8">
        <f>B91+1</f>
        <v>3</v>
      </c>
      <c r="C187" s="38" t="s">
        <v>25</v>
      </c>
      <c r="D187" s="38"/>
      <c r="AF187" s="1"/>
    </row>
    <row r="188" spans="1:32" x14ac:dyDescent="0.2">
      <c r="C188" s="39"/>
      <c r="D188" s="39"/>
      <c r="L188" s="50"/>
      <c r="M188" s="50"/>
      <c r="N188" s="50"/>
      <c r="O188" s="50"/>
      <c r="P188" s="50"/>
      <c r="Q188" s="50"/>
      <c r="R188" s="50"/>
      <c r="S188" s="50"/>
      <c r="T188" s="50"/>
      <c r="U188" s="50"/>
      <c r="V188" s="50"/>
      <c r="W188" s="50"/>
      <c r="X188" s="50"/>
      <c r="Y188" s="50"/>
      <c r="Z188" s="50"/>
      <c r="AA188" s="50"/>
      <c r="AB188" s="50"/>
      <c r="AC188" s="50"/>
      <c r="AD188" s="50"/>
      <c r="AE188" s="50"/>
      <c r="AF188" s="1"/>
    </row>
    <row r="189" spans="1:32" x14ac:dyDescent="0.2">
      <c r="B189" s="10">
        <f>B187+0.1</f>
        <v>3.1</v>
      </c>
      <c r="C189" s="40" t="s">
        <v>26</v>
      </c>
      <c r="D189" s="40"/>
      <c r="L189" s="50"/>
      <c r="M189" s="50"/>
      <c r="N189" s="50"/>
      <c r="O189" s="50"/>
      <c r="P189" s="50"/>
      <c r="Q189" s="50"/>
      <c r="R189" s="50"/>
      <c r="S189" s="50"/>
      <c r="T189" s="50"/>
      <c r="U189" s="50"/>
      <c r="V189" s="50"/>
      <c r="W189" s="50"/>
      <c r="X189" s="50"/>
      <c r="Y189" s="50"/>
      <c r="Z189" s="50"/>
      <c r="AA189" s="50"/>
      <c r="AB189" s="50"/>
      <c r="AC189" s="50"/>
      <c r="AD189" s="50"/>
      <c r="AE189" s="50"/>
      <c r="AF189" s="1"/>
    </row>
    <row r="190" spans="1:32" x14ac:dyDescent="0.2">
      <c r="B190" s="24"/>
      <c r="C190" s="40"/>
      <c r="D190" s="40"/>
      <c r="AF190" s="1"/>
    </row>
    <row r="191" spans="1:32" x14ac:dyDescent="0.2">
      <c r="B191" s="24"/>
      <c r="C191" s="39" t="s">
        <v>522</v>
      </c>
      <c r="D191" s="39"/>
      <c r="F191" s="1" t="s">
        <v>15</v>
      </c>
      <c r="G191" s="21">
        <f>SUM(I191:AE191)</f>
        <v>13.560566562500002</v>
      </c>
      <c r="I191" s="45">
        <f t="shared" ref="I191:AE191" si="84">I145</f>
        <v>0</v>
      </c>
      <c r="J191" s="45">
        <f t="shared" si="84"/>
        <v>0</v>
      </c>
      <c r="K191" s="45">
        <f t="shared" si="84"/>
        <v>0.21388906249999995</v>
      </c>
      <c r="L191" s="45">
        <f t="shared" si="84"/>
        <v>0.34222249999999999</v>
      </c>
      <c r="M191" s="45">
        <f t="shared" si="84"/>
        <v>0.68444499999999997</v>
      </c>
      <c r="N191" s="45">
        <f t="shared" si="84"/>
        <v>0.68444499999999997</v>
      </c>
      <c r="O191" s="45">
        <f t="shared" si="84"/>
        <v>0.68444499999999997</v>
      </c>
      <c r="P191" s="45">
        <f t="shared" si="84"/>
        <v>0.68444499999999997</v>
      </c>
      <c r="Q191" s="45">
        <f t="shared" si="84"/>
        <v>0.68444499999999997</v>
      </c>
      <c r="R191" s="45">
        <f t="shared" si="84"/>
        <v>0.68444499999999997</v>
      </c>
      <c r="S191" s="45">
        <f t="shared" si="84"/>
        <v>0.68444499999999997</v>
      </c>
      <c r="T191" s="45">
        <f t="shared" si="84"/>
        <v>0.68444499999999997</v>
      </c>
      <c r="U191" s="45">
        <f t="shared" si="84"/>
        <v>0.68444499999999997</v>
      </c>
      <c r="V191" s="45">
        <f t="shared" si="84"/>
        <v>0.68444499999999997</v>
      </c>
      <c r="W191" s="45">
        <f t="shared" si="84"/>
        <v>0.68444499999999997</v>
      </c>
      <c r="X191" s="45">
        <f t="shared" si="84"/>
        <v>0.68444499999999997</v>
      </c>
      <c r="Y191" s="45">
        <f t="shared" si="84"/>
        <v>0.68444499999999997</v>
      </c>
      <c r="Z191" s="45">
        <f t="shared" si="84"/>
        <v>0.68444499999999997</v>
      </c>
      <c r="AA191" s="45">
        <f t="shared" si="84"/>
        <v>0.68444499999999997</v>
      </c>
      <c r="AB191" s="45">
        <f t="shared" si="84"/>
        <v>0.68444499999999997</v>
      </c>
      <c r="AC191" s="45">
        <f t="shared" si="84"/>
        <v>0.68444499999999997</v>
      </c>
      <c r="AD191" s="45">
        <f t="shared" si="84"/>
        <v>0.68444499999999997</v>
      </c>
      <c r="AE191" s="45">
        <f t="shared" si="84"/>
        <v>0.68444499999999997</v>
      </c>
      <c r="AF191" s="1"/>
    </row>
    <row r="192" spans="1:32" x14ac:dyDescent="0.2">
      <c r="B192" s="24"/>
      <c r="C192" s="40"/>
      <c r="D192" s="261"/>
      <c r="E192" s="261"/>
      <c r="AF192" s="1"/>
    </row>
    <row r="193" spans="2:32" x14ac:dyDescent="0.2">
      <c r="B193" s="24"/>
      <c r="C193" s="5" t="s">
        <v>454</v>
      </c>
      <c r="D193" s="316"/>
      <c r="E193" s="321">
        <f>E10</f>
        <v>0</v>
      </c>
      <c r="AF193" s="1"/>
    </row>
    <row r="194" spans="2:32" x14ac:dyDescent="0.2">
      <c r="B194" s="24"/>
      <c r="C194" s="5"/>
      <c r="D194" s="316"/>
      <c r="E194" s="316"/>
      <c r="AF194" s="1"/>
    </row>
    <row r="195" spans="2:32" x14ac:dyDescent="0.2">
      <c r="B195" s="24"/>
      <c r="C195" s="90" t="str">
        <f>"Case Running - "&amp;IF(E193=0,"Current Prices","LT Project Price")</f>
        <v>Case Running - Current Prices</v>
      </c>
      <c r="D195" s="316"/>
      <c r="E195" s="316"/>
      <c r="AF195" s="1"/>
    </row>
    <row r="196" spans="2:32" x14ac:dyDescent="0.2">
      <c r="C196" s="39" t="s">
        <v>311</v>
      </c>
      <c r="D196" s="39"/>
      <c r="F196" s="1" t="s">
        <v>3</v>
      </c>
      <c r="G196" s="21">
        <f>AVERAGE(K196:AE196)</f>
        <v>115</v>
      </c>
      <c r="I196" s="45">
        <f t="shared" ref="I196" si="85">I206*($E$193=0)+I213*($E$193=1)</f>
        <v>115</v>
      </c>
      <c r="J196" s="45">
        <f t="shared" ref="J196" si="86">J206*($E$193=0)+J213*($E$193=1)</f>
        <v>115</v>
      </c>
      <c r="K196" s="45">
        <f t="shared" ref="K196:AE196" si="87">K206*($E$193=0)+K213*($E$193=1)</f>
        <v>115</v>
      </c>
      <c r="L196" s="45">
        <f t="shared" si="87"/>
        <v>115</v>
      </c>
      <c r="M196" s="45">
        <f t="shared" si="87"/>
        <v>115</v>
      </c>
      <c r="N196" s="45">
        <f t="shared" si="87"/>
        <v>115</v>
      </c>
      <c r="O196" s="45">
        <f t="shared" si="87"/>
        <v>115</v>
      </c>
      <c r="P196" s="45">
        <f t="shared" si="87"/>
        <v>115</v>
      </c>
      <c r="Q196" s="45">
        <f t="shared" si="87"/>
        <v>115</v>
      </c>
      <c r="R196" s="45">
        <f t="shared" si="87"/>
        <v>115</v>
      </c>
      <c r="S196" s="45">
        <f t="shared" si="87"/>
        <v>115</v>
      </c>
      <c r="T196" s="45">
        <f t="shared" si="87"/>
        <v>115</v>
      </c>
      <c r="U196" s="45">
        <f t="shared" si="87"/>
        <v>115</v>
      </c>
      <c r="V196" s="45">
        <f t="shared" si="87"/>
        <v>115</v>
      </c>
      <c r="W196" s="45">
        <f t="shared" si="87"/>
        <v>115</v>
      </c>
      <c r="X196" s="45">
        <f t="shared" si="87"/>
        <v>115</v>
      </c>
      <c r="Y196" s="45">
        <f t="shared" si="87"/>
        <v>115</v>
      </c>
      <c r="Z196" s="45">
        <f t="shared" si="87"/>
        <v>115</v>
      </c>
      <c r="AA196" s="45">
        <f t="shared" si="87"/>
        <v>115</v>
      </c>
      <c r="AB196" s="45">
        <f t="shared" si="87"/>
        <v>115</v>
      </c>
      <c r="AC196" s="45">
        <f t="shared" si="87"/>
        <v>115</v>
      </c>
      <c r="AD196" s="45">
        <f t="shared" si="87"/>
        <v>115</v>
      </c>
      <c r="AE196" s="45">
        <f t="shared" si="87"/>
        <v>115</v>
      </c>
      <c r="AF196" s="1"/>
    </row>
    <row r="197" spans="2:32" x14ac:dyDescent="0.2">
      <c r="C197" s="39" t="s">
        <v>27</v>
      </c>
      <c r="D197" s="146">
        <f>$E$84</f>
        <v>1</v>
      </c>
      <c r="F197" s="1" t="s">
        <v>3</v>
      </c>
      <c r="G197" s="21">
        <f>AVERAGE(K197:AE197)</f>
        <v>1.7142857142857146</v>
      </c>
      <c r="I197" s="18">
        <f t="shared" ref="I197" si="88">I237*$D197</f>
        <v>1.7142857142857142</v>
      </c>
      <c r="J197" s="18">
        <f t="shared" ref="J197" si="89">J237*$D197</f>
        <v>1.7142857142857142</v>
      </c>
      <c r="K197" s="18">
        <f>K237*$D197</f>
        <v>1.7142857142857142</v>
      </c>
      <c r="L197" s="18">
        <f t="shared" ref="L197:AE197" si="90">L237*$D197</f>
        <v>1.7142857142857142</v>
      </c>
      <c r="M197" s="18">
        <f t="shared" si="90"/>
        <v>1.7142857142857142</v>
      </c>
      <c r="N197" s="18">
        <f t="shared" si="90"/>
        <v>1.7142857142857142</v>
      </c>
      <c r="O197" s="18">
        <f t="shared" si="90"/>
        <v>1.7142857142857142</v>
      </c>
      <c r="P197" s="18">
        <f t="shared" si="90"/>
        <v>1.7142857142857142</v>
      </c>
      <c r="Q197" s="18">
        <f t="shared" si="90"/>
        <v>1.7142857142857142</v>
      </c>
      <c r="R197" s="18">
        <f t="shared" si="90"/>
        <v>1.7142857142857142</v>
      </c>
      <c r="S197" s="18">
        <f t="shared" si="90"/>
        <v>1.7142857142857142</v>
      </c>
      <c r="T197" s="18">
        <f t="shared" si="90"/>
        <v>1.7142857142857142</v>
      </c>
      <c r="U197" s="18">
        <f t="shared" si="90"/>
        <v>1.7142857142857142</v>
      </c>
      <c r="V197" s="18">
        <f t="shared" si="90"/>
        <v>1.7142857142857142</v>
      </c>
      <c r="W197" s="18">
        <f t="shared" si="90"/>
        <v>1.7142857142857142</v>
      </c>
      <c r="X197" s="18">
        <f t="shared" si="90"/>
        <v>1.7142857142857142</v>
      </c>
      <c r="Y197" s="18">
        <f t="shared" si="90"/>
        <v>1.7142857142857142</v>
      </c>
      <c r="Z197" s="18">
        <f t="shared" si="90"/>
        <v>1.7142857142857142</v>
      </c>
      <c r="AA197" s="18">
        <f t="shared" si="90"/>
        <v>1.7142857142857142</v>
      </c>
      <c r="AB197" s="18">
        <f t="shared" si="90"/>
        <v>1.7142857142857142</v>
      </c>
      <c r="AC197" s="18">
        <f t="shared" si="90"/>
        <v>1.7142857142857142</v>
      </c>
      <c r="AD197" s="18">
        <f t="shared" si="90"/>
        <v>1.7142857142857142</v>
      </c>
      <c r="AE197" s="18">
        <f t="shared" si="90"/>
        <v>1.7142857142857142</v>
      </c>
      <c r="AF197" s="1"/>
    </row>
    <row r="198" spans="2:32" x14ac:dyDescent="0.2">
      <c r="C198" s="39" t="s">
        <v>28</v>
      </c>
      <c r="D198" s="146">
        <f>$E$84</f>
        <v>1</v>
      </c>
      <c r="F198" s="1" t="s">
        <v>3</v>
      </c>
      <c r="G198" s="21">
        <f>AVERAGE(K198:AE198)</f>
        <v>2.6565000000000007</v>
      </c>
      <c r="I198" s="18">
        <f t="shared" ref="I198" si="91">I245*$D198</f>
        <v>2.6565000000000003</v>
      </c>
      <c r="J198" s="18">
        <f t="shared" ref="J198" si="92">J245*$D198</f>
        <v>2.6565000000000003</v>
      </c>
      <c r="K198" s="18">
        <f t="shared" ref="K198:AE198" si="93">K245*$D198</f>
        <v>2.6565000000000003</v>
      </c>
      <c r="L198" s="18">
        <f t="shared" si="93"/>
        <v>2.6565000000000003</v>
      </c>
      <c r="M198" s="18">
        <f t="shared" si="93"/>
        <v>2.6565000000000003</v>
      </c>
      <c r="N198" s="18">
        <f t="shared" si="93"/>
        <v>2.6565000000000003</v>
      </c>
      <c r="O198" s="18">
        <f t="shared" si="93"/>
        <v>2.6565000000000003</v>
      </c>
      <c r="P198" s="18">
        <f t="shared" si="93"/>
        <v>2.6565000000000003</v>
      </c>
      <c r="Q198" s="18">
        <f t="shared" si="93"/>
        <v>2.6565000000000003</v>
      </c>
      <c r="R198" s="18">
        <f t="shared" si="93"/>
        <v>2.6565000000000003</v>
      </c>
      <c r="S198" s="18">
        <f t="shared" si="93"/>
        <v>2.6565000000000003</v>
      </c>
      <c r="T198" s="18">
        <f t="shared" si="93"/>
        <v>2.6565000000000003</v>
      </c>
      <c r="U198" s="18">
        <f t="shared" si="93"/>
        <v>2.6565000000000003</v>
      </c>
      <c r="V198" s="18">
        <f t="shared" si="93"/>
        <v>2.6565000000000003</v>
      </c>
      <c r="W198" s="18">
        <f t="shared" si="93"/>
        <v>2.6565000000000003</v>
      </c>
      <c r="X198" s="18">
        <f t="shared" si="93"/>
        <v>2.6565000000000003</v>
      </c>
      <c r="Y198" s="18">
        <f t="shared" si="93"/>
        <v>2.6565000000000003</v>
      </c>
      <c r="Z198" s="18">
        <f t="shared" si="93"/>
        <v>2.6565000000000003</v>
      </c>
      <c r="AA198" s="18">
        <f t="shared" si="93"/>
        <v>2.6565000000000003</v>
      </c>
      <c r="AB198" s="18">
        <f t="shared" si="93"/>
        <v>2.6565000000000003</v>
      </c>
      <c r="AC198" s="18">
        <f t="shared" si="93"/>
        <v>2.6565000000000003</v>
      </c>
      <c r="AD198" s="18">
        <f t="shared" si="93"/>
        <v>2.6565000000000003</v>
      </c>
      <c r="AE198" s="18">
        <f t="shared" si="93"/>
        <v>2.6565000000000003</v>
      </c>
      <c r="AF198" s="1"/>
    </row>
    <row r="199" spans="2:32" x14ac:dyDescent="0.2">
      <c r="C199" s="39" t="s">
        <v>29</v>
      </c>
      <c r="D199" s="317"/>
      <c r="F199" s="1" t="s">
        <v>3</v>
      </c>
      <c r="G199" s="21">
        <f>AVERAGE(K199:AE199)</f>
        <v>119.37078571428567</v>
      </c>
      <c r="I199" s="18">
        <f>SUM(I196:I198)</f>
        <v>119.3707857142857</v>
      </c>
      <c r="J199" s="18">
        <f>SUM(J196:J198)</f>
        <v>119.3707857142857</v>
      </c>
      <c r="K199" s="18">
        <f>SUM(K196:K198)</f>
        <v>119.3707857142857</v>
      </c>
      <c r="L199" s="18">
        <f t="shared" ref="L199:AE199" si="94">SUM(L196:L198)</f>
        <v>119.3707857142857</v>
      </c>
      <c r="M199" s="18">
        <f t="shared" si="94"/>
        <v>119.3707857142857</v>
      </c>
      <c r="N199" s="18">
        <f t="shared" si="94"/>
        <v>119.3707857142857</v>
      </c>
      <c r="O199" s="18">
        <f t="shared" si="94"/>
        <v>119.3707857142857</v>
      </c>
      <c r="P199" s="18">
        <f t="shared" si="94"/>
        <v>119.3707857142857</v>
      </c>
      <c r="Q199" s="18">
        <f t="shared" si="94"/>
        <v>119.3707857142857</v>
      </c>
      <c r="R199" s="18">
        <f t="shared" si="94"/>
        <v>119.3707857142857</v>
      </c>
      <c r="S199" s="18">
        <f t="shared" si="94"/>
        <v>119.3707857142857</v>
      </c>
      <c r="T199" s="18">
        <f t="shared" si="94"/>
        <v>119.3707857142857</v>
      </c>
      <c r="U199" s="18">
        <f t="shared" si="94"/>
        <v>119.3707857142857</v>
      </c>
      <c r="V199" s="18">
        <f t="shared" si="94"/>
        <v>119.3707857142857</v>
      </c>
      <c r="W199" s="18">
        <f t="shared" si="94"/>
        <v>119.3707857142857</v>
      </c>
      <c r="X199" s="18">
        <f t="shared" si="94"/>
        <v>119.3707857142857</v>
      </c>
      <c r="Y199" s="18">
        <f t="shared" si="94"/>
        <v>119.3707857142857</v>
      </c>
      <c r="Z199" s="18">
        <f t="shared" si="94"/>
        <v>119.3707857142857</v>
      </c>
      <c r="AA199" s="18">
        <f t="shared" si="94"/>
        <v>119.3707857142857</v>
      </c>
      <c r="AB199" s="18">
        <f t="shared" si="94"/>
        <v>119.3707857142857</v>
      </c>
      <c r="AC199" s="18">
        <f t="shared" si="94"/>
        <v>119.3707857142857</v>
      </c>
      <c r="AD199" s="18">
        <f t="shared" si="94"/>
        <v>119.3707857142857</v>
      </c>
      <c r="AE199" s="18">
        <f t="shared" si="94"/>
        <v>119.3707857142857</v>
      </c>
      <c r="AF199" s="1"/>
    </row>
    <row r="200" spans="2:32" x14ac:dyDescent="0.2">
      <c r="B200" s="24"/>
      <c r="C200" s="5"/>
      <c r="D200" s="316"/>
      <c r="E200" s="316"/>
      <c r="AF200" s="1"/>
    </row>
    <row r="201" spans="2:32" x14ac:dyDescent="0.2">
      <c r="B201" s="24"/>
      <c r="C201" s="90" t="s">
        <v>750</v>
      </c>
      <c r="D201" s="316"/>
      <c r="E201" s="316"/>
      <c r="AF201" s="1"/>
    </row>
    <row r="202" spans="2:32" x14ac:dyDescent="0.2">
      <c r="B202" s="24"/>
      <c r="C202" s="5" t="s">
        <v>731</v>
      </c>
      <c r="D202" s="146">
        <f>$E$84</f>
        <v>1</v>
      </c>
      <c r="E202" s="97">
        <v>105</v>
      </c>
      <c r="F202" s="5" t="s">
        <v>3</v>
      </c>
      <c r="I202" s="21">
        <f t="shared" ref="I202:K203" si="95">$E202*$D202</f>
        <v>105</v>
      </c>
      <c r="J202" s="21">
        <f t="shared" si="95"/>
        <v>105</v>
      </c>
      <c r="K202" s="21">
        <f t="shared" si="95"/>
        <v>105</v>
      </c>
      <c r="L202" s="21">
        <f t="shared" ref="L202:AE203" si="96">$E202*$D202</f>
        <v>105</v>
      </c>
      <c r="M202" s="21">
        <f t="shared" si="96"/>
        <v>105</v>
      </c>
      <c r="N202" s="21">
        <f t="shared" si="96"/>
        <v>105</v>
      </c>
      <c r="O202" s="21">
        <f t="shared" si="96"/>
        <v>105</v>
      </c>
      <c r="P202" s="21">
        <f t="shared" si="96"/>
        <v>105</v>
      </c>
      <c r="Q202" s="21">
        <f t="shared" si="96"/>
        <v>105</v>
      </c>
      <c r="R202" s="21">
        <f t="shared" si="96"/>
        <v>105</v>
      </c>
      <c r="S202" s="21">
        <f t="shared" si="96"/>
        <v>105</v>
      </c>
      <c r="T202" s="21">
        <f t="shared" si="96"/>
        <v>105</v>
      </c>
      <c r="U202" s="21">
        <f t="shared" si="96"/>
        <v>105</v>
      </c>
      <c r="V202" s="21">
        <f t="shared" si="96"/>
        <v>105</v>
      </c>
      <c r="W202" s="21">
        <f t="shared" si="96"/>
        <v>105</v>
      </c>
      <c r="X202" s="21">
        <f t="shared" si="96"/>
        <v>105</v>
      </c>
      <c r="Y202" s="21">
        <f t="shared" si="96"/>
        <v>105</v>
      </c>
      <c r="Z202" s="21">
        <f t="shared" si="96"/>
        <v>105</v>
      </c>
      <c r="AA202" s="21">
        <f t="shared" si="96"/>
        <v>105</v>
      </c>
      <c r="AB202" s="21">
        <f t="shared" si="96"/>
        <v>105</v>
      </c>
      <c r="AC202" s="21">
        <f t="shared" si="96"/>
        <v>105</v>
      </c>
      <c r="AD202" s="21">
        <f t="shared" si="96"/>
        <v>105</v>
      </c>
      <c r="AE202" s="21">
        <f t="shared" si="96"/>
        <v>105</v>
      </c>
      <c r="AF202" s="1"/>
    </row>
    <row r="203" spans="2:32" x14ac:dyDescent="0.2">
      <c r="B203" s="24"/>
      <c r="C203" s="5" t="s">
        <v>733</v>
      </c>
      <c r="D203" s="146">
        <f>$E$84</f>
        <v>1</v>
      </c>
      <c r="E203" s="97">
        <v>40</v>
      </c>
      <c r="F203" s="5" t="s">
        <v>3</v>
      </c>
      <c r="I203" s="21">
        <f t="shared" si="95"/>
        <v>40</v>
      </c>
      <c r="J203" s="21">
        <f t="shared" si="95"/>
        <v>40</v>
      </c>
      <c r="K203" s="21">
        <f t="shared" si="95"/>
        <v>40</v>
      </c>
      <c r="L203" s="21">
        <f t="shared" si="96"/>
        <v>40</v>
      </c>
      <c r="M203" s="21">
        <f t="shared" si="96"/>
        <v>40</v>
      </c>
      <c r="N203" s="21">
        <f t="shared" si="96"/>
        <v>40</v>
      </c>
      <c r="O203" s="21">
        <f t="shared" si="96"/>
        <v>40</v>
      </c>
      <c r="P203" s="21">
        <f t="shared" si="96"/>
        <v>40</v>
      </c>
      <c r="Q203" s="21">
        <f t="shared" si="96"/>
        <v>40</v>
      </c>
      <c r="R203" s="21">
        <f t="shared" si="96"/>
        <v>40</v>
      </c>
      <c r="S203" s="21">
        <f t="shared" si="96"/>
        <v>40</v>
      </c>
      <c r="T203" s="21">
        <f t="shared" si="96"/>
        <v>40</v>
      </c>
      <c r="U203" s="21">
        <f t="shared" si="96"/>
        <v>40</v>
      </c>
      <c r="V203" s="21">
        <f t="shared" si="96"/>
        <v>40</v>
      </c>
      <c r="W203" s="21">
        <f t="shared" si="96"/>
        <v>40</v>
      </c>
      <c r="X203" s="21">
        <f t="shared" si="96"/>
        <v>40</v>
      </c>
      <c r="Y203" s="21">
        <f t="shared" si="96"/>
        <v>40</v>
      </c>
      <c r="Z203" s="21">
        <f t="shared" si="96"/>
        <v>40</v>
      </c>
      <c r="AA203" s="21">
        <f t="shared" si="96"/>
        <v>40</v>
      </c>
      <c r="AB203" s="21">
        <f t="shared" si="96"/>
        <v>40</v>
      </c>
      <c r="AC203" s="21">
        <f t="shared" si="96"/>
        <v>40</v>
      </c>
      <c r="AD203" s="21">
        <f t="shared" si="96"/>
        <v>40</v>
      </c>
      <c r="AE203" s="21">
        <f t="shared" si="96"/>
        <v>40</v>
      </c>
      <c r="AF203" s="1"/>
    </row>
    <row r="204" spans="2:32" x14ac:dyDescent="0.2">
      <c r="B204" s="24"/>
      <c r="C204" s="5" t="s">
        <v>967</v>
      </c>
      <c r="D204" s="120"/>
      <c r="E204" s="429">
        <f>E202+E203</f>
        <v>145</v>
      </c>
      <c r="F204" s="5" t="s">
        <v>3</v>
      </c>
      <c r="I204" s="21">
        <f>SUM(I202:I203)</f>
        <v>145</v>
      </c>
      <c r="J204" s="21">
        <f>SUM(J202:J203)</f>
        <v>145</v>
      </c>
      <c r="K204" s="21">
        <f>SUM(K202:K203)</f>
        <v>145</v>
      </c>
      <c r="L204" s="21">
        <f t="shared" ref="L204:AE204" si="97">SUM(L202:L203)</f>
        <v>145</v>
      </c>
      <c r="M204" s="21">
        <f t="shared" si="97"/>
        <v>145</v>
      </c>
      <c r="N204" s="21">
        <f t="shared" si="97"/>
        <v>145</v>
      </c>
      <c r="O204" s="21">
        <f t="shared" si="97"/>
        <v>145</v>
      </c>
      <c r="P204" s="21">
        <f t="shared" si="97"/>
        <v>145</v>
      </c>
      <c r="Q204" s="21">
        <f t="shared" si="97"/>
        <v>145</v>
      </c>
      <c r="R204" s="21">
        <f t="shared" si="97"/>
        <v>145</v>
      </c>
      <c r="S204" s="21">
        <f t="shared" si="97"/>
        <v>145</v>
      </c>
      <c r="T204" s="21">
        <f t="shared" si="97"/>
        <v>145</v>
      </c>
      <c r="U204" s="21">
        <f t="shared" si="97"/>
        <v>145</v>
      </c>
      <c r="V204" s="21">
        <f t="shared" si="97"/>
        <v>145</v>
      </c>
      <c r="W204" s="21">
        <f t="shared" si="97"/>
        <v>145</v>
      </c>
      <c r="X204" s="21">
        <f t="shared" si="97"/>
        <v>145</v>
      </c>
      <c r="Y204" s="21">
        <f t="shared" si="97"/>
        <v>145</v>
      </c>
      <c r="Z204" s="21">
        <f t="shared" si="97"/>
        <v>145</v>
      </c>
      <c r="AA204" s="21">
        <f t="shared" si="97"/>
        <v>145</v>
      </c>
      <c r="AB204" s="21">
        <f t="shared" si="97"/>
        <v>145</v>
      </c>
      <c r="AC204" s="21">
        <f t="shared" si="97"/>
        <v>145</v>
      </c>
      <c r="AD204" s="21">
        <f t="shared" si="97"/>
        <v>145</v>
      </c>
      <c r="AE204" s="21">
        <f t="shared" si="97"/>
        <v>145</v>
      </c>
      <c r="AF204" s="1"/>
    </row>
    <row r="205" spans="2:32" x14ac:dyDescent="0.2">
      <c r="B205" s="24"/>
      <c r="C205" s="5" t="s">
        <v>708</v>
      </c>
      <c r="D205" s="146">
        <f>$E$84</f>
        <v>1</v>
      </c>
      <c r="E205" s="97">
        <v>30</v>
      </c>
      <c r="F205" s="5" t="s">
        <v>3</v>
      </c>
      <c r="I205" s="21">
        <f>$E205*$D205</f>
        <v>30</v>
      </c>
      <c r="J205" s="21">
        <f>$E205*$D205</f>
        <v>30</v>
      </c>
      <c r="K205" s="21">
        <f>$E205*$D205</f>
        <v>30</v>
      </c>
      <c r="L205" s="21">
        <f t="shared" ref="L205:AE205" si="98">$E205*$D205</f>
        <v>30</v>
      </c>
      <c r="M205" s="21">
        <f t="shared" si="98"/>
        <v>30</v>
      </c>
      <c r="N205" s="21">
        <f t="shared" si="98"/>
        <v>30</v>
      </c>
      <c r="O205" s="21">
        <f t="shared" si="98"/>
        <v>30</v>
      </c>
      <c r="P205" s="21">
        <f t="shared" si="98"/>
        <v>30</v>
      </c>
      <c r="Q205" s="21">
        <f t="shared" si="98"/>
        <v>30</v>
      </c>
      <c r="R205" s="21">
        <f t="shared" si="98"/>
        <v>30</v>
      </c>
      <c r="S205" s="21">
        <f t="shared" si="98"/>
        <v>30</v>
      </c>
      <c r="T205" s="21">
        <f t="shared" si="98"/>
        <v>30</v>
      </c>
      <c r="U205" s="21">
        <f t="shared" si="98"/>
        <v>30</v>
      </c>
      <c r="V205" s="21">
        <f t="shared" si="98"/>
        <v>30</v>
      </c>
      <c r="W205" s="21">
        <f t="shared" si="98"/>
        <v>30</v>
      </c>
      <c r="X205" s="21">
        <f t="shared" si="98"/>
        <v>30</v>
      </c>
      <c r="Y205" s="21">
        <f t="shared" si="98"/>
        <v>30</v>
      </c>
      <c r="Z205" s="21">
        <f t="shared" si="98"/>
        <v>30</v>
      </c>
      <c r="AA205" s="21">
        <f t="shared" si="98"/>
        <v>30</v>
      </c>
      <c r="AB205" s="21">
        <f t="shared" si="98"/>
        <v>30</v>
      </c>
      <c r="AC205" s="21">
        <f t="shared" si="98"/>
        <v>30</v>
      </c>
      <c r="AD205" s="21">
        <f t="shared" si="98"/>
        <v>30</v>
      </c>
      <c r="AE205" s="21">
        <f t="shared" si="98"/>
        <v>30</v>
      </c>
      <c r="AF205" s="1"/>
    </row>
    <row r="206" spans="2:32" x14ac:dyDescent="0.2">
      <c r="B206" s="24"/>
      <c r="C206" s="5" t="s">
        <v>310</v>
      </c>
      <c r="D206" s="120"/>
      <c r="E206" s="429">
        <f>E204-E205</f>
        <v>115</v>
      </c>
      <c r="F206" s="5" t="s">
        <v>3</v>
      </c>
      <c r="I206" s="18">
        <f>I204-I205</f>
        <v>115</v>
      </c>
      <c r="J206" s="18">
        <f>J204-J205</f>
        <v>115</v>
      </c>
      <c r="K206" s="18">
        <f>K204-K205</f>
        <v>115</v>
      </c>
      <c r="L206" s="18">
        <f t="shared" ref="L206:AE206" si="99">L204-L205</f>
        <v>115</v>
      </c>
      <c r="M206" s="18">
        <f t="shared" si="99"/>
        <v>115</v>
      </c>
      <c r="N206" s="18">
        <f t="shared" si="99"/>
        <v>115</v>
      </c>
      <c r="O206" s="18">
        <f t="shared" si="99"/>
        <v>115</v>
      </c>
      <c r="P206" s="18">
        <f t="shared" si="99"/>
        <v>115</v>
      </c>
      <c r="Q206" s="18">
        <f t="shared" si="99"/>
        <v>115</v>
      </c>
      <c r="R206" s="18">
        <f t="shared" si="99"/>
        <v>115</v>
      </c>
      <c r="S206" s="18">
        <f t="shared" si="99"/>
        <v>115</v>
      </c>
      <c r="T206" s="18">
        <f t="shared" si="99"/>
        <v>115</v>
      </c>
      <c r="U206" s="18">
        <f t="shared" si="99"/>
        <v>115</v>
      </c>
      <c r="V206" s="18">
        <f t="shared" si="99"/>
        <v>115</v>
      </c>
      <c r="W206" s="18">
        <f t="shared" si="99"/>
        <v>115</v>
      </c>
      <c r="X206" s="18">
        <f t="shared" si="99"/>
        <v>115</v>
      </c>
      <c r="Y206" s="18">
        <f t="shared" si="99"/>
        <v>115</v>
      </c>
      <c r="Z206" s="18">
        <f t="shared" si="99"/>
        <v>115</v>
      </c>
      <c r="AA206" s="18">
        <f t="shared" si="99"/>
        <v>115</v>
      </c>
      <c r="AB206" s="18">
        <f t="shared" si="99"/>
        <v>115</v>
      </c>
      <c r="AC206" s="18">
        <f t="shared" si="99"/>
        <v>115</v>
      </c>
      <c r="AD206" s="18">
        <f t="shared" si="99"/>
        <v>115</v>
      </c>
      <c r="AE206" s="18">
        <f t="shared" si="99"/>
        <v>115</v>
      </c>
      <c r="AF206" s="1"/>
    </row>
    <row r="207" spans="2:32" x14ac:dyDescent="0.2">
      <c r="B207" s="24"/>
      <c r="C207" s="5"/>
      <c r="D207" s="120"/>
      <c r="E207" s="432"/>
      <c r="F207" s="5"/>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
    </row>
    <row r="208" spans="2:32" x14ac:dyDescent="0.2">
      <c r="B208" s="24"/>
      <c r="C208" s="90" t="s">
        <v>749</v>
      </c>
      <c r="D208" s="120"/>
      <c r="E208" s="432"/>
      <c r="F208" s="5"/>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
    </row>
    <row r="209" spans="2:32" x14ac:dyDescent="0.2">
      <c r="B209" s="24"/>
      <c r="C209" s="5" t="s">
        <v>734</v>
      </c>
      <c r="D209" s="146">
        <f>$E$84</f>
        <v>1</v>
      </c>
      <c r="E209" s="97">
        <v>115</v>
      </c>
      <c r="F209" s="5" t="s">
        <v>3</v>
      </c>
      <c r="I209" s="18">
        <f t="shared" ref="I209:K210" si="100">$E209*$D209</f>
        <v>115</v>
      </c>
      <c r="J209" s="18">
        <f t="shared" si="100"/>
        <v>115</v>
      </c>
      <c r="K209" s="18">
        <f t="shared" si="100"/>
        <v>115</v>
      </c>
      <c r="L209" s="18">
        <f t="shared" ref="L209:AE210" si="101">$E209*$D209</f>
        <v>115</v>
      </c>
      <c r="M209" s="18">
        <f t="shared" si="101"/>
        <v>115</v>
      </c>
      <c r="N209" s="18">
        <f t="shared" si="101"/>
        <v>115</v>
      </c>
      <c r="O209" s="18">
        <f t="shared" si="101"/>
        <v>115</v>
      </c>
      <c r="P209" s="18">
        <f t="shared" si="101"/>
        <v>115</v>
      </c>
      <c r="Q209" s="18">
        <f t="shared" si="101"/>
        <v>115</v>
      </c>
      <c r="R209" s="18">
        <f t="shared" si="101"/>
        <v>115</v>
      </c>
      <c r="S209" s="18">
        <f t="shared" si="101"/>
        <v>115</v>
      </c>
      <c r="T209" s="18">
        <f t="shared" si="101"/>
        <v>115</v>
      </c>
      <c r="U209" s="18">
        <f t="shared" si="101"/>
        <v>115</v>
      </c>
      <c r="V209" s="18">
        <f t="shared" si="101"/>
        <v>115</v>
      </c>
      <c r="W209" s="18">
        <f t="shared" si="101"/>
        <v>115</v>
      </c>
      <c r="X209" s="18">
        <f t="shared" si="101"/>
        <v>115</v>
      </c>
      <c r="Y209" s="18">
        <f t="shared" si="101"/>
        <v>115</v>
      </c>
      <c r="Z209" s="18">
        <f t="shared" si="101"/>
        <v>115</v>
      </c>
      <c r="AA209" s="18">
        <f t="shared" si="101"/>
        <v>115</v>
      </c>
      <c r="AB209" s="18">
        <f t="shared" si="101"/>
        <v>115</v>
      </c>
      <c r="AC209" s="18">
        <f t="shared" si="101"/>
        <v>115</v>
      </c>
      <c r="AD209" s="18">
        <f t="shared" si="101"/>
        <v>115</v>
      </c>
      <c r="AE209" s="18">
        <f t="shared" si="101"/>
        <v>115</v>
      </c>
      <c r="AF209" s="1"/>
    </row>
    <row r="210" spans="2:32" x14ac:dyDescent="0.2">
      <c r="B210" s="24"/>
      <c r="C210" s="5" t="s">
        <v>735</v>
      </c>
      <c r="D210" s="146">
        <f>$E$84</f>
        <v>1</v>
      </c>
      <c r="E210" s="97">
        <v>40</v>
      </c>
      <c r="F210" s="5" t="s">
        <v>3</v>
      </c>
      <c r="I210" s="18">
        <f t="shared" si="100"/>
        <v>40</v>
      </c>
      <c r="J210" s="18">
        <f t="shared" si="100"/>
        <v>40</v>
      </c>
      <c r="K210" s="18">
        <f t="shared" si="100"/>
        <v>40</v>
      </c>
      <c r="L210" s="18">
        <f t="shared" si="101"/>
        <v>40</v>
      </c>
      <c r="M210" s="18">
        <f t="shared" si="101"/>
        <v>40</v>
      </c>
      <c r="N210" s="18">
        <f t="shared" si="101"/>
        <v>40</v>
      </c>
      <c r="O210" s="18">
        <f t="shared" si="101"/>
        <v>40</v>
      </c>
      <c r="P210" s="18">
        <f t="shared" si="101"/>
        <v>40</v>
      </c>
      <c r="Q210" s="18">
        <f t="shared" si="101"/>
        <v>40</v>
      </c>
      <c r="R210" s="18">
        <f t="shared" si="101"/>
        <v>40</v>
      </c>
      <c r="S210" s="18">
        <f t="shared" si="101"/>
        <v>40</v>
      </c>
      <c r="T210" s="18">
        <f t="shared" si="101"/>
        <v>40</v>
      </c>
      <c r="U210" s="18">
        <f t="shared" si="101"/>
        <v>40</v>
      </c>
      <c r="V210" s="18">
        <f t="shared" si="101"/>
        <v>40</v>
      </c>
      <c r="W210" s="18">
        <f t="shared" si="101"/>
        <v>40</v>
      </c>
      <c r="X210" s="18">
        <f t="shared" si="101"/>
        <v>40</v>
      </c>
      <c r="Y210" s="18">
        <f t="shared" si="101"/>
        <v>40</v>
      </c>
      <c r="Z210" s="18">
        <f t="shared" si="101"/>
        <v>40</v>
      </c>
      <c r="AA210" s="18">
        <f t="shared" si="101"/>
        <v>40</v>
      </c>
      <c r="AB210" s="18">
        <f t="shared" si="101"/>
        <v>40</v>
      </c>
      <c r="AC210" s="18">
        <f t="shared" si="101"/>
        <v>40</v>
      </c>
      <c r="AD210" s="18">
        <f t="shared" si="101"/>
        <v>40</v>
      </c>
      <c r="AE210" s="18">
        <f t="shared" si="101"/>
        <v>40</v>
      </c>
      <c r="AF210" s="1"/>
    </row>
    <row r="211" spans="2:32" x14ac:dyDescent="0.2">
      <c r="B211" s="24"/>
      <c r="C211" s="5" t="s">
        <v>709</v>
      </c>
      <c r="D211" s="120"/>
      <c r="E211" s="429">
        <f>SUM(E209:E210)</f>
        <v>155</v>
      </c>
      <c r="F211" s="5" t="s">
        <v>3</v>
      </c>
      <c r="I211" s="18">
        <f>SUM(I209:I210)</f>
        <v>155</v>
      </c>
      <c r="J211" s="18">
        <f>SUM(J209:J210)</f>
        <v>155</v>
      </c>
      <c r="K211" s="18">
        <f>SUM(K209:K210)</f>
        <v>155</v>
      </c>
      <c r="L211" s="18">
        <f t="shared" ref="L211:AE211" si="102">SUM(L209:L210)</f>
        <v>155</v>
      </c>
      <c r="M211" s="18">
        <f t="shared" si="102"/>
        <v>155</v>
      </c>
      <c r="N211" s="18">
        <f t="shared" si="102"/>
        <v>155</v>
      </c>
      <c r="O211" s="18">
        <f t="shared" si="102"/>
        <v>155</v>
      </c>
      <c r="P211" s="18">
        <f t="shared" si="102"/>
        <v>155</v>
      </c>
      <c r="Q211" s="18">
        <f t="shared" si="102"/>
        <v>155</v>
      </c>
      <c r="R211" s="18">
        <f t="shared" si="102"/>
        <v>155</v>
      </c>
      <c r="S211" s="18">
        <f t="shared" si="102"/>
        <v>155</v>
      </c>
      <c r="T211" s="18">
        <f t="shared" si="102"/>
        <v>155</v>
      </c>
      <c r="U211" s="18">
        <f t="shared" si="102"/>
        <v>155</v>
      </c>
      <c r="V211" s="18">
        <f t="shared" si="102"/>
        <v>155</v>
      </c>
      <c r="W211" s="18">
        <f t="shared" si="102"/>
        <v>155</v>
      </c>
      <c r="X211" s="18">
        <f t="shared" si="102"/>
        <v>155</v>
      </c>
      <c r="Y211" s="18">
        <f t="shared" si="102"/>
        <v>155</v>
      </c>
      <c r="Z211" s="18">
        <f t="shared" si="102"/>
        <v>155</v>
      </c>
      <c r="AA211" s="18">
        <f t="shared" si="102"/>
        <v>155</v>
      </c>
      <c r="AB211" s="18">
        <f t="shared" si="102"/>
        <v>155</v>
      </c>
      <c r="AC211" s="18">
        <f t="shared" si="102"/>
        <v>155</v>
      </c>
      <c r="AD211" s="18">
        <f t="shared" si="102"/>
        <v>155</v>
      </c>
      <c r="AE211" s="18">
        <f t="shared" si="102"/>
        <v>155</v>
      </c>
      <c r="AF211" s="1"/>
    </row>
    <row r="212" spans="2:32" x14ac:dyDescent="0.2">
      <c r="B212" s="24"/>
      <c r="C212" s="5" t="s">
        <v>710</v>
      </c>
      <c r="D212" s="146">
        <f>$E$84</f>
        <v>1</v>
      </c>
      <c r="E212" s="97">
        <v>25</v>
      </c>
      <c r="F212" s="5" t="s">
        <v>3</v>
      </c>
      <c r="I212" s="18">
        <f>$E212*$D212</f>
        <v>25</v>
      </c>
      <c r="J212" s="18">
        <f>$E212*$D212</f>
        <v>25</v>
      </c>
      <c r="K212" s="18">
        <f>$E212*$D212</f>
        <v>25</v>
      </c>
      <c r="L212" s="18">
        <f t="shared" ref="L212:AE212" si="103">$E212*$D212</f>
        <v>25</v>
      </c>
      <c r="M212" s="18">
        <f t="shared" si="103"/>
        <v>25</v>
      </c>
      <c r="N212" s="18">
        <f t="shared" si="103"/>
        <v>25</v>
      </c>
      <c r="O212" s="18">
        <f t="shared" si="103"/>
        <v>25</v>
      </c>
      <c r="P212" s="18">
        <f t="shared" si="103"/>
        <v>25</v>
      </c>
      <c r="Q212" s="18">
        <f t="shared" si="103"/>
        <v>25</v>
      </c>
      <c r="R212" s="18">
        <f t="shared" si="103"/>
        <v>25</v>
      </c>
      <c r="S212" s="18">
        <f t="shared" si="103"/>
        <v>25</v>
      </c>
      <c r="T212" s="18">
        <f t="shared" si="103"/>
        <v>25</v>
      </c>
      <c r="U212" s="18">
        <f t="shared" si="103"/>
        <v>25</v>
      </c>
      <c r="V212" s="18">
        <f t="shared" si="103"/>
        <v>25</v>
      </c>
      <c r="W212" s="18">
        <f t="shared" si="103"/>
        <v>25</v>
      </c>
      <c r="X212" s="18">
        <f t="shared" si="103"/>
        <v>25</v>
      </c>
      <c r="Y212" s="18">
        <f t="shared" si="103"/>
        <v>25</v>
      </c>
      <c r="Z212" s="18">
        <f t="shared" si="103"/>
        <v>25</v>
      </c>
      <c r="AA212" s="18">
        <f t="shared" si="103"/>
        <v>25</v>
      </c>
      <c r="AB212" s="18">
        <f t="shared" si="103"/>
        <v>25</v>
      </c>
      <c r="AC212" s="18">
        <f t="shared" si="103"/>
        <v>25</v>
      </c>
      <c r="AD212" s="18">
        <f t="shared" si="103"/>
        <v>25</v>
      </c>
      <c r="AE212" s="18">
        <f t="shared" si="103"/>
        <v>25</v>
      </c>
      <c r="AF212" s="1"/>
    </row>
    <row r="213" spans="2:32" s="5" customFormat="1" x14ac:dyDescent="0.2">
      <c r="B213" s="119"/>
      <c r="C213" s="5" t="s">
        <v>523</v>
      </c>
      <c r="D213" s="20"/>
      <c r="E213" s="429">
        <f>E211-E212</f>
        <v>130</v>
      </c>
      <c r="F213" s="5" t="s">
        <v>3</v>
      </c>
      <c r="I213" s="18">
        <f>I211-I212</f>
        <v>130</v>
      </c>
      <c r="J213" s="18">
        <f>J211-J212</f>
        <v>130</v>
      </c>
      <c r="K213" s="18">
        <f>K211-K212</f>
        <v>130</v>
      </c>
      <c r="L213" s="18">
        <f t="shared" ref="L213:AE213" si="104">L211-L212</f>
        <v>130</v>
      </c>
      <c r="M213" s="18">
        <f t="shared" si="104"/>
        <v>130</v>
      </c>
      <c r="N213" s="18">
        <f t="shared" si="104"/>
        <v>130</v>
      </c>
      <c r="O213" s="18">
        <f t="shared" si="104"/>
        <v>130</v>
      </c>
      <c r="P213" s="18">
        <f t="shared" si="104"/>
        <v>130</v>
      </c>
      <c r="Q213" s="18">
        <f t="shared" si="104"/>
        <v>130</v>
      </c>
      <c r="R213" s="18">
        <f t="shared" si="104"/>
        <v>130</v>
      </c>
      <c r="S213" s="18">
        <f t="shared" si="104"/>
        <v>130</v>
      </c>
      <c r="T213" s="18">
        <f t="shared" si="104"/>
        <v>130</v>
      </c>
      <c r="U213" s="18">
        <f t="shared" si="104"/>
        <v>130</v>
      </c>
      <c r="V213" s="18">
        <f t="shared" si="104"/>
        <v>130</v>
      </c>
      <c r="W213" s="18">
        <f t="shared" si="104"/>
        <v>130</v>
      </c>
      <c r="X213" s="18">
        <f t="shared" si="104"/>
        <v>130</v>
      </c>
      <c r="Y213" s="18">
        <f t="shared" si="104"/>
        <v>130</v>
      </c>
      <c r="Z213" s="18">
        <f t="shared" si="104"/>
        <v>130</v>
      </c>
      <c r="AA213" s="18">
        <f t="shared" si="104"/>
        <v>130</v>
      </c>
      <c r="AB213" s="18">
        <f t="shared" si="104"/>
        <v>130</v>
      </c>
      <c r="AC213" s="18">
        <f t="shared" si="104"/>
        <v>130</v>
      </c>
      <c r="AD213" s="18">
        <f t="shared" si="104"/>
        <v>130</v>
      </c>
      <c r="AE213" s="18">
        <f t="shared" si="104"/>
        <v>130</v>
      </c>
    </row>
    <row r="214" spans="2:32" x14ac:dyDescent="0.2">
      <c r="C214" s="30"/>
      <c r="D214" s="30"/>
      <c r="AF214" s="1"/>
    </row>
    <row r="215" spans="2:32" x14ac:dyDescent="0.2">
      <c r="B215" s="24">
        <f>B189+0.01</f>
        <v>3.11</v>
      </c>
      <c r="C215" s="42" t="s">
        <v>30</v>
      </c>
      <c r="D215" s="42"/>
      <c r="AF215" s="1"/>
    </row>
    <row r="216" spans="2:32" x14ac:dyDescent="0.2">
      <c r="C216" s="30"/>
      <c r="D216" s="261"/>
      <c r="E216" s="261"/>
      <c r="M216" s="17"/>
      <c r="N216" s="17"/>
      <c r="O216" s="17"/>
      <c r="P216" s="17"/>
      <c r="Q216" s="17"/>
      <c r="AF216" s="1"/>
    </row>
    <row r="217" spans="2:32" x14ac:dyDescent="0.2">
      <c r="C217" s="30" t="s">
        <v>712</v>
      </c>
      <c r="D217" s="261"/>
      <c r="E217" s="95">
        <v>30000</v>
      </c>
      <c r="F217" s="1" t="s">
        <v>39</v>
      </c>
      <c r="M217" s="17"/>
      <c r="N217" s="17"/>
      <c r="O217" s="17"/>
      <c r="P217" s="17"/>
      <c r="Q217" s="17"/>
      <c r="AF217" s="1"/>
    </row>
    <row r="218" spans="2:32" x14ac:dyDescent="0.2">
      <c r="C218" s="30" t="s">
        <v>713</v>
      </c>
      <c r="D218" s="261"/>
      <c r="E218" s="95">
        <v>2</v>
      </c>
      <c r="F218" s="1" t="s">
        <v>6</v>
      </c>
      <c r="M218" s="17"/>
      <c r="N218" s="17"/>
      <c r="O218" s="17"/>
      <c r="P218" s="17"/>
      <c r="Q218" s="17"/>
      <c r="AF218" s="1"/>
    </row>
    <row r="219" spans="2:32" x14ac:dyDescent="0.2">
      <c r="C219" s="30" t="s">
        <v>714</v>
      </c>
      <c r="D219" s="261"/>
      <c r="E219" s="95">
        <v>35000</v>
      </c>
      <c r="F219" s="1" t="s">
        <v>715</v>
      </c>
      <c r="M219" s="17"/>
      <c r="N219" s="17"/>
      <c r="O219" s="17"/>
      <c r="P219" s="17"/>
      <c r="Q219" s="17"/>
      <c r="AF219" s="1"/>
    </row>
    <row r="220" spans="2:32" x14ac:dyDescent="0.2">
      <c r="C220" s="30" t="s">
        <v>711</v>
      </c>
      <c r="D220" s="120"/>
      <c r="E220" s="431">
        <f>E217*E218/E219</f>
        <v>1.7142857142857142</v>
      </c>
      <c r="F220" s="1" t="s">
        <v>3</v>
      </c>
      <c r="I220" s="18">
        <f>$E220</f>
        <v>1.7142857142857142</v>
      </c>
      <c r="J220" s="18">
        <f>$E220</f>
        <v>1.7142857142857142</v>
      </c>
      <c r="K220" s="18">
        <f>$E220</f>
        <v>1.7142857142857142</v>
      </c>
      <c r="L220" s="18">
        <f>$E220</f>
        <v>1.7142857142857142</v>
      </c>
      <c r="M220" s="18">
        <f t="shared" ref="M220:AB225" si="105">$E220</f>
        <v>1.7142857142857142</v>
      </c>
      <c r="N220" s="18">
        <f t="shared" si="105"/>
        <v>1.7142857142857142</v>
      </c>
      <c r="O220" s="18">
        <f t="shared" si="105"/>
        <v>1.7142857142857142</v>
      </c>
      <c r="P220" s="18">
        <f t="shared" si="105"/>
        <v>1.7142857142857142</v>
      </c>
      <c r="Q220" s="18">
        <f t="shared" si="105"/>
        <v>1.7142857142857142</v>
      </c>
      <c r="R220" s="18">
        <f t="shared" si="105"/>
        <v>1.7142857142857142</v>
      </c>
      <c r="S220" s="18">
        <f t="shared" si="105"/>
        <v>1.7142857142857142</v>
      </c>
      <c r="T220" s="18">
        <f t="shared" si="105"/>
        <v>1.7142857142857142</v>
      </c>
      <c r="U220" s="18">
        <f t="shared" si="105"/>
        <v>1.7142857142857142</v>
      </c>
      <c r="V220" s="18">
        <f t="shared" si="105"/>
        <v>1.7142857142857142</v>
      </c>
      <c r="W220" s="18">
        <f t="shared" si="105"/>
        <v>1.7142857142857142</v>
      </c>
      <c r="X220" s="18">
        <f t="shared" si="105"/>
        <v>1.7142857142857142</v>
      </c>
      <c r="Y220" s="18">
        <f t="shared" si="105"/>
        <v>1.7142857142857142</v>
      </c>
      <c r="Z220" s="18">
        <f t="shared" si="105"/>
        <v>1.7142857142857142</v>
      </c>
      <c r="AA220" s="18">
        <f t="shared" si="105"/>
        <v>1.7142857142857142</v>
      </c>
      <c r="AB220" s="18">
        <f t="shared" si="105"/>
        <v>1.7142857142857142</v>
      </c>
      <c r="AC220" s="18">
        <f t="shared" ref="AC220:AE225" si="106">$E220</f>
        <v>1.7142857142857142</v>
      </c>
      <c r="AD220" s="18">
        <f t="shared" si="106"/>
        <v>1.7142857142857142</v>
      </c>
      <c r="AE220" s="18">
        <f t="shared" si="106"/>
        <v>1.7142857142857142</v>
      </c>
      <c r="AF220" s="1"/>
    </row>
    <row r="221" spans="2:32" x14ac:dyDescent="0.2">
      <c r="C221" s="30" t="s">
        <v>31</v>
      </c>
      <c r="D221" s="120"/>
      <c r="E221" s="95">
        <v>0</v>
      </c>
      <c r="F221" s="1" t="s">
        <v>3</v>
      </c>
      <c r="I221" s="18">
        <f t="shared" ref="I221:L225" si="107">$E221</f>
        <v>0</v>
      </c>
      <c r="J221" s="18">
        <f t="shared" si="107"/>
        <v>0</v>
      </c>
      <c r="K221" s="18">
        <f t="shared" si="107"/>
        <v>0</v>
      </c>
      <c r="L221" s="18">
        <f t="shared" si="107"/>
        <v>0</v>
      </c>
      <c r="M221" s="18">
        <f t="shared" si="105"/>
        <v>0</v>
      </c>
      <c r="N221" s="18">
        <f t="shared" si="105"/>
        <v>0</v>
      </c>
      <c r="O221" s="18">
        <f t="shared" si="105"/>
        <v>0</v>
      </c>
      <c r="P221" s="18">
        <f t="shared" si="105"/>
        <v>0</v>
      </c>
      <c r="Q221" s="18">
        <f t="shared" si="105"/>
        <v>0</v>
      </c>
      <c r="R221" s="18">
        <f t="shared" si="105"/>
        <v>0</v>
      </c>
      <c r="S221" s="18">
        <f t="shared" si="105"/>
        <v>0</v>
      </c>
      <c r="T221" s="18">
        <f t="shared" si="105"/>
        <v>0</v>
      </c>
      <c r="U221" s="18">
        <f t="shared" si="105"/>
        <v>0</v>
      </c>
      <c r="V221" s="18">
        <f t="shared" si="105"/>
        <v>0</v>
      </c>
      <c r="W221" s="18">
        <f t="shared" si="105"/>
        <v>0</v>
      </c>
      <c r="X221" s="18">
        <f t="shared" si="105"/>
        <v>0</v>
      </c>
      <c r="Y221" s="18">
        <f t="shared" si="105"/>
        <v>0</v>
      </c>
      <c r="Z221" s="18">
        <f t="shared" si="105"/>
        <v>0</v>
      </c>
      <c r="AA221" s="18">
        <f t="shared" si="105"/>
        <v>0</v>
      </c>
      <c r="AB221" s="18">
        <f t="shared" si="105"/>
        <v>0</v>
      </c>
      <c r="AC221" s="18">
        <f t="shared" si="106"/>
        <v>0</v>
      </c>
      <c r="AD221" s="18">
        <f t="shared" si="106"/>
        <v>0</v>
      </c>
      <c r="AE221" s="18">
        <f t="shared" si="106"/>
        <v>0</v>
      </c>
      <c r="AF221" s="1"/>
    </row>
    <row r="222" spans="2:32" x14ac:dyDescent="0.2">
      <c r="C222" s="30" t="s">
        <v>32</v>
      </c>
      <c r="D222" s="120"/>
      <c r="E222" s="95">
        <v>0</v>
      </c>
      <c r="F222" s="1" t="s">
        <v>3</v>
      </c>
      <c r="I222" s="18">
        <f t="shared" si="107"/>
        <v>0</v>
      </c>
      <c r="J222" s="18">
        <f t="shared" si="107"/>
        <v>0</v>
      </c>
      <c r="K222" s="18">
        <f t="shared" si="107"/>
        <v>0</v>
      </c>
      <c r="L222" s="18">
        <f t="shared" si="107"/>
        <v>0</v>
      </c>
      <c r="M222" s="18">
        <f t="shared" si="105"/>
        <v>0</v>
      </c>
      <c r="N222" s="18">
        <f t="shared" si="105"/>
        <v>0</v>
      </c>
      <c r="O222" s="18">
        <f t="shared" si="105"/>
        <v>0</v>
      </c>
      <c r="P222" s="18">
        <f t="shared" si="105"/>
        <v>0</v>
      </c>
      <c r="Q222" s="18">
        <f t="shared" si="105"/>
        <v>0</v>
      </c>
      <c r="R222" s="18">
        <f t="shared" si="105"/>
        <v>0</v>
      </c>
      <c r="S222" s="18">
        <f t="shared" si="105"/>
        <v>0</v>
      </c>
      <c r="T222" s="18">
        <f t="shared" si="105"/>
        <v>0</v>
      </c>
      <c r="U222" s="18">
        <f t="shared" si="105"/>
        <v>0</v>
      </c>
      <c r="V222" s="18">
        <f t="shared" si="105"/>
        <v>0</v>
      </c>
      <c r="W222" s="18">
        <f t="shared" si="105"/>
        <v>0</v>
      </c>
      <c r="X222" s="18">
        <f t="shared" si="105"/>
        <v>0</v>
      </c>
      <c r="Y222" s="18">
        <f t="shared" si="105"/>
        <v>0</v>
      </c>
      <c r="Z222" s="18">
        <f t="shared" si="105"/>
        <v>0</v>
      </c>
      <c r="AA222" s="18">
        <f t="shared" si="105"/>
        <v>0</v>
      </c>
      <c r="AB222" s="18">
        <f t="shared" si="105"/>
        <v>0</v>
      </c>
      <c r="AC222" s="18">
        <f t="shared" si="106"/>
        <v>0</v>
      </c>
      <c r="AD222" s="18">
        <f t="shared" si="106"/>
        <v>0</v>
      </c>
      <c r="AE222" s="18">
        <f t="shared" si="106"/>
        <v>0</v>
      </c>
      <c r="AF222" s="1"/>
    </row>
    <row r="223" spans="2:32" x14ac:dyDescent="0.2">
      <c r="C223" s="30" t="s">
        <v>31</v>
      </c>
      <c r="D223" s="120"/>
      <c r="E223" s="95">
        <v>0</v>
      </c>
      <c r="F223" s="1" t="s">
        <v>3</v>
      </c>
      <c r="I223" s="18">
        <f t="shared" si="107"/>
        <v>0</v>
      </c>
      <c r="J223" s="18">
        <f t="shared" si="107"/>
        <v>0</v>
      </c>
      <c r="K223" s="18">
        <f t="shared" si="107"/>
        <v>0</v>
      </c>
      <c r="L223" s="18">
        <f t="shared" si="107"/>
        <v>0</v>
      </c>
      <c r="M223" s="18">
        <f t="shared" si="105"/>
        <v>0</v>
      </c>
      <c r="N223" s="18">
        <f t="shared" si="105"/>
        <v>0</v>
      </c>
      <c r="O223" s="18">
        <f t="shared" si="105"/>
        <v>0</v>
      </c>
      <c r="P223" s="18">
        <f t="shared" si="105"/>
        <v>0</v>
      </c>
      <c r="Q223" s="18">
        <f t="shared" si="105"/>
        <v>0</v>
      </c>
      <c r="R223" s="18">
        <f t="shared" si="105"/>
        <v>0</v>
      </c>
      <c r="S223" s="18">
        <f t="shared" si="105"/>
        <v>0</v>
      </c>
      <c r="T223" s="18">
        <f t="shared" si="105"/>
        <v>0</v>
      </c>
      <c r="U223" s="18">
        <f t="shared" si="105"/>
        <v>0</v>
      </c>
      <c r="V223" s="18">
        <f t="shared" si="105"/>
        <v>0</v>
      </c>
      <c r="W223" s="18">
        <f t="shared" si="105"/>
        <v>0</v>
      </c>
      <c r="X223" s="18">
        <f t="shared" si="105"/>
        <v>0</v>
      </c>
      <c r="Y223" s="18">
        <f t="shared" si="105"/>
        <v>0</v>
      </c>
      <c r="Z223" s="18">
        <f t="shared" si="105"/>
        <v>0</v>
      </c>
      <c r="AA223" s="18">
        <f t="shared" si="105"/>
        <v>0</v>
      </c>
      <c r="AB223" s="18">
        <f t="shared" si="105"/>
        <v>0</v>
      </c>
      <c r="AC223" s="18">
        <f t="shared" si="106"/>
        <v>0</v>
      </c>
      <c r="AD223" s="18">
        <f t="shared" si="106"/>
        <v>0</v>
      </c>
      <c r="AE223" s="18">
        <f t="shared" si="106"/>
        <v>0</v>
      </c>
      <c r="AF223" s="1"/>
    </row>
    <row r="224" spans="2:32" x14ac:dyDescent="0.2">
      <c r="C224" s="28" t="s">
        <v>33</v>
      </c>
      <c r="D224" s="120"/>
      <c r="E224" s="95">
        <v>0</v>
      </c>
      <c r="F224" s="1" t="s">
        <v>3</v>
      </c>
      <c r="I224" s="18">
        <f t="shared" si="107"/>
        <v>0</v>
      </c>
      <c r="J224" s="18">
        <f t="shared" si="107"/>
        <v>0</v>
      </c>
      <c r="K224" s="18">
        <f t="shared" si="107"/>
        <v>0</v>
      </c>
      <c r="L224" s="18">
        <f t="shared" si="107"/>
        <v>0</v>
      </c>
      <c r="M224" s="18">
        <f t="shared" si="105"/>
        <v>0</v>
      </c>
      <c r="N224" s="18">
        <f t="shared" si="105"/>
        <v>0</v>
      </c>
      <c r="O224" s="18">
        <f t="shared" si="105"/>
        <v>0</v>
      </c>
      <c r="P224" s="18">
        <f t="shared" si="105"/>
        <v>0</v>
      </c>
      <c r="Q224" s="18">
        <f t="shared" si="105"/>
        <v>0</v>
      </c>
      <c r="R224" s="18">
        <f t="shared" si="105"/>
        <v>0</v>
      </c>
      <c r="S224" s="18">
        <f t="shared" si="105"/>
        <v>0</v>
      </c>
      <c r="T224" s="18">
        <f t="shared" si="105"/>
        <v>0</v>
      </c>
      <c r="U224" s="18">
        <f t="shared" si="105"/>
        <v>0</v>
      </c>
      <c r="V224" s="18">
        <f t="shared" si="105"/>
        <v>0</v>
      </c>
      <c r="W224" s="18">
        <f t="shared" si="105"/>
        <v>0</v>
      </c>
      <c r="X224" s="18">
        <f t="shared" si="105"/>
        <v>0</v>
      </c>
      <c r="Y224" s="18">
        <f t="shared" si="105"/>
        <v>0</v>
      </c>
      <c r="Z224" s="18">
        <f t="shared" si="105"/>
        <v>0</v>
      </c>
      <c r="AA224" s="18">
        <f t="shared" si="105"/>
        <v>0</v>
      </c>
      <c r="AB224" s="18">
        <f t="shared" si="105"/>
        <v>0</v>
      </c>
      <c r="AC224" s="18">
        <f t="shared" si="106"/>
        <v>0</v>
      </c>
      <c r="AD224" s="18">
        <f t="shared" si="106"/>
        <v>0</v>
      </c>
      <c r="AE224" s="18">
        <f t="shared" si="106"/>
        <v>0</v>
      </c>
      <c r="AF224" s="1"/>
    </row>
    <row r="225" spans="1:32" x14ac:dyDescent="0.2">
      <c r="C225" s="5" t="s">
        <v>34</v>
      </c>
      <c r="D225" s="120"/>
      <c r="E225" s="95">
        <v>0</v>
      </c>
      <c r="F225" s="1" t="s">
        <v>3</v>
      </c>
      <c r="I225" s="18">
        <f t="shared" si="107"/>
        <v>0</v>
      </c>
      <c r="J225" s="18">
        <f t="shared" si="107"/>
        <v>0</v>
      </c>
      <c r="K225" s="18">
        <f t="shared" si="107"/>
        <v>0</v>
      </c>
      <c r="L225" s="18">
        <f t="shared" si="107"/>
        <v>0</v>
      </c>
      <c r="M225" s="18">
        <f t="shared" si="105"/>
        <v>0</v>
      </c>
      <c r="N225" s="18">
        <f t="shared" si="105"/>
        <v>0</v>
      </c>
      <c r="O225" s="18">
        <f t="shared" si="105"/>
        <v>0</v>
      </c>
      <c r="P225" s="18">
        <f t="shared" si="105"/>
        <v>0</v>
      </c>
      <c r="Q225" s="18">
        <f t="shared" si="105"/>
        <v>0</v>
      </c>
      <c r="R225" s="18">
        <f t="shared" si="105"/>
        <v>0</v>
      </c>
      <c r="S225" s="18">
        <f t="shared" si="105"/>
        <v>0</v>
      </c>
      <c r="T225" s="18">
        <f t="shared" si="105"/>
        <v>0</v>
      </c>
      <c r="U225" s="18">
        <f t="shared" si="105"/>
        <v>0</v>
      </c>
      <c r="V225" s="18">
        <f t="shared" si="105"/>
        <v>0</v>
      </c>
      <c r="W225" s="18">
        <f t="shared" si="105"/>
        <v>0</v>
      </c>
      <c r="X225" s="18">
        <f t="shared" si="105"/>
        <v>0</v>
      </c>
      <c r="Y225" s="18">
        <f t="shared" si="105"/>
        <v>0</v>
      </c>
      <c r="Z225" s="18">
        <f t="shared" si="105"/>
        <v>0</v>
      </c>
      <c r="AA225" s="18">
        <f t="shared" si="105"/>
        <v>0</v>
      </c>
      <c r="AB225" s="18">
        <f t="shared" si="105"/>
        <v>0</v>
      </c>
      <c r="AC225" s="18">
        <f t="shared" si="106"/>
        <v>0</v>
      </c>
      <c r="AD225" s="18">
        <f t="shared" si="106"/>
        <v>0</v>
      </c>
      <c r="AE225" s="18">
        <f t="shared" si="106"/>
        <v>0</v>
      </c>
      <c r="AF225" s="1"/>
    </row>
    <row r="226" spans="1:32" x14ac:dyDescent="0.2">
      <c r="C226" s="5"/>
      <c r="D226" s="5"/>
      <c r="AF226" s="1"/>
    </row>
    <row r="227" spans="1:32" x14ac:dyDescent="0.2">
      <c r="C227" s="5" t="s">
        <v>35</v>
      </c>
      <c r="D227" s="120"/>
      <c r="E227" s="95">
        <v>0</v>
      </c>
      <c r="F227" s="1" t="s">
        <v>6</v>
      </c>
      <c r="I227" s="18">
        <f t="shared" ref="I227:L229" si="108">$E227</f>
        <v>0</v>
      </c>
      <c r="J227" s="18">
        <f t="shared" si="108"/>
        <v>0</v>
      </c>
      <c r="K227" s="18">
        <f t="shared" si="108"/>
        <v>0</v>
      </c>
      <c r="L227" s="18">
        <f t="shared" si="108"/>
        <v>0</v>
      </c>
      <c r="M227" s="18">
        <f t="shared" ref="M227:AE229" si="109">$E227</f>
        <v>0</v>
      </c>
      <c r="N227" s="18">
        <f t="shared" si="109"/>
        <v>0</v>
      </c>
      <c r="O227" s="18">
        <f t="shared" si="109"/>
        <v>0</v>
      </c>
      <c r="P227" s="18">
        <f t="shared" si="109"/>
        <v>0</v>
      </c>
      <c r="Q227" s="18">
        <f t="shared" si="109"/>
        <v>0</v>
      </c>
      <c r="R227" s="18">
        <f t="shared" si="109"/>
        <v>0</v>
      </c>
      <c r="S227" s="18">
        <f t="shared" si="109"/>
        <v>0</v>
      </c>
      <c r="T227" s="18">
        <f t="shared" si="109"/>
        <v>0</v>
      </c>
      <c r="U227" s="18">
        <f t="shared" si="109"/>
        <v>0</v>
      </c>
      <c r="V227" s="18">
        <f t="shared" si="109"/>
        <v>0</v>
      </c>
      <c r="W227" s="18">
        <f t="shared" si="109"/>
        <v>0</v>
      </c>
      <c r="X227" s="18">
        <f t="shared" si="109"/>
        <v>0</v>
      </c>
      <c r="Y227" s="18">
        <f t="shared" si="109"/>
        <v>0</v>
      </c>
      <c r="Z227" s="18">
        <f t="shared" si="109"/>
        <v>0</v>
      </c>
      <c r="AA227" s="18">
        <f t="shared" si="109"/>
        <v>0</v>
      </c>
      <c r="AB227" s="18">
        <f t="shared" si="109"/>
        <v>0</v>
      </c>
      <c r="AC227" s="18">
        <f t="shared" si="109"/>
        <v>0</v>
      </c>
      <c r="AD227" s="18">
        <f t="shared" si="109"/>
        <v>0</v>
      </c>
      <c r="AE227" s="18">
        <f t="shared" si="109"/>
        <v>0</v>
      </c>
      <c r="AF227" s="1"/>
    </row>
    <row r="228" spans="1:32" x14ac:dyDescent="0.2">
      <c r="C228" s="5" t="s">
        <v>36</v>
      </c>
      <c r="D228" s="120"/>
      <c r="E228" s="95">
        <v>0</v>
      </c>
      <c r="F228" s="1" t="s">
        <v>37</v>
      </c>
      <c r="I228" s="18">
        <f t="shared" si="108"/>
        <v>0</v>
      </c>
      <c r="J228" s="18">
        <f t="shared" si="108"/>
        <v>0</v>
      </c>
      <c r="K228" s="18">
        <f t="shared" si="108"/>
        <v>0</v>
      </c>
      <c r="L228" s="18">
        <f t="shared" si="108"/>
        <v>0</v>
      </c>
      <c r="M228" s="18">
        <f t="shared" si="109"/>
        <v>0</v>
      </c>
      <c r="N228" s="18">
        <f t="shared" si="109"/>
        <v>0</v>
      </c>
      <c r="O228" s="18">
        <f t="shared" si="109"/>
        <v>0</v>
      </c>
      <c r="P228" s="18">
        <f t="shared" si="109"/>
        <v>0</v>
      </c>
      <c r="Q228" s="18">
        <f t="shared" si="109"/>
        <v>0</v>
      </c>
      <c r="R228" s="18">
        <f t="shared" si="109"/>
        <v>0</v>
      </c>
      <c r="S228" s="18">
        <f t="shared" si="109"/>
        <v>0</v>
      </c>
      <c r="T228" s="18">
        <f t="shared" si="109"/>
        <v>0</v>
      </c>
      <c r="U228" s="18">
        <f t="shared" si="109"/>
        <v>0</v>
      </c>
      <c r="V228" s="18">
        <f t="shared" si="109"/>
        <v>0</v>
      </c>
      <c r="W228" s="18">
        <f t="shared" si="109"/>
        <v>0</v>
      </c>
      <c r="X228" s="18">
        <f t="shared" si="109"/>
        <v>0</v>
      </c>
      <c r="Y228" s="18">
        <f t="shared" si="109"/>
        <v>0</v>
      </c>
      <c r="Z228" s="18">
        <f t="shared" si="109"/>
        <v>0</v>
      </c>
      <c r="AA228" s="18">
        <f t="shared" si="109"/>
        <v>0</v>
      </c>
      <c r="AB228" s="18">
        <f t="shared" si="109"/>
        <v>0</v>
      </c>
      <c r="AC228" s="18">
        <f t="shared" si="109"/>
        <v>0</v>
      </c>
      <c r="AD228" s="18">
        <f t="shared" si="109"/>
        <v>0</v>
      </c>
      <c r="AE228" s="18">
        <f t="shared" si="109"/>
        <v>0</v>
      </c>
      <c r="AF228" s="1"/>
    </row>
    <row r="229" spans="1:32" x14ac:dyDescent="0.2">
      <c r="C229" s="5" t="s">
        <v>38</v>
      </c>
      <c r="D229" s="120"/>
      <c r="E229" s="95">
        <v>0</v>
      </c>
      <c r="F229" s="1" t="s">
        <v>39</v>
      </c>
      <c r="I229" s="18">
        <f t="shared" si="108"/>
        <v>0</v>
      </c>
      <c r="J229" s="18">
        <f t="shared" si="108"/>
        <v>0</v>
      </c>
      <c r="K229" s="18">
        <f t="shared" si="108"/>
        <v>0</v>
      </c>
      <c r="L229" s="18">
        <f t="shared" si="108"/>
        <v>0</v>
      </c>
      <c r="M229" s="18">
        <f t="shared" si="109"/>
        <v>0</v>
      </c>
      <c r="N229" s="18">
        <f t="shared" si="109"/>
        <v>0</v>
      </c>
      <c r="O229" s="18">
        <f t="shared" si="109"/>
        <v>0</v>
      </c>
      <c r="P229" s="18">
        <f t="shared" si="109"/>
        <v>0</v>
      </c>
      <c r="Q229" s="18">
        <f t="shared" si="109"/>
        <v>0</v>
      </c>
      <c r="R229" s="18">
        <f t="shared" si="109"/>
        <v>0</v>
      </c>
      <c r="S229" s="18">
        <f t="shared" si="109"/>
        <v>0</v>
      </c>
      <c r="T229" s="18">
        <f t="shared" si="109"/>
        <v>0</v>
      </c>
      <c r="U229" s="18">
        <f t="shared" si="109"/>
        <v>0</v>
      </c>
      <c r="V229" s="18">
        <f t="shared" si="109"/>
        <v>0</v>
      </c>
      <c r="W229" s="18">
        <f t="shared" si="109"/>
        <v>0</v>
      </c>
      <c r="X229" s="18">
        <f t="shared" si="109"/>
        <v>0</v>
      </c>
      <c r="Y229" s="18">
        <f t="shared" si="109"/>
        <v>0</v>
      </c>
      <c r="Z229" s="18">
        <f t="shared" si="109"/>
        <v>0</v>
      </c>
      <c r="AA229" s="18">
        <f t="shared" si="109"/>
        <v>0</v>
      </c>
      <c r="AB229" s="18">
        <f t="shared" si="109"/>
        <v>0</v>
      </c>
      <c r="AC229" s="18">
        <f t="shared" si="109"/>
        <v>0</v>
      </c>
      <c r="AD229" s="18">
        <f t="shared" si="109"/>
        <v>0</v>
      </c>
      <c r="AE229" s="18">
        <f t="shared" si="109"/>
        <v>0</v>
      </c>
      <c r="AF229" s="1"/>
    </row>
    <row r="230" spans="1:32" x14ac:dyDescent="0.2">
      <c r="C230" s="5" t="s">
        <v>363</v>
      </c>
      <c r="D230" s="5"/>
      <c r="F230" s="1" t="s">
        <v>3</v>
      </c>
      <c r="I230" s="21">
        <f>IFERROR(I227*I228*I229/I$191/1000000,0)</f>
        <v>0</v>
      </c>
      <c r="J230" s="21">
        <f t="shared" ref="J230:AE230" si="110">IFERROR(J227*J228*J229/J$191/1000000,0)</f>
        <v>0</v>
      </c>
      <c r="K230" s="21">
        <f t="shared" si="110"/>
        <v>0</v>
      </c>
      <c r="L230" s="21">
        <f t="shared" si="110"/>
        <v>0</v>
      </c>
      <c r="M230" s="21">
        <f t="shared" si="110"/>
        <v>0</v>
      </c>
      <c r="N230" s="21">
        <f t="shared" si="110"/>
        <v>0</v>
      </c>
      <c r="O230" s="21">
        <f t="shared" si="110"/>
        <v>0</v>
      </c>
      <c r="P230" s="21">
        <f t="shared" si="110"/>
        <v>0</v>
      </c>
      <c r="Q230" s="21">
        <f t="shared" si="110"/>
        <v>0</v>
      </c>
      <c r="R230" s="21">
        <f t="shared" si="110"/>
        <v>0</v>
      </c>
      <c r="S230" s="21">
        <f t="shared" si="110"/>
        <v>0</v>
      </c>
      <c r="T230" s="21">
        <f t="shared" si="110"/>
        <v>0</v>
      </c>
      <c r="U230" s="21">
        <f t="shared" si="110"/>
        <v>0</v>
      </c>
      <c r="V230" s="21">
        <f t="shared" si="110"/>
        <v>0</v>
      </c>
      <c r="W230" s="21">
        <f t="shared" si="110"/>
        <v>0</v>
      </c>
      <c r="X230" s="21">
        <f t="shared" si="110"/>
        <v>0</v>
      </c>
      <c r="Y230" s="21">
        <f t="shared" si="110"/>
        <v>0</v>
      </c>
      <c r="Z230" s="21">
        <f t="shared" si="110"/>
        <v>0</v>
      </c>
      <c r="AA230" s="21">
        <f t="shared" si="110"/>
        <v>0</v>
      </c>
      <c r="AB230" s="21">
        <f t="shared" si="110"/>
        <v>0</v>
      </c>
      <c r="AC230" s="21">
        <f t="shared" si="110"/>
        <v>0</v>
      </c>
      <c r="AD230" s="21">
        <f t="shared" si="110"/>
        <v>0</v>
      </c>
      <c r="AE230" s="21">
        <f t="shared" si="110"/>
        <v>0</v>
      </c>
      <c r="AF230" s="1"/>
    </row>
    <row r="231" spans="1:32" x14ac:dyDescent="0.2">
      <c r="C231" s="5"/>
      <c r="D231" s="5"/>
      <c r="AF231" s="1"/>
    </row>
    <row r="232" spans="1:32" x14ac:dyDescent="0.2">
      <c r="C232" s="5" t="s">
        <v>40</v>
      </c>
      <c r="D232" s="120"/>
      <c r="E232" s="95">
        <v>0</v>
      </c>
      <c r="F232" s="1" t="s">
        <v>6</v>
      </c>
      <c r="I232" s="18">
        <f t="shared" ref="I232:L234" si="111">$E232</f>
        <v>0</v>
      </c>
      <c r="J232" s="18">
        <f t="shared" si="111"/>
        <v>0</v>
      </c>
      <c r="K232" s="18">
        <f t="shared" si="111"/>
        <v>0</v>
      </c>
      <c r="L232" s="18">
        <f t="shared" si="111"/>
        <v>0</v>
      </c>
      <c r="M232" s="18">
        <f t="shared" ref="M232:AE234" si="112">$E232</f>
        <v>0</v>
      </c>
      <c r="N232" s="18">
        <f t="shared" si="112"/>
        <v>0</v>
      </c>
      <c r="O232" s="18">
        <f t="shared" si="112"/>
        <v>0</v>
      </c>
      <c r="P232" s="18">
        <f t="shared" si="112"/>
        <v>0</v>
      </c>
      <c r="Q232" s="18">
        <f t="shared" si="112"/>
        <v>0</v>
      </c>
      <c r="R232" s="18">
        <f t="shared" si="112"/>
        <v>0</v>
      </c>
      <c r="S232" s="18">
        <f t="shared" si="112"/>
        <v>0</v>
      </c>
      <c r="T232" s="18">
        <f t="shared" si="112"/>
        <v>0</v>
      </c>
      <c r="U232" s="18">
        <f t="shared" si="112"/>
        <v>0</v>
      </c>
      <c r="V232" s="18">
        <f t="shared" si="112"/>
        <v>0</v>
      </c>
      <c r="W232" s="18">
        <f t="shared" si="112"/>
        <v>0</v>
      </c>
      <c r="X232" s="18">
        <f t="shared" si="112"/>
        <v>0</v>
      </c>
      <c r="Y232" s="18">
        <f t="shared" si="112"/>
        <v>0</v>
      </c>
      <c r="Z232" s="18">
        <f t="shared" si="112"/>
        <v>0</v>
      </c>
      <c r="AA232" s="18">
        <f t="shared" si="112"/>
        <v>0</v>
      </c>
      <c r="AB232" s="18">
        <f t="shared" si="112"/>
        <v>0</v>
      </c>
      <c r="AC232" s="18">
        <f t="shared" si="112"/>
        <v>0</v>
      </c>
      <c r="AD232" s="18">
        <f t="shared" si="112"/>
        <v>0</v>
      </c>
      <c r="AE232" s="18">
        <f t="shared" si="112"/>
        <v>0</v>
      </c>
      <c r="AF232" s="1"/>
    </row>
    <row r="233" spans="1:32" x14ac:dyDescent="0.2">
      <c r="C233" s="5" t="s">
        <v>36</v>
      </c>
      <c r="D233" s="120"/>
      <c r="E233" s="95">
        <v>0</v>
      </c>
      <c r="F233" s="1" t="s">
        <v>37</v>
      </c>
      <c r="I233" s="18">
        <f t="shared" si="111"/>
        <v>0</v>
      </c>
      <c r="J233" s="18">
        <f t="shared" si="111"/>
        <v>0</v>
      </c>
      <c r="K233" s="18">
        <f t="shared" si="111"/>
        <v>0</v>
      </c>
      <c r="L233" s="18">
        <f t="shared" si="111"/>
        <v>0</v>
      </c>
      <c r="M233" s="18">
        <f t="shared" si="112"/>
        <v>0</v>
      </c>
      <c r="N233" s="18">
        <f t="shared" si="112"/>
        <v>0</v>
      </c>
      <c r="O233" s="18">
        <f t="shared" si="112"/>
        <v>0</v>
      </c>
      <c r="P233" s="18">
        <f t="shared" si="112"/>
        <v>0</v>
      </c>
      <c r="Q233" s="18">
        <f t="shared" si="112"/>
        <v>0</v>
      </c>
      <c r="R233" s="18">
        <f t="shared" si="112"/>
        <v>0</v>
      </c>
      <c r="S233" s="18">
        <f t="shared" si="112"/>
        <v>0</v>
      </c>
      <c r="T233" s="18">
        <f t="shared" si="112"/>
        <v>0</v>
      </c>
      <c r="U233" s="18">
        <f t="shared" si="112"/>
        <v>0</v>
      </c>
      <c r="V233" s="18">
        <f t="shared" si="112"/>
        <v>0</v>
      </c>
      <c r="W233" s="18">
        <f t="shared" si="112"/>
        <v>0</v>
      </c>
      <c r="X233" s="18">
        <f t="shared" si="112"/>
        <v>0</v>
      </c>
      <c r="Y233" s="18">
        <f t="shared" si="112"/>
        <v>0</v>
      </c>
      <c r="Z233" s="18">
        <f t="shared" si="112"/>
        <v>0</v>
      </c>
      <c r="AA233" s="18">
        <f t="shared" si="112"/>
        <v>0</v>
      </c>
      <c r="AB233" s="18">
        <f t="shared" si="112"/>
        <v>0</v>
      </c>
      <c r="AC233" s="18">
        <f t="shared" si="112"/>
        <v>0</v>
      </c>
      <c r="AD233" s="18">
        <f t="shared" si="112"/>
        <v>0</v>
      </c>
      <c r="AE233" s="18">
        <f t="shared" si="112"/>
        <v>0</v>
      </c>
      <c r="AF233" s="1"/>
    </row>
    <row r="234" spans="1:32" x14ac:dyDescent="0.2">
      <c r="C234" s="5" t="s">
        <v>41</v>
      </c>
      <c r="D234" s="120"/>
      <c r="E234" s="95">
        <v>0</v>
      </c>
      <c r="F234" s="1" t="s">
        <v>39</v>
      </c>
      <c r="I234" s="18">
        <f t="shared" si="111"/>
        <v>0</v>
      </c>
      <c r="J234" s="18">
        <f t="shared" si="111"/>
        <v>0</v>
      </c>
      <c r="K234" s="18">
        <f t="shared" si="111"/>
        <v>0</v>
      </c>
      <c r="L234" s="18">
        <f t="shared" si="111"/>
        <v>0</v>
      </c>
      <c r="M234" s="18">
        <f t="shared" si="112"/>
        <v>0</v>
      </c>
      <c r="N234" s="18">
        <f t="shared" si="112"/>
        <v>0</v>
      </c>
      <c r="O234" s="18">
        <f t="shared" si="112"/>
        <v>0</v>
      </c>
      <c r="P234" s="18">
        <f t="shared" si="112"/>
        <v>0</v>
      </c>
      <c r="Q234" s="18">
        <f t="shared" si="112"/>
        <v>0</v>
      </c>
      <c r="R234" s="18">
        <f t="shared" si="112"/>
        <v>0</v>
      </c>
      <c r="S234" s="18">
        <f t="shared" si="112"/>
        <v>0</v>
      </c>
      <c r="T234" s="18">
        <f t="shared" si="112"/>
        <v>0</v>
      </c>
      <c r="U234" s="18">
        <f t="shared" si="112"/>
        <v>0</v>
      </c>
      <c r="V234" s="18">
        <f t="shared" si="112"/>
        <v>0</v>
      </c>
      <c r="W234" s="18">
        <f t="shared" si="112"/>
        <v>0</v>
      </c>
      <c r="X234" s="18">
        <f t="shared" si="112"/>
        <v>0</v>
      </c>
      <c r="Y234" s="18">
        <f t="shared" si="112"/>
        <v>0</v>
      </c>
      <c r="Z234" s="18">
        <f t="shared" si="112"/>
        <v>0</v>
      </c>
      <c r="AA234" s="18">
        <f t="shared" si="112"/>
        <v>0</v>
      </c>
      <c r="AB234" s="18">
        <f t="shared" si="112"/>
        <v>0</v>
      </c>
      <c r="AC234" s="18">
        <f t="shared" si="112"/>
        <v>0</v>
      </c>
      <c r="AD234" s="18">
        <f t="shared" si="112"/>
        <v>0</v>
      </c>
      <c r="AE234" s="18">
        <f t="shared" si="112"/>
        <v>0</v>
      </c>
      <c r="AF234" s="1"/>
    </row>
    <row r="235" spans="1:32" x14ac:dyDescent="0.2">
      <c r="C235" s="5" t="s">
        <v>42</v>
      </c>
      <c r="D235" s="5"/>
      <c r="F235" s="1" t="s">
        <v>3</v>
      </c>
      <c r="I235" s="21">
        <f>IFERROR(I232*I233*I234/I$191/1000000,0)</f>
        <v>0</v>
      </c>
      <c r="J235" s="21">
        <f t="shared" ref="J235:AE235" si="113">IFERROR(J232*J233*J234/J$191/1000000,0)</f>
        <v>0</v>
      </c>
      <c r="K235" s="21">
        <f t="shared" si="113"/>
        <v>0</v>
      </c>
      <c r="L235" s="21">
        <f t="shared" si="113"/>
        <v>0</v>
      </c>
      <c r="M235" s="21">
        <f t="shared" si="113"/>
        <v>0</v>
      </c>
      <c r="N235" s="21">
        <f t="shared" si="113"/>
        <v>0</v>
      </c>
      <c r="O235" s="21">
        <f t="shared" si="113"/>
        <v>0</v>
      </c>
      <c r="P235" s="21">
        <f t="shared" si="113"/>
        <v>0</v>
      </c>
      <c r="Q235" s="21">
        <f t="shared" si="113"/>
        <v>0</v>
      </c>
      <c r="R235" s="21">
        <f t="shared" si="113"/>
        <v>0</v>
      </c>
      <c r="S235" s="21">
        <f t="shared" si="113"/>
        <v>0</v>
      </c>
      <c r="T235" s="21">
        <f t="shared" si="113"/>
        <v>0</v>
      </c>
      <c r="U235" s="21">
        <f t="shared" si="113"/>
        <v>0</v>
      </c>
      <c r="V235" s="21">
        <f t="shared" si="113"/>
        <v>0</v>
      </c>
      <c r="W235" s="21">
        <f t="shared" si="113"/>
        <v>0</v>
      </c>
      <c r="X235" s="21">
        <f t="shared" si="113"/>
        <v>0</v>
      </c>
      <c r="Y235" s="21">
        <f t="shared" si="113"/>
        <v>0</v>
      </c>
      <c r="Z235" s="21">
        <f t="shared" si="113"/>
        <v>0</v>
      </c>
      <c r="AA235" s="21">
        <f t="shared" si="113"/>
        <v>0</v>
      </c>
      <c r="AB235" s="21">
        <f t="shared" si="113"/>
        <v>0</v>
      </c>
      <c r="AC235" s="21">
        <f t="shared" si="113"/>
        <v>0</v>
      </c>
      <c r="AD235" s="21">
        <f t="shared" si="113"/>
        <v>0</v>
      </c>
      <c r="AE235" s="21">
        <f t="shared" si="113"/>
        <v>0</v>
      </c>
      <c r="AF235" s="1"/>
    </row>
    <row r="236" spans="1:32" x14ac:dyDescent="0.2">
      <c r="C236" s="5"/>
      <c r="D236" s="5"/>
      <c r="AF236" s="1"/>
    </row>
    <row r="237" spans="1:32" x14ac:dyDescent="0.2">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AE237" si="114">M235+M230+SUM(M220:M225)</f>
        <v>1.7142857142857142</v>
      </c>
      <c r="N237" s="44">
        <f t="shared" si="114"/>
        <v>1.7142857142857142</v>
      </c>
      <c r="O237" s="44">
        <f t="shared" si="114"/>
        <v>1.7142857142857142</v>
      </c>
      <c r="P237" s="44">
        <f t="shared" si="114"/>
        <v>1.7142857142857142</v>
      </c>
      <c r="Q237" s="44">
        <f t="shared" si="114"/>
        <v>1.7142857142857142</v>
      </c>
      <c r="R237" s="44">
        <f t="shared" si="114"/>
        <v>1.7142857142857142</v>
      </c>
      <c r="S237" s="44">
        <f t="shared" si="114"/>
        <v>1.7142857142857142</v>
      </c>
      <c r="T237" s="44">
        <f t="shared" si="114"/>
        <v>1.7142857142857142</v>
      </c>
      <c r="U237" s="44">
        <f t="shared" si="114"/>
        <v>1.7142857142857142</v>
      </c>
      <c r="V237" s="44">
        <f t="shared" si="114"/>
        <v>1.7142857142857142</v>
      </c>
      <c r="W237" s="44">
        <f t="shared" si="114"/>
        <v>1.7142857142857142</v>
      </c>
      <c r="X237" s="44">
        <f t="shared" si="114"/>
        <v>1.7142857142857142</v>
      </c>
      <c r="Y237" s="44">
        <f t="shared" si="114"/>
        <v>1.7142857142857142</v>
      </c>
      <c r="Z237" s="44">
        <f t="shared" si="114"/>
        <v>1.7142857142857142</v>
      </c>
      <c r="AA237" s="44">
        <f t="shared" si="114"/>
        <v>1.7142857142857142</v>
      </c>
      <c r="AB237" s="44">
        <f t="shared" si="114"/>
        <v>1.7142857142857142</v>
      </c>
      <c r="AC237" s="44">
        <f t="shared" si="114"/>
        <v>1.7142857142857142</v>
      </c>
      <c r="AD237" s="44">
        <f t="shared" si="114"/>
        <v>1.7142857142857142</v>
      </c>
      <c r="AE237" s="44">
        <f t="shared" si="114"/>
        <v>1.7142857142857142</v>
      </c>
      <c r="AF237" s="1"/>
    </row>
    <row r="238" spans="1:32" x14ac:dyDescent="0.2">
      <c r="A238" s="5"/>
      <c r="C238" s="5"/>
      <c r="D238" s="5"/>
      <c r="AF238" s="1"/>
    </row>
    <row r="239" spans="1:32" x14ac:dyDescent="0.2">
      <c r="B239" s="24">
        <f>B215+0.01</f>
        <v>3.1199999999999997</v>
      </c>
      <c r="C239" s="20" t="s">
        <v>780</v>
      </c>
      <c r="D239" s="5"/>
      <c r="AF239" s="1"/>
    </row>
    <row r="240" spans="1:32" x14ac:dyDescent="0.2">
      <c r="C240" s="5"/>
      <c r="D240" s="11" t="s">
        <v>685</v>
      </c>
      <c r="AF240" s="1"/>
    </row>
    <row r="241" spans="2:32" x14ac:dyDescent="0.2">
      <c r="C241" s="5" t="s">
        <v>781</v>
      </c>
      <c r="D241" s="95">
        <v>1.45</v>
      </c>
      <c r="E241" s="431">
        <f>D241*E14</f>
        <v>1.1165</v>
      </c>
      <c r="F241" s="1" t="s">
        <v>3</v>
      </c>
      <c r="I241" s="18">
        <f t="shared" ref="I241:L243" si="115">$E241</f>
        <v>1.1165</v>
      </c>
      <c r="J241" s="18">
        <f t="shared" si="115"/>
        <v>1.1165</v>
      </c>
      <c r="K241" s="18">
        <f t="shared" si="115"/>
        <v>1.1165</v>
      </c>
      <c r="L241" s="18">
        <f t="shared" si="115"/>
        <v>1.1165</v>
      </c>
      <c r="M241" s="18">
        <f t="shared" ref="M241:AB243" si="116">$E241</f>
        <v>1.1165</v>
      </c>
      <c r="N241" s="18">
        <f t="shared" si="116"/>
        <v>1.1165</v>
      </c>
      <c r="O241" s="18">
        <f t="shared" si="116"/>
        <v>1.1165</v>
      </c>
      <c r="P241" s="18">
        <f t="shared" si="116"/>
        <v>1.1165</v>
      </c>
      <c r="Q241" s="18">
        <f t="shared" si="116"/>
        <v>1.1165</v>
      </c>
      <c r="R241" s="18">
        <f t="shared" si="116"/>
        <v>1.1165</v>
      </c>
      <c r="S241" s="18">
        <f t="shared" si="116"/>
        <v>1.1165</v>
      </c>
      <c r="T241" s="18">
        <f t="shared" si="116"/>
        <v>1.1165</v>
      </c>
      <c r="U241" s="18">
        <f t="shared" si="116"/>
        <v>1.1165</v>
      </c>
      <c r="V241" s="18">
        <f t="shared" si="116"/>
        <v>1.1165</v>
      </c>
      <c r="W241" s="18">
        <f t="shared" si="116"/>
        <v>1.1165</v>
      </c>
      <c r="X241" s="18">
        <f t="shared" si="116"/>
        <v>1.1165</v>
      </c>
      <c r="Y241" s="18">
        <f t="shared" si="116"/>
        <v>1.1165</v>
      </c>
      <c r="Z241" s="18">
        <f t="shared" si="116"/>
        <v>1.1165</v>
      </c>
      <c r="AA241" s="18">
        <f t="shared" si="116"/>
        <v>1.1165</v>
      </c>
      <c r="AB241" s="18">
        <f t="shared" si="116"/>
        <v>1.1165</v>
      </c>
      <c r="AC241" s="18">
        <f t="shared" ref="AC241:AE243" si="117">$E241</f>
        <v>1.1165</v>
      </c>
      <c r="AD241" s="18">
        <f t="shared" si="117"/>
        <v>1.1165</v>
      </c>
      <c r="AE241" s="18">
        <f t="shared" si="117"/>
        <v>1.1165</v>
      </c>
      <c r="AF241" s="1"/>
    </row>
    <row r="242" spans="2:32" x14ac:dyDescent="0.2">
      <c r="C242" s="5" t="s">
        <v>705</v>
      </c>
      <c r="D242" s="120"/>
      <c r="E242" s="95">
        <v>0</v>
      </c>
      <c r="F242" s="1" t="s">
        <v>3</v>
      </c>
      <c r="I242" s="18">
        <f t="shared" si="115"/>
        <v>0</v>
      </c>
      <c r="J242" s="18">
        <f t="shared" si="115"/>
        <v>0</v>
      </c>
      <c r="K242" s="18">
        <f t="shared" si="115"/>
        <v>0</v>
      </c>
      <c r="L242" s="18">
        <f t="shared" si="115"/>
        <v>0</v>
      </c>
      <c r="M242" s="18">
        <f t="shared" si="116"/>
        <v>0</v>
      </c>
      <c r="N242" s="18">
        <f t="shared" si="116"/>
        <v>0</v>
      </c>
      <c r="O242" s="18">
        <f t="shared" si="116"/>
        <v>0</v>
      </c>
      <c r="P242" s="18">
        <f t="shared" si="116"/>
        <v>0</v>
      </c>
      <c r="Q242" s="18">
        <f t="shared" si="116"/>
        <v>0</v>
      </c>
      <c r="R242" s="18">
        <f t="shared" si="116"/>
        <v>0</v>
      </c>
      <c r="S242" s="18">
        <f t="shared" si="116"/>
        <v>0</v>
      </c>
      <c r="T242" s="18">
        <f t="shared" si="116"/>
        <v>0</v>
      </c>
      <c r="U242" s="18">
        <f t="shared" si="116"/>
        <v>0</v>
      </c>
      <c r="V242" s="18">
        <f t="shared" si="116"/>
        <v>0</v>
      </c>
      <c r="W242" s="18">
        <f t="shared" si="116"/>
        <v>0</v>
      </c>
      <c r="X242" s="18">
        <f t="shared" si="116"/>
        <v>0</v>
      </c>
      <c r="Y242" s="18">
        <f t="shared" si="116"/>
        <v>0</v>
      </c>
      <c r="Z242" s="18">
        <f t="shared" si="116"/>
        <v>0</v>
      </c>
      <c r="AA242" s="18">
        <f t="shared" si="116"/>
        <v>0</v>
      </c>
      <c r="AB242" s="18">
        <f t="shared" si="116"/>
        <v>0</v>
      </c>
      <c r="AC242" s="18">
        <f t="shared" si="117"/>
        <v>0</v>
      </c>
      <c r="AD242" s="18">
        <f t="shared" si="117"/>
        <v>0</v>
      </c>
      <c r="AE242" s="18">
        <f t="shared" si="117"/>
        <v>0</v>
      </c>
      <c r="AF242" s="1"/>
    </row>
    <row r="243" spans="2:32" x14ac:dyDescent="0.2">
      <c r="C243" s="5" t="s">
        <v>44</v>
      </c>
      <c r="D243" s="95">
        <v>2</v>
      </c>
      <c r="E243" s="431">
        <f>D243*E14</f>
        <v>1.54</v>
      </c>
      <c r="F243" s="1" t="s">
        <v>3</v>
      </c>
      <c r="I243" s="18">
        <f t="shared" si="115"/>
        <v>1.54</v>
      </c>
      <c r="J243" s="18">
        <f t="shared" si="115"/>
        <v>1.54</v>
      </c>
      <c r="K243" s="18">
        <f t="shared" si="115"/>
        <v>1.54</v>
      </c>
      <c r="L243" s="18">
        <f t="shared" si="115"/>
        <v>1.54</v>
      </c>
      <c r="M243" s="18">
        <f t="shared" si="116"/>
        <v>1.54</v>
      </c>
      <c r="N243" s="18">
        <f t="shared" si="116"/>
        <v>1.54</v>
      </c>
      <c r="O243" s="18">
        <f t="shared" si="116"/>
        <v>1.54</v>
      </c>
      <c r="P243" s="18">
        <f t="shared" si="116"/>
        <v>1.54</v>
      </c>
      <c r="Q243" s="18">
        <f t="shared" si="116"/>
        <v>1.54</v>
      </c>
      <c r="R243" s="18">
        <f t="shared" si="116"/>
        <v>1.54</v>
      </c>
      <c r="S243" s="18">
        <f t="shared" si="116"/>
        <v>1.54</v>
      </c>
      <c r="T243" s="18">
        <f t="shared" si="116"/>
        <v>1.54</v>
      </c>
      <c r="U243" s="18">
        <f t="shared" si="116"/>
        <v>1.54</v>
      </c>
      <c r="V243" s="18">
        <f t="shared" si="116"/>
        <v>1.54</v>
      </c>
      <c r="W243" s="18">
        <f t="shared" si="116"/>
        <v>1.54</v>
      </c>
      <c r="X243" s="18">
        <f t="shared" si="116"/>
        <v>1.54</v>
      </c>
      <c r="Y243" s="18">
        <f t="shared" si="116"/>
        <v>1.54</v>
      </c>
      <c r="Z243" s="18">
        <f t="shared" si="116"/>
        <v>1.54</v>
      </c>
      <c r="AA243" s="18">
        <f t="shared" si="116"/>
        <v>1.54</v>
      </c>
      <c r="AB243" s="18">
        <f t="shared" si="116"/>
        <v>1.54</v>
      </c>
      <c r="AC243" s="18">
        <f t="shared" si="117"/>
        <v>1.54</v>
      </c>
      <c r="AD243" s="18">
        <f t="shared" si="117"/>
        <v>1.54</v>
      </c>
      <c r="AE243" s="18">
        <f t="shared" si="117"/>
        <v>1.54</v>
      </c>
      <c r="AF243" s="1"/>
    </row>
    <row r="244" spans="2:32" ht="14.25" x14ac:dyDescent="0.2">
      <c r="C244" s="5"/>
      <c r="D244" s="5"/>
      <c r="I244" s="150"/>
      <c r="J244" s="150"/>
      <c r="K244" s="150"/>
      <c r="L244" s="150"/>
      <c r="M244" s="21"/>
      <c r="N244" s="21"/>
      <c r="O244" s="21"/>
      <c r="P244" s="21"/>
      <c r="Q244" s="21"/>
      <c r="R244" s="21"/>
      <c r="S244" s="21"/>
      <c r="T244" s="21"/>
      <c r="U244" s="21"/>
      <c r="V244" s="21"/>
      <c r="W244" s="21"/>
      <c r="X244" s="21"/>
      <c r="Y244" s="21"/>
      <c r="Z244" s="21"/>
      <c r="AA244" s="21"/>
      <c r="AB244" s="21"/>
      <c r="AC244" s="21"/>
      <c r="AD244" s="21"/>
      <c r="AE244" s="21"/>
      <c r="AF244" s="1"/>
    </row>
    <row r="245" spans="2:32" x14ac:dyDescent="0.2">
      <c r="C245" s="20" t="s">
        <v>45</v>
      </c>
      <c r="D245" s="20"/>
      <c r="E245" s="9"/>
      <c r="F245" s="9" t="s">
        <v>3</v>
      </c>
      <c r="G245" s="9"/>
      <c r="H245" s="9"/>
      <c r="I245" s="44">
        <f>I241+I242+I243</f>
        <v>2.6565000000000003</v>
      </c>
      <c r="J245" s="44">
        <f>J241+J242+J243</f>
        <v>2.6565000000000003</v>
      </c>
      <c r="K245" s="44">
        <f>K241+K242+K243</f>
        <v>2.6565000000000003</v>
      </c>
      <c r="L245" s="44">
        <f>L241+L242+L243</f>
        <v>2.6565000000000003</v>
      </c>
      <c r="M245" s="44">
        <f t="shared" ref="M245:AE245" si="118">M241+M242+M243</f>
        <v>2.6565000000000003</v>
      </c>
      <c r="N245" s="44">
        <f t="shared" si="118"/>
        <v>2.6565000000000003</v>
      </c>
      <c r="O245" s="44">
        <f t="shared" si="118"/>
        <v>2.6565000000000003</v>
      </c>
      <c r="P245" s="44">
        <f t="shared" si="118"/>
        <v>2.6565000000000003</v>
      </c>
      <c r="Q245" s="44">
        <f t="shared" si="118"/>
        <v>2.6565000000000003</v>
      </c>
      <c r="R245" s="44">
        <f t="shared" si="118"/>
        <v>2.6565000000000003</v>
      </c>
      <c r="S245" s="44">
        <f t="shared" si="118"/>
        <v>2.6565000000000003</v>
      </c>
      <c r="T245" s="44">
        <f t="shared" si="118"/>
        <v>2.6565000000000003</v>
      </c>
      <c r="U245" s="44">
        <f t="shared" si="118"/>
        <v>2.6565000000000003</v>
      </c>
      <c r="V245" s="44">
        <f t="shared" si="118"/>
        <v>2.6565000000000003</v>
      </c>
      <c r="W245" s="44">
        <f t="shared" si="118"/>
        <v>2.6565000000000003</v>
      </c>
      <c r="X245" s="44">
        <f t="shared" si="118"/>
        <v>2.6565000000000003</v>
      </c>
      <c r="Y245" s="44">
        <f t="shared" si="118"/>
        <v>2.6565000000000003</v>
      </c>
      <c r="Z245" s="44">
        <f t="shared" si="118"/>
        <v>2.6565000000000003</v>
      </c>
      <c r="AA245" s="44">
        <f t="shared" si="118"/>
        <v>2.6565000000000003</v>
      </c>
      <c r="AB245" s="44">
        <f t="shared" si="118"/>
        <v>2.6565000000000003</v>
      </c>
      <c r="AC245" s="44">
        <f t="shared" si="118"/>
        <v>2.6565000000000003</v>
      </c>
      <c r="AD245" s="44">
        <f t="shared" si="118"/>
        <v>2.6565000000000003</v>
      </c>
      <c r="AE245" s="44">
        <f t="shared" si="118"/>
        <v>2.6565000000000003</v>
      </c>
      <c r="AF245" s="1"/>
    </row>
    <row r="246" spans="2:32" x14ac:dyDescent="0.2">
      <c r="C246" s="5"/>
      <c r="D246" s="5"/>
      <c r="K246" s="21"/>
      <c r="AF246" s="1"/>
    </row>
    <row r="247" spans="2:32" x14ac:dyDescent="0.2">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1"/>
    </row>
    <row r="248" spans="2:32" x14ac:dyDescent="0.2">
      <c r="C248" s="5"/>
      <c r="D248" s="5"/>
      <c r="AF248" s="1"/>
    </row>
    <row r="249" spans="2:32" x14ac:dyDescent="0.2">
      <c r="B249" s="10">
        <f>B189+0.1</f>
        <v>3.2</v>
      </c>
      <c r="C249" s="20" t="s">
        <v>379</v>
      </c>
      <c r="D249" s="20"/>
      <c r="M249" s="33"/>
      <c r="AF249" s="1"/>
    </row>
    <row r="250" spans="2:32" x14ac:dyDescent="0.2">
      <c r="C250" s="5"/>
      <c r="D250" s="5"/>
      <c r="M250" s="33"/>
      <c r="AF250" s="1"/>
    </row>
    <row r="251" spans="2:32" x14ac:dyDescent="0.2">
      <c r="C251" s="5" t="s">
        <v>380</v>
      </c>
      <c r="D251" s="5"/>
      <c r="F251" s="1" t="s">
        <v>15</v>
      </c>
      <c r="I251" s="45">
        <f t="shared" ref="I251" si="119">I146</f>
        <v>0</v>
      </c>
      <c r="J251" s="45">
        <f t="shared" ref="J251" si="120">J146</f>
        <v>0</v>
      </c>
      <c r="K251" s="45">
        <f t="shared" ref="K251:AE251" si="121">K146</f>
        <v>9.025819312499999E-3</v>
      </c>
      <c r="L251" s="45">
        <f t="shared" si="121"/>
        <v>1.44413109E-2</v>
      </c>
      <c r="M251" s="45">
        <f t="shared" si="121"/>
        <v>2.8882621800000001E-2</v>
      </c>
      <c r="N251" s="45">
        <f t="shared" si="121"/>
        <v>2.8882621800000001E-2</v>
      </c>
      <c r="O251" s="45">
        <f t="shared" si="121"/>
        <v>2.8882621800000001E-2</v>
      </c>
      <c r="P251" s="45">
        <f t="shared" si="121"/>
        <v>2.8882621800000001E-2</v>
      </c>
      <c r="Q251" s="45">
        <f t="shared" si="121"/>
        <v>2.8882621800000001E-2</v>
      </c>
      <c r="R251" s="45">
        <f t="shared" si="121"/>
        <v>2.8882621800000001E-2</v>
      </c>
      <c r="S251" s="45">
        <f t="shared" si="121"/>
        <v>2.8882621800000001E-2</v>
      </c>
      <c r="T251" s="45">
        <f t="shared" si="121"/>
        <v>2.8882621800000001E-2</v>
      </c>
      <c r="U251" s="45">
        <f t="shared" si="121"/>
        <v>2.8882621800000001E-2</v>
      </c>
      <c r="V251" s="45">
        <f t="shared" si="121"/>
        <v>2.8882621800000001E-2</v>
      </c>
      <c r="W251" s="45">
        <f t="shared" si="121"/>
        <v>2.8882621800000001E-2</v>
      </c>
      <c r="X251" s="45">
        <f t="shared" si="121"/>
        <v>2.8882621800000001E-2</v>
      </c>
      <c r="Y251" s="45">
        <f t="shared" si="121"/>
        <v>2.8882621800000001E-2</v>
      </c>
      <c r="Z251" s="45">
        <f t="shared" si="121"/>
        <v>2.8882621800000001E-2</v>
      </c>
      <c r="AA251" s="45">
        <f t="shared" si="121"/>
        <v>2.8882621800000001E-2</v>
      </c>
      <c r="AB251" s="45">
        <f t="shared" si="121"/>
        <v>2.8882621800000001E-2</v>
      </c>
      <c r="AC251" s="45">
        <f t="shared" si="121"/>
        <v>2.8882621800000001E-2</v>
      </c>
      <c r="AD251" s="45">
        <f t="shared" si="121"/>
        <v>2.8882621800000001E-2</v>
      </c>
      <c r="AE251" s="45">
        <f t="shared" si="121"/>
        <v>2.8882621800000001E-2</v>
      </c>
      <c r="AF251" s="1"/>
    </row>
    <row r="252" spans="2:32" x14ac:dyDescent="0.2">
      <c r="C252" s="5"/>
      <c r="D252" s="237"/>
      <c r="E252" s="237"/>
      <c r="AF252" s="1"/>
    </row>
    <row r="253" spans="2:32" x14ac:dyDescent="0.2">
      <c r="C253" s="5" t="s">
        <v>381</v>
      </c>
      <c r="D253" s="120"/>
      <c r="E253" s="95">
        <v>100</v>
      </c>
      <c r="F253" s="1" t="s">
        <v>3</v>
      </c>
      <c r="I253" s="18">
        <f t="shared" ref="I253:L254" si="122">$E253</f>
        <v>100</v>
      </c>
      <c r="J253" s="18">
        <f t="shared" si="122"/>
        <v>100</v>
      </c>
      <c r="K253" s="18">
        <f t="shared" si="122"/>
        <v>100</v>
      </c>
      <c r="L253" s="18">
        <f t="shared" si="122"/>
        <v>100</v>
      </c>
      <c r="M253" s="18">
        <f t="shared" ref="M253:AE254" si="123">$E253</f>
        <v>100</v>
      </c>
      <c r="N253" s="18">
        <f t="shared" si="123"/>
        <v>100</v>
      </c>
      <c r="O253" s="18">
        <f t="shared" si="123"/>
        <v>100</v>
      </c>
      <c r="P253" s="18">
        <f t="shared" si="123"/>
        <v>100</v>
      </c>
      <c r="Q253" s="18">
        <f t="shared" si="123"/>
        <v>100</v>
      </c>
      <c r="R253" s="18">
        <f t="shared" si="123"/>
        <v>100</v>
      </c>
      <c r="S253" s="18">
        <f t="shared" si="123"/>
        <v>100</v>
      </c>
      <c r="T253" s="18">
        <f t="shared" si="123"/>
        <v>100</v>
      </c>
      <c r="U253" s="18">
        <f t="shared" si="123"/>
        <v>100</v>
      </c>
      <c r="V253" s="18">
        <f t="shared" si="123"/>
        <v>100</v>
      </c>
      <c r="W253" s="18">
        <f t="shared" si="123"/>
        <v>100</v>
      </c>
      <c r="X253" s="18">
        <f t="shared" si="123"/>
        <v>100</v>
      </c>
      <c r="Y253" s="18">
        <f t="shared" si="123"/>
        <v>100</v>
      </c>
      <c r="Z253" s="18">
        <f t="shared" si="123"/>
        <v>100</v>
      </c>
      <c r="AA253" s="18">
        <f t="shared" si="123"/>
        <v>100</v>
      </c>
      <c r="AB253" s="18">
        <f t="shared" si="123"/>
        <v>100</v>
      </c>
      <c r="AC253" s="18">
        <f t="shared" si="123"/>
        <v>100</v>
      </c>
      <c r="AD253" s="18">
        <f t="shared" si="123"/>
        <v>100</v>
      </c>
      <c r="AE253" s="18">
        <f t="shared" si="123"/>
        <v>100</v>
      </c>
      <c r="AF253" s="1"/>
    </row>
    <row r="254" spans="2:32" x14ac:dyDescent="0.2">
      <c r="C254" s="5" t="s">
        <v>46</v>
      </c>
      <c r="D254" s="120"/>
      <c r="E254" s="95">
        <v>20</v>
      </c>
      <c r="F254" s="1" t="s">
        <v>3</v>
      </c>
      <c r="I254" s="18">
        <f t="shared" si="122"/>
        <v>20</v>
      </c>
      <c r="J254" s="18">
        <f t="shared" si="122"/>
        <v>20</v>
      </c>
      <c r="K254" s="18">
        <f t="shared" si="122"/>
        <v>20</v>
      </c>
      <c r="L254" s="18">
        <f t="shared" si="122"/>
        <v>20</v>
      </c>
      <c r="M254" s="18">
        <f t="shared" si="123"/>
        <v>20</v>
      </c>
      <c r="N254" s="18">
        <f t="shared" si="123"/>
        <v>20</v>
      </c>
      <c r="O254" s="18">
        <f t="shared" si="123"/>
        <v>20</v>
      </c>
      <c r="P254" s="18">
        <f t="shared" si="123"/>
        <v>20</v>
      </c>
      <c r="Q254" s="18">
        <f t="shared" si="123"/>
        <v>20</v>
      </c>
      <c r="R254" s="18">
        <f t="shared" si="123"/>
        <v>20</v>
      </c>
      <c r="S254" s="18">
        <f t="shared" si="123"/>
        <v>20</v>
      </c>
      <c r="T254" s="18">
        <f t="shared" si="123"/>
        <v>20</v>
      </c>
      <c r="U254" s="18">
        <f t="shared" si="123"/>
        <v>20</v>
      </c>
      <c r="V254" s="18">
        <f t="shared" si="123"/>
        <v>20</v>
      </c>
      <c r="W254" s="18">
        <f t="shared" si="123"/>
        <v>20</v>
      </c>
      <c r="X254" s="18">
        <f t="shared" si="123"/>
        <v>20</v>
      </c>
      <c r="Y254" s="18">
        <f t="shared" si="123"/>
        <v>20</v>
      </c>
      <c r="Z254" s="18">
        <f t="shared" si="123"/>
        <v>20</v>
      </c>
      <c r="AA254" s="18">
        <f t="shared" si="123"/>
        <v>20</v>
      </c>
      <c r="AB254" s="18">
        <f t="shared" si="123"/>
        <v>20</v>
      </c>
      <c r="AC254" s="18">
        <f t="shared" si="123"/>
        <v>20</v>
      </c>
      <c r="AD254" s="18">
        <f t="shared" si="123"/>
        <v>20</v>
      </c>
      <c r="AE254" s="18">
        <f t="shared" si="123"/>
        <v>20</v>
      </c>
      <c r="AF254" s="1"/>
    </row>
    <row r="255" spans="2:32" x14ac:dyDescent="0.2">
      <c r="C255" s="20" t="s">
        <v>45</v>
      </c>
      <c r="D255" s="262"/>
      <c r="E255" s="262">
        <f>SUM(E253:E254)</f>
        <v>120</v>
      </c>
      <c r="F255" s="9" t="s">
        <v>3</v>
      </c>
      <c r="G255" s="21">
        <f>AVERAGE(K255:AE255)</f>
        <v>120</v>
      </c>
      <c r="H255" s="9"/>
      <c r="I255" s="44">
        <f>SUM(I253:I254)</f>
        <v>120</v>
      </c>
      <c r="J255" s="44">
        <f>SUM(J253:J254)</f>
        <v>120</v>
      </c>
      <c r="K255" s="44">
        <f>SUM(K253:K254)</f>
        <v>120</v>
      </c>
      <c r="L255" s="44">
        <f>SUM(L253:L254)</f>
        <v>120</v>
      </c>
      <c r="M255" s="44">
        <f t="shared" ref="M255:AE255" si="124">SUM(M253:M254)</f>
        <v>120</v>
      </c>
      <c r="N255" s="44">
        <f t="shared" si="124"/>
        <v>120</v>
      </c>
      <c r="O255" s="44">
        <f t="shared" si="124"/>
        <v>120</v>
      </c>
      <c r="P255" s="44">
        <f t="shared" si="124"/>
        <v>120</v>
      </c>
      <c r="Q255" s="44">
        <f t="shared" si="124"/>
        <v>120</v>
      </c>
      <c r="R255" s="44">
        <f t="shared" si="124"/>
        <v>120</v>
      </c>
      <c r="S255" s="44">
        <f t="shared" si="124"/>
        <v>120</v>
      </c>
      <c r="T255" s="44">
        <f t="shared" si="124"/>
        <v>120</v>
      </c>
      <c r="U255" s="44">
        <f t="shared" si="124"/>
        <v>120</v>
      </c>
      <c r="V255" s="44">
        <f t="shared" si="124"/>
        <v>120</v>
      </c>
      <c r="W255" s="44">
        <f t="shared" si="124"/>
        <v>120</v>
      </c>
      <c r="X255" s="44">
        <f t="shared" si="124"/>
        <v>120</v>
      </c>
      <c r="Y255" s="44">
        <f t="shared" si="124"/>
        <v>120</v>
      </c>
      <c r="Z255" s="44">
        <f t="shared" si="124"/>
        <v>120</v>
      </c>
      <c r="AA255" s="44">
        <f t="shared" si="124"/>
        <v>120</v>
      </c>
      <c r="AB255" s="44">
        <f t="shared" si="124"/>
        <v>120</v>
      </c>
      <c r="AC255" s="44">
        <f t="shared" si="124"/>
        <v>120</v>
      </c>
      <c r="AD255" s="44">
        <f t="shared" si="124"/>
        <v>120</v>
      </c>
      <c r="AE255" s="44">
        <f t="shared" si="124"/>
        <v>120</v>
      </c>
      <c r="AF255" s="1"/>
    </row>
    <row r="256" spans="2:32" x14ac:dyDescent="0.2">
      <c r="C256" s="5"/>
      <c r="D256" s="11"/>
      <c r="E256" s="2"/>
      <c r="AF256" s="1"/>
    </row>
    <row r="257" spans="2:32" x14ac:dyDescent="0.2">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1"/>
    </row>
    <row r="258" spans="2:32" x14ac:dyDescent="0.2">
      <c r="C258" s="5"/>
      <c r="D258" s="5"/>
      <c r="AF258" s="1"/>
    </row>
    <row r="259" spans="2:32" x14ac:dyDescent="0.2">
      <c r="B259" s="10">
        <f>B249+0.1</f>
        <v>3.3000000000000003</v>
      </c>
      <c r="C259" s="20" t="s">
        <v>575</v>
      </c>
      <c r="D259" s="5"/>
      <c r="AF259" s="1"/>
    </row>
    <row r="260" spans="2:32" x14ac:dyDescent="0.2">
      <c r="C260" s="5"/>
      <c r="D260" s="5"/>
      <c r="AF260" s="1"/>
    </row>
    <row r="261" spans="2:32" x14ac:dyDescent="0.2">
      <c r="C261" s="5" t="s">
        <v>575</v>
      </c>
      <c r="D261" s="5"/>
      <c r="F261" s="1" t="s">
        <v>15</v>
      </c>
      <c r="I261" s="21">
        <f t="shared" ref="I261" si="125">I147</f>
        <v>0</v>
      </c>
      <c r="J261" s="21">
        <f t="shared" ref="J261" si="126">J147</f>
        <v>0</v>
      </c>
      <c r="K261" s="21">
        <f t="shared" ref="K261:AE261" si="127">K147</f>
        <v>7.9664501242791581E-3</v>
      </c>
      <c r="L261" s="21">
        <f t="shared" si="127"/>
        <v>1.2746320198846653E-2</v>
      </c>
      <c r="M261" s="21">
        <f t="shared" si="127"/>
        <v>2.5492640397693306E-2</v>
      </c>
      <c r="N261" s="21">
        <f t="shared" si="127"/>
        <v>2.5492640397693306E-2</v>
      </c>
      <c r="O261" s="21">
        <f t="shared" si="127"/>
        <v>2.5492640397693306E-2</v>
      </c>
      <c r="P261" s="21">
        <f t="shared" si="127"/>
        <v>2.5492640397693306E-2</v>
      </c>
      <c r="Q261" s="21">
        <f t="shared" si="127"/>
        <v>2.5492640397693306E-2</v>
      </c>
      <c r="R261" s="21">
        <f t="shared" si="127"/>
        <v>2.5492640397693306E-2</v>
      </c>
      <c r="S261" s="21">
        <f t="shared" si="127"/>
        <v>2.5492640397693306E-2</v>
      </c>
      <c r="T261" s="21">
        <f t="shared" si="127"/>
        <v>2.5492640397693306E-2</v>
      </c>
      <c r="U261" s="21">
        <f t="shared" si="127"/>
        <v>2.5492640397693306E-2</v>
      </c>
      <c r="V261" s="21">
        <f t="shared" si="127"/>
        <v>2.5492640397693306E-2</v>
      </c>
      <c r="W261" s="21">
        <f t="shared" si="127"/>
        <v>2.5492640397693306E-2</v>
      </c>
      <c r="X261" s="21">
        <f t="shared" si="127"/>
        <v>2.5492640397693306E-2</v>
      </c>
      <c r="Y261" s="21">
        <f t="shared" si="127"/>
        <v>2.5492640397693306E-2</v>
      </c>
      <c r="Z261" s="21">
        <f t="shared" si="127"/>
        <v>2.5492640397693306E-2</v>
      </c>
      <c r="AA261" s="21">
        <f t="shared" si="127"/>
        <v>2.5492640397693306E-2</v>
      </c>
      <c r="AB261" s="21">
        <f t="shared" si="127"/>
        <v>2.5492640397693306E-2</v>
      </c>
      <c r="AC261" s="21">
        <f t="shared" si="127"/>
        <v>2.5492640397693306E-2</v>
      </c>
      <c r="AD261" s="21">
        <f t="shared" si="127"/>
        <v>2.5492640397693306E-2</v>
      </c>
      <c r="AE261" s="21">
        <f t="shared" si="127"/>
        <v>2.5492640397693306E-2</v>
      </c>
      <c r="AF261" s="1"/>
    </row>
    <row r="262" spans="2:32" x14ac:dyDescent="0.2">
      <c r="C262" s="5" t="s">
        <v>576</v>
      </c>
      <c r="D262" s="5"/>
      <c r="E262" s="95">
        <v>5.0995109950149775</v>
      </c>
      <c r="F262" s="1" t="s">
        <v>3</v>
      </c>
      <c r="I262" s="21">
        <f>$E$262</f>
        <v>5.0995109950149775</v>
      </c>
      <c r="J262" s="21">
        <f>$E$262</f>
        <v>5.0995109950149775</v>
      </c>
      <c r="K262" s="21">
        <f>$E$262</f>
        <v>5.0995109950149775</v>
      </c>
      <c r="L262" s="21">
        <f t="shared" ref="L262:AE262" si="128">$E$262</f>
        <v>5.0995109950149775</v>
      </c>
      <c r="M262" s="21">
        <f t="shared" si="128"/>
        <v>5.0995109950149775</v>
      </c>
      <c r="N262" s="21">
        <f t="shared" si="128"/>
        <v>5.0995109950149775</v>
      </c>
      <c r="O262" s="21">
        <f t="shared" si="128"/>
        <v>5.0995109950149775</v>
      </c>
      <c r="P262" s="21">
        <f t="shared" si="128"/>
        <v>5.0995109950149775</v>
      </c>
      <c r="Q262" s="21">
        <f t="shared" si="128"/>
        <v>5.0995109950149775</v>
      </c>
      <c r="R262" s="21">
        <f t="shared" si="128"/>
        <v>5.0995109950149775</v>
      </c>
      <c r="S262" s="21">
        <f t="shared" si="128"/>
        <v>5.0995109950149775</v>
      </c>
      <c r="T262" s="21">
        <f t="shared" si="128"/>
        <v>5.0995109950149775</v>
      </c>
      <c r="U262" s="21">
        <f t="shared" si="128"/>
        <v>5.0995109950149775</v>
      </c>
      <c r="V262" s="21">
        <f t="shared" si="128"/>
        <v>5.0995109950149775</v>
      </c>
      <c r="W262" s="21">
        <f t="shared" si="128"/>
        <v>5.0995109950149775</v>
      </c>
      <c r="X262" s="21">
        <f t="shared" si="128"/>
        <v>5.0995109950149775</v>
      </c>
      <c r="Y262" s="21">
        <f t="shared" si="128"/>
        <v>5.0995109950149775</v>
      </c>
      <c r="Z262" s="21">
        <f t="shared" si="128"/>
        <v>5.0995109950149775</v>
      </c>
      <c r="AA262" s="21">
        <f t="shared" si="128"/>
        <v>5.0995109950149775</v>
      </c>
      <c r="AB262" s="21">
        <f t="shared" si="128"/>
        <v>5.0995109950149775</v>
      </c>
      <c r="AC262" s="21">
        <f t="shared" si="128"/>
        <v>5.0995109950149775</v>
      </c>
      <c r="AD262" s="21">
        <f t="shared" si="128"/>
        <v>5.0995109950149775</v>
      </c>
      <c r="AE262" s="21">
        <f t="shared" si="128"/>
        <v>5.0995109950149775</v>
      </c>
      <c r="AF262" s="1"/>
    </row>
    <row r="263" spans="2:32" x14ac:dyDescent="0.2">
      <c r="C263" s="5"/>
      <c r="D263" s="5"/>
      <c r="AF263" s="1"/>
    </row>
    <row r="264" spans="2:32" x14ac:dyDescent="0.2">
      <c r="C264" s="5"/>
      <c r="D264" s="5"/>
      <c r="AF264" s="1"/>
    </row>
    <row r="265" spans="2:32" x14ac:dyDescent="0.2">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1"/>
    </row>
    <row r="266" spans="2:32" x14ac:dyDescent="0.2">
      <c r="C266" s="5"/>
      <c r="D266" s="5"/>
      <c r="AF266" s="1"/>
    </row>
    <row r="267" spans="2:32" x14ac:dyDescent="0.2">
      <c r="B267" s="10">
        <f>B259+0.1</f>
        <v>3.4000000000000004</v>
      </c>
      <c r="C267" s="20" t="s">
        <v>47</v>
      </c>
      <c r="D267" s="20"/>
      <c r="AF267" s="1"/>
    </row>
    <row r="268" spans="2:32" x14ac:dyDescent="0.2">
      <c r="C268" s="5"/>
      <c r="D268" s="5"/>
      <c r="AF268" s="1"/>
    </row>
    <row r="269" spans="2:32" x14ac:dyDescent="0.2">
      <c r="B269" s="24">
        <f>B267+0.01</f>
        <v>3.41</v>
      </c>
      <c r="C269" s="20" t="s">
        <v>48</v>
      </c>
      <c r="D269" s="20"/>
      <c r="AF269" s="1"/>
    </row>
    <row r="270" spans="2:32" x14ac:dyDescent="0.2">
      <c r="B270" s="24"/>
      <c r="C270" s="20"/>
      <c r="D270" s="20"/>
      <c r="AF270" s="1"/>
    </row>
    <row r="271" spans="2:32" x14ac:dyDescent="0.2">
      <c r="C271" s="47" t="s">
        <v>406</v>
      </c>
      <c r="D271" s="302"/>
      <c r="E271" s="304"/>
      <c r="AF271" s="1"/>
    </row>
    <row r="272" spans="2:32" x14ac:dyDescent="0.2">
      <c r="C272" s="5" t="s">
        <v>413</v>
      </c>
      <c r="D272" s="120"/>
      <c r="E272" s="95">
        <v>1</v>
      </c>
      <c r="F272" s="1" t="s">
        <v>37</v>
      </c>
      <c r="H272" s="21"/>
      <c r="I272" s="18">
        <f>$E272</f>
        <v>1</v>
      </c>
      <c r="J272" s="18">
        <f>$E272</f>
        <v>1</v>
      </c>
      <c r="K272" s="18">
        <f>$E272</f>
        <v>1</v>
      </c>
      <c r="L272" s="18">
        <f>$E272</f>
        <v>1</v>
      </c>
      <c r="M272" s="18">
        <f t="shared" ref="M272:AB279" si="129">$E272</f>
        <v>1</v>
      </c>
      <c r="N272" s="18">
        <f t="shared" si="129"/>
        <v>1</v>
      </c>
      <c r="O272" s="18">
        <f t="shared" si="129"/>
        <v>1</v>
      </c>
      <c r="P272" s="18">
        <f t="shared" si="129"/>
        <v>1</v>
      </c>
      <c r="Q272" s="18">
        <f t="shared" si="129"/>
        <v>1</v>
      </c>
      <c r="R272" s="18">
        <f t="shared" si="129"/>
        <v>1</v>
      </c>
      <c r="S272" s="18">
        <f t="shared" si="129"/>
        <v>1</v>
      </c>
      <c r="T272" s="18">
        <f t="shared" si="129"/>
        <v>1</v>
      </c>
      <c r="U272" s="18">
        <f t="shared" si="129"/>
        <v>1</v>
      </c>
      <c r="V272" s="18">
        <f t="shared" si="129"/>
        <v>1</v>
      </c>
      <c r="W272" s="18">
        <f t="shared" si="129"/>
        <v>1</v>
      </c>
      <c r="X272" s="18">
        <f t="shared" si="129"/>
        <v>1</v>
      </c>
      <c r="Y272" s="18">
        <f t="shared" si="129"/>
        <v>1</v>
      </c>
      <c r="Z272" s="18">
        <f t="shared" si="129"/>
        <v>1</v>
      </c>
      <c r="AA272" s="18">
        <f t="shared" si="129"/>
        <v>1</v>
      </c>
      <c r="AB272" s="18">
        <f t="shared" si="129"/>
        <v>1</v>
      </c>
      <c r="AC272" s="18">
        <f t="shared" ref="AC272:AE279" si="130">$E272</f>
        <v>1</v>
      </c>
      <c r="AD272" s="18">
        <f t="shared" si="130"/>
        <v>1</v>
      </c>
      <c r="AE272" s="18">
        <f t="shared" si="130"/>
        <v>1</v>
      </c>
      <c r="AF272" s="1"/>
    </row>
    <row r="273" spans="3:32" x14ac:dyDescent="0.2">
      <c r="C273" s="5" t="s">
        <v>407</v>
      </c>
      <c r="D273" s="120"/>
      <c r="E273" s="95">
        <v>4</v>
      </c>
      <c r="F273" s="1" t="s">
        <v>37</v>
      </c>
      <c r="I273" s="18">
        <f t="shared" ref="I273:L279" si="131">$E273</f>
        <v>4</v>
      </c>
      <c r="J273" s="18">
        <f t="shared" si="131"/>
        <v>4</v>
      </c>
      <c r="K273" s="18">
        <f t="shared" si="131"/>
        <v>4</v>
      </c>
      <c r="L273" s="18">
        <f t="shared" si="131"/>
        <v>4</v>
      </c>
      <c r="M273" s="18">
        <f t="shared" si="129"/>
        <v>4</v>
      </c>
      <c r="N273" s="18">
        <f t="shared" si="129"/>
        <v>4</v>
      </c>
      <c r="O273" s="18">
        <f t="shared" si="129"/>
        <v>4</v>
      </c>
      <c r="P273" s="18">
        <f t="shared" si="129"/>
        <v>4</v>
      </c>
      <c r="Q273" s="18">
        <f t="shared" si="129"/>
        <v>4</v>
      </c>
      <c r="R273" s="18">
        <f t="shared" si="129"/>
        <v>4</v>
      </c>
      <c r="S273" s="18">
        <f t="shared" si="129"/>
        <v>4</v>
      </c>
      <c r="T273" s="18">
        <f t="shared" si="129"/>
        <v>4</v>
      </c>
      <c r="U273" s="18">
        <f t="shared" si="129"/>
        <v>4</v>
      </c>
      <c r="V273" s="18">
        <f t="shared" si="129"/>
        <v>4</v>
      </c>
      <c r="W273" s="18">
        <f t="shared" si="129"/>
        <v>4</v>
      </c>
      <c r="X273" s="18">
        <f t="shared" si="129"/>
        <v>4</v>
      </c>
      <c r="Y273" s="18">
        <f t="shared" si="129"/>
        <v>4</v>
      </c>
      <c r="Z273" s="18">
        <f t="shared" si="129"/>
        <v>4</v>
      </c>
      <c r="AA273" s="18">
        <f t="shared" si="129"/>
        <v>4</v>
      </c>
      <c r="AB273" s="18">
        <f t="shared" si="129"/>
        <v>4</v>
      </c>
      <c r="AC273" s="18">
        <f t="shared" si="130"/>
        <v>4</v>
      </c>
      <c r="AD273" s="18">
        <f t="shared" si="130"/>
        <v>4</v>
      </c>
      <c r="AE273" s="18">
        <f t="shared" si="130"/>
        <v>4</v>
      </c>
      <c r="AF273" s="1"/>
    </row>
    <row r="274" spans="3:32" x14ac:dyDescent="0.2">
      <c r="C274" s="5" t="s">
        <v>696</v>
      </c>
      <c r="D274" s="120"/>
      <c r="E274" s="95">
        <v>4</v>
      </c>
      <c r="F274" s="1" t="s">
        <v>37</v>
      </c>
      <c r="I274" s="18">
        <f t="shared" si="131"/>
        <v>4</v>
      </c>
      <c r="J274" s="18">
        <f t="shared" si="131"/>
        <v>4</v>
      </c>
      <c r="K274" s="18">
        <f t="shared" si="131"/>
        <v>4</v>
      </c>
      <c r="L274" s="18">
        <f t="shared" si="131"/>
        <v>4</v>
      </c>
      <c r="M274" s="18">
        <f t="shared" si="129"/>
        <v>4</v>
      </c>
      <c r="N274" s="18">
        <f t="shared" si="129"/>
        <v>4</v>
      </c>
      <c r="O274" s="18">
        <f t="shared" si="129"/>
        <v>4</v>
      </c>
      <c r="P274" s="18">
        <f t="shared" si="129"/>
        <v>4</v>
      </c>
      <c r="Q274" s="18">
        <f t="shared" si="129"/>
        <v>4</v>
      </c>
      <c r="R274" s="18">
        <f t="shared" si="129"/>
        <v>4</v>
      </c>
      <c r="S274" s="18">
        <f t="shared" si="129"/>
        <v>4</v>
      </c>
      <c r="T274" s="18">
        <f t="shared" si="129"/>
        <v>4</v>
      </c>
      <c r="U274" s="18">
        <f t="shared" si="129"/>
        <v>4</v>
      </c>
      <c r="V274" s="18">
        <f t="shared" si="129"/>
        <v>4</v>
      </c>
      <c r="W274" s="18">
        <f t="shared" si="129"/>
        <v>4</v>
      </c>
      <c r="X274" s="18">
        <f t="shared" si="129"/>
        <v>4</v>
      </c>
      <c r="Y274" s="18">
        <f t="shared" si="129"/>
        <v>4</v>
      </c>
      <c r="Z274" s="18">
        <f t="shared" si="129"/>
        <v>4</v>
      </c>
      <c r="AA274" s="18">
        <f t="shared" si="129"/>
        <v>4</v>
      </c>
      <c r="AB274" s="18">
        <f t="shared" si="129"/>
        <v>4</v>
      </c>
      <c r="AC274" s="18">
        <f t="shared" si="130"/>
        <v>4</v>
      </c>
      <c r="AD274" s="18">
        <f t="shared" si="130"/>
        <v>4</v>
      </c>
      <c r="AE274" s="18">
        <f t="shared" si="130"/>
        <v>4</v>
      </c>
      <c r="AF274" s="1"/>
    </row>
    <row r="275" spans="3:32" x14ac:dyDescent="0.2">
      <c r="C275" s="5" t="s">
        <v>408</v>
      </c>
      <c r="D275" s="120"/>
      <c r="E275" s="95">
        <v>0</v>
      </c>
      <c r="F275" s="1" t="s">
        <v>37</v>
      </c>
      <c r="I275" s="18">
        <f t="shared" si="131"/>
        <v>0</v>
      </c>
      <c r="J275" s="18">
        <f t="shared" si="131"/>
        <v>0</v>
      </c>
      <c r="K275" s="18">
        <f t="shared" si="131"/>
        <v>0</v>
      </c>
      <c r="L275" s="18">
        <f t="shared" si="131"/>
        <v>0</v>
      </c>
      <c r="M275" s="18">
        <f t="shared" si="129"/>
        <v>0</v>
      </c>
      <c r="N275" s="18">
        <f t="shared" si="129"/>
        <v>0</v>
      </c>
      <c r="O275" s="18">
        <f t="shared" si="129"/>
        <v>0</v>
      </c>
      <c r="P275" s="18">
        <f t="shared" si="129"/>
        <v>0</v>
      </c>
      <c r="Q275" s="18">
        <f t="shared" si="129"/>
        <v>0</v>
      </c>
      <c r="R275" s="18">
        <f t="shared" si="129"/>
        <v>0</v>
      </c>
      <c r="S275" s="18">
        <f t="shared" si="129"/>
        <v>0</v>
      </c>
      <c r="T275" s="18">
        <f t="shared" si="129"/>
        <v>0</v>
      </c>
      <c r="U275" s="18">
        <f t="shared" si="129"/>
        <v>0</v>
      </c>
      <c r="V275" s="18">
        <f t="shared" si="129"/>
        <v>0</v>
      </c>
      <c r="W275" s="18">
        <f t="shared" si="129"/>
        <v>0</v>
      </c>
      <c r="X275" s="18">
        <f t="shared" si="129"/>
        <v>0</v>
      </c>
      <c r="Y275" s="18">
        <f t="shared" si="129"/>
        <v>0</v>
      </c>
      <c r="Z275" s="18">
        <f t="shared" si="129"/>
        <v>0</v>
      </c>
      <c r="AA275" s="18">
        <f t="shared" si="129"/>
        <v>0</v>
      </c>
      <c r="AB275" s="18">
        <f t="shared" si="129"/>
        <v>0</v>
      </c>
      <c r="AC275" s="18">
        <f t="shared" si="130"/>
        <v>0</v>
      </c>
      <c r="AD275" s="18">
        <f t="shared" si="130"/>
        <v>0</v>
      </c>
      <c r="AE275" s="18">
        <f t="shared" si="130"/>
        <v>0</v>
      </c>
      <c r="AF275" s="1"/>
    </row>
    <row r="276" spans="3:32" x14ac:dyDescent="0.2">
      <c r="C276" s="5" t="s">
        <v>409</v>
      </c>
      <c r="D276" s="120"/>
      <c r="E276" s="95">
        <v>4</v>
      </c>
      <c r="F276" s="1" t="s">
        <v>37</v>
      </c>
      <c r="I276" s="18">
        <f t="shared" si="131"/>
        <v>4</v>
      </c>
      <c r="J276" s="18">
        <f t="shared" si="131"/>
        <v>4</v>
      </c>
      <c r="K276" s="18">
        <f t="shared" si="131"/>
        <v>4</v>
      </c>
      <c r="L276" s="18">
        <f t="shared" si="131"/>
        <v>4</v>
      </c>
      <c r="M276" s="18">
        <f t="shared" si="129"/>
        <v>4</v>
      </c>
      <c r="N276" s="18">
        <f t="shared" si="129"/>
        <v>4</v>
      </c>
      <c r="O276" s="18">
        <f t="shared" si="129"/>
        <v>4</v>
      </c>
      <c r="P276" s="18">
        <f t="shared" si="129"/>
        <v>4</v>
      </c>
      <c r="Q276" s="18">
        <f t="shared" si="129"/>
        <v>4</v>
      </c>
      <c r="R276" s="18">
        <f t="shared" si="129"/>
        <v>4</v>
      </c>
      <c r="S276" s="18">
        <f t="shared" si="129"/>
        <v>4</v>
      </c>
      <c r="T276" s="18">
        <f t="shared" si="129"/>
        <v>4</v>
      </c>
      <c r="U276" s="18">
        <f t="shared" si="129"/>
        <v>4</v>
      </c>
      <c r="V276" s="18">
        <f t="shared" si="129"/>
        <v>4</v>
      </c>
      <c r="W276" s="18">
        <f t="shared" si="129"/>
        <v>4</v>
      </c>
      <c r="X276" s="18">
        <f t="shared" si="129"/>
        <v>4</v>
      </c>
      <c r="Y276" s="18">
        <f t="shared" si="129"/>
        <v>4</v>
      </c>
      <c r="Z276" s="18">
        <f t="shared" si="129"/>
        <v>4</v>
      </c>
      <c r="AA276" s="18">
        <f t="shared" si="129"/>
        <v>4</v>
      </c>
      <c r="AB276" s="18">
        <f t="shared" si="129"/>
        <v>4</v>
      </c>
      <c r="AC276" s="18">
        <f t="shared" si="130"/>
        <v>4</v>
      </c>
      <c r="AD276" s="18">
        <f t="shared" si="130"/>
        <v>4</v>
      </c>
      <c r="AE276" s="18">
        <f t="shared" si="130"/>
        <v>4</v>
      </c>
      <c r="AF276" s="1"/>
    </row>
    <row r="277" spans="3:32" x14ac:dyDescent="0.2">
      <c r="C277" s="5" t="s">
        <v>410</v>
      </c>
      <c r="D277" s="120"/>
      <c r="E277" s="95">
        <v>8</v>
      </c>
      <c r="F277" s="1" t="s">
        <v>37</v>
      </c>
      <c r="I277" s="18">
        <f t="shared" si="131"/>
        <v>8</v>
      </c>
      <c r="J277" s="18">
        <f t="shared" si="131"/>
        <v>8</v>
      </c>
      <c r="K277" s="18">
        <f t="shared" si="131"/>
        <v>8</v>
      </c>
      <c r="L277" s="18">
        <f t="shared" si="131"/>
        <v>8</v>
      </c>
      <c r="M277" s="18">
        <f t="shared" si="129"/>
        <v>8</v>
      </c>
      <c r="N277" s="18">
        <f t="shared" si="129"/>
        <v>8</v>
      </c>
      <c r="O277" s="18">
        <f t="shared" si="129"/>
        <v>8</v>
      </c>
      <c r="P277" s="18">
        <f t="shared" si="129"/>
        <v>8</v>
      </c>
      <c r="Q277" s="18">
        <f t="shared" si="129"/>
        <v>8</v>
      </c>
      <c r="R277" s="18">
        <f t="shared" si="129"/>
        <v>8</v>
      </c>
      <c r="S277" s="18">
        <f t="shared" si="129"/>
        <v>8</v>
      </c>
      <c r="T277" s="18">
        <f t="shared" si="129"/>
        <v>8</v>
      </c>
      <c r="U277" s="18">
        <f t="shared" si="129"/>
        <v>8</v>
      </c>
      <c r="V277" s="18">
        <f t="shared" si="129"/>
        <v>8</v>
      </c>
      <c r="W277" s="18">
        <f t="shared" si="129"/>
        <v>8</v>
      </c>
      <c r="X277" s="18">
        <f t="shared" si="129"/>
        <v>8</v>
      </c>
      <c r="Y277" s="18">
        <f t="shared" si="129"/>
        <v>8</v>
      </c>
      <c r="Z277" s="18">
        <f t="shared" si="129"/>
        <v>8</v>
      </c>
      <c r="AA277" s="18">
        <f t="shared" si="129"/>
        <v>8</v>
      </c>
      <c r="AB277" s="18">
        <f t="shared" si="129"/>
        <v>8</v>
      </c>
      <c r="AC277" s="18">
        <f t="shared" si="130"/>
        <v>8</v>
      </c>
      <c r="AD277" s="18">
        <f t="shared" si="130"/>
        <v>8</v>
      </c>
      <c r="AE277" s="18">
        <f t="shared" si="130"/>
        <v>8</v>
      </c>
      <c r="AF277" s="1"/>
    </row>
    <row r="278" spans="3:32" x14ac:dyDescent="0.2">
      <c r="C278" s="5" t="s">
        <v>411</v>
      </c>
      <c r="D278" s="120"/>
      <c r="E278" s="95">
        <v>1</v>
      </c>
      <c r="F278" s="1" t="s">
        <v>37</v>
      </c>
      <c r="H278" s="21"/>
      <c r="I278" s="18">
        <f t="shared" si="131"/>
        <v>1</v>
      </c>
      <c r="J278" s="18">
        <f t="shared" si="131"/>
        <v>1</v>
      </c>
      <c r="K278" s="18">
        <f t="shared" si="131"/>
        <v>1</v>
      </c>
      <c r="L278" s="18">
        <f t="shared" si="131"/>
        <v>1</v>
      </c>
      <c r="M278" s="18">
        <f t="shared" si="129"/>
        <v>1</v>
      </c>
      <c r="N278" s="18">
        <f t="shared" si="129"/>
        <v>1</v>
      </c>
      <c r="O278" s="18">
        <f t="shared" si="129"/>
        <v>1</v>
      </c>
      <c r="P278" s="18">
        <f t="shared" si="129"/>
        <v>1</v>
      </c>
      <c r="Q278" s="18">
        <f t="shared" si="129"/>
        <v>1</v>
      </c>
      <c r="R278" s="18">
        <f t="shared" si="129"/>
        <v>1</v>
      </c>
      <c r="S278" s="18">
        <f t="shared" si="129"/>
        <v>1</v>
      </c>
      <c r="T278" s="18">
        <f t="shared" si="129"/>
        <v>1</v>
      </c>
      <c r="U278" s="18">
        <f t="shared" si="129"/>
        <v>1</v>
      </c>
      <c r="V278" s="18">
        <f t="shared" si="129"/>
        <v>1</v>
      </c>
      <c r="W278" s="18">
        <f t="shared" si="129"/>
        <v>1</v>
      </c>
      <c r="X278" s="18">
        <f t="shared" si="129"/>
        <v>1</v>
      </c>
      <c r="Y278" s="18">
        <f t="shared" si="129"/>
        <v>1</v>
      </c>
      <c r="Z278" s="18">
        <f t="shared" si="129"/>
        <v>1</v>
      </c>
      <c r="AA278" s="18">
        <f t="shared" si="129"/>
        <v>1</v>
      </c>
      <c r="AB278" s="18">
        <f t="shared" si="129"/>
        <v>1</v>
      </c>
      <c r="AC278" s="18">
        <f t="shared" si="130"/>
        <v>1</v>
      </c>
      <c r="AD278" s="18">
        <f t="shared" si="130"/>
        <v>1</v>
      </c>
      <c r="AE278" s="18">
        <f t="shared" si="130"/>
        <v>1</v>
      </c>
      <c r="AF278" s="1"/>
    </row>
    <row r="279" spans="3:32" x14ac:dyDescent="0.2">
      <c r="C279" s="5" t="s">
        <v>412</v>
      </c>
      <c r="D279" s="120"/>
      <c r="E279" s="95">
        <v>8</v>
      </c>
      <c r="F279" s="1" t="s">
        <v>37</v>
      </c>
      <c r="I279" s="18">
        <f t="shared" si="131"/>
        <v>8</v>
      </c>
      <c r="J279" s="18">
        <f t="shared" si="131"/>
        <v>8</v>
      </c>
      <c r="K279" s="18">
        <f t="shared" si="131"/>
        <v>8</v>
      </c>
      <c r="L279" s="18">
        <f t="shared" si="131"/>
        <v>8</v>
      </c>
      <c r="M279" s="18">
        <f t="shared" si="129"/>
        <v>8</v>
      </c>
      <c r="N279" s="18">
        <f t="shared" si="129"/>
        <v>8</v>
      </c>
      <c r="O279" s="18">
        <f t="shared" si="129"/>
        <v>8</v>
      </c>
      <c r="P279" s="18">
        <f t="shared" si="129"/>
        <v>8</v>
      </c>
      <c r="Q279" s="18">
        <f t="shared" si="129"/>
        <v>8</v>
      </c>
      <c r="R279" s="18">
        <f t="shared" si="129"/>
        <v>8</v>
      </c>
      <c r="S279" s="18">
        <f t="shared" si="129"/>
        <v>8</v>
      </c>
      <c r="T279" s="18">
        <f t="shared" si="129"/>
        <v>8</v>
      </c>
      <c r="U279" s="18">
        <f t="shared" si="129"/>
        <v>8</v>
      </c>
      <c r="V279" s="18">
        <f t="shared" si="129"/>
        <v>8</v>
      </c>
      <c r="W279" s="18">
        <f t="shared" si="129"/>
        <v>8</v>
      </c>
      <c r="X279" s="18">
        <f t="shared" si="129"/>
        <v>8</v>
      </c>
      <c r="Y279" s="18">
        <f t="shared" si="129"/>
        <v>8</v>
      </c>
      <c r="Z279" s="18">
        <f t="shared" si="129"/>
        <v>8</v>
      </c>
      <c r="AA279" s="18">
        <f t="shared" si="129"/>
        <v>8</v>
      </c>
      <c r="AB279" s="18">
        <f t="shared" si="129"/>
        <v>8</v>
      </c>
      <c r="AC279" s="18">
        <f t="shared" si="130"/>
        <v>8</v>
      </c>
      <c r="AD279" s="18">
        <f t="shared" si="130"/>
        <v>8</v>
      </c>
      <c r="AE279" s="18">
        <f t="shared" si="130"/>
        <v>8</v>
      </c>
      <c r="AF279" s="1"/>
    </row>
    <row r="280" spans="3:32" x14ac:dyDescent="0.2">
      <c r="C280" s="20" t="s">
        <v>45</v>
      </c>
      <c r="D280" s="262"/>
      <c r="E280" s="182">
        <f>SUM(E272:E279)</f>
        <v>30</v>
      </c>
      <c r="F280" s="9" t="s">
        <v>37</v>
      </c>
      <c r="G280" s="9"/>
      <c r="H280" s="9"/>
      <c r="I280" s="48">
        <f>SUM(I272:I279)</f>
        <v>30</v>
      </c>
      <c r="J280" s="48">
        <f>SUM(J272:J279)</f>
        <v>30</v>
      </c>
      <c r="K280" s="48">
        <f>SUM(K272:K279)</f>
        <v>30</v>
      </c>
      <c r="L280" s="48">
        <f t="shared" ref="L280:AE280" si="132">SUM(L272:L279)</f>
        <v>30</v>
      </c>
      <c r="M280" s="48">
        <f t="shared" si="132"/>
        <v>30</v>
      </c>
      <c r="N280" s="48">
        <f t="shared" si="132"/>
        <v>30</v>
      </c>
      <c r="O280" s="48">
        <f t="shared" si="132"/>
        <v>30</v>
      </c>
      <c r="P280" s="48">
        <f t="shared" si="132"/>
        <v>30</v>
      </c>
      <c r="Q280" s="48">
        <f t="shared" si="132"/>
        <v>30</v>
      </c>
      <c r="R280" s="48">
        <f t="shared" si="132"/>
        <v>30</v>
      </c>
      <c r="S280" s="48">
        <f t="shared" si="132"/>
        <v>30</v>
      </c>
      <c r="T280" s="48">
        <f t="shared" si="132"/>
        <v>30</v>
      </c>
      <c r="U280" s="48">
        <f t="shared" si="132"/>
        <v>30</v>
      </c>
      <c r="V280" s="48">
        <f t="shared" si="132"/>
        <v>30</v>
      </c>
      <c r="W280" s="48">
        <f t="shared" si="132"/>
        <v>30</v>
      </c>
      <c r="X280" s="48">
        <f t="shared" si="132"/>
        <v>30</v>
      </c>
      <c r="Y280" s="48">
        <f t="shared" si="132"/>
        <v>30</v>
      </c>
      <c r="Z280" s="48">
        <f t="shared" si="132"/>
        <v>30</v>
      </c>
      <c r="AA280" s="48">
        <f t="shared" si="132"/>
        <v>30</v>
      </c>
      <c r="AB280" s="48">
        <f t="shared" si="132"/>
        <v>30</v>
      </c>
      <c r="AC280" s="48">
        <f t="shared" si="132"/>
        <v>30</v>
      </c>
      <c r="AD280" s="48">
        <f t="shared" si="132"/>
        <v>30</v>
      </c>
      <c r="AE280" s="48">
        <f t="shared" si="132"/>
        <v>30</v>
      </c>
      <c r="AF280" s="1"/>
    </row>
    <row r="281" spans="3:32" x14ac:dyDescent="0.2">
      <c r="C281" s="5"/>
      <c r="D281" s="5"/>
      <c r="AF281" s="1"/>
    </row>
    <row r="282" spans="3:32" x14ac:dyDescent="0.2">
      <c r="C282" s="47" t="s">
        <v>414</v>
      </c>
      <c r="D282" s="47"/>
      <c r="AF282" s="1"/>
    </row>
    <row r="283" spans="3:32" x14ac:dyDescent="0.2">
      <c r="C283" s="5" t="s">
        <v>415</v>
      </c>
      <c r="D283" s="120"/>
      <c r="E283" s="95">
        <v>4</v>
      </c>
      <c r="F283" s="1" t="s">
        <v>37</v>
      </c>
      <c r="H283" s="21"/>
      <c r="I283" s="18">
        <f t="shared" ref="I283:L285" si="133">$E283</f>
        <v>4</v>
      </c>
      <c r="J283" s="18">
        <f t="shared" si="133"/>
        <v>4</v>
      </c>
      <c r="K283" s="18">
        <f t="shared" si="133"/>
        <v>4</v>
      </c>
      <c r="L283" s="18">
        <f t="shared" si="133"/>
        <v>4</v>
      </c>
      <c r="M283" s="18">
        <f t="shared" ref="M283:AB285" si="134">$E283</f>
        <v>4</v>
      </c>
      <c r="N283" s="18">
        <f t="shared" si="134"/>
        <v>4</v>
      </c>
      <c r="O283" s="18">
        <f t="shared" si="134"/>
        <v>4</v>
      </c>
      <c r="P283" s="18">
        <f t="shared" si="134"/>
        <v>4</v>
      </c>
      <c r="Q283" s="18">
        <f t="shared" si="134"/>
        <v>4</v>
      </c>
      <c r="R283" s="18">
        <f t="shared" si="134"/>
        <v>4</v>
      </c>
      <c r="S283" s="18">
        <f t="shared" si="134"/>
        <v>4</v>
      </c>
      <c r="T283" s="18">
        <f t="shared" si="134"/>
        <v>4</v>
      </c>
      <c r="U283" s="18">
        <f t="shared" si="134"/>
        <v>4</v>
      </c>
      <c r="V283" s="18">
        <f t="shared" si="134"/>
        <v>4</v>
      </c>
      <c r="W283" s="18">
        <f t="shared" si="134"/>
        <v>4</v>
      </c>
      <c r="X283" s="18">
        <f t="shared" si="134"/>
        <v>4</v>
      </c>
      <c r="Y283" s="18">
        <f t="shared" si="134"/>
        <v>4</v>
      </c>
      <c r="Z283" s="18">
        <f t="shared" si="134"/>
        <v>4</v>
      </c>
      <c r="AA283" s="18">
        <f t="shared" si="134"/>
        <v>4</v>
      </c>
      <c r="AB283" s="18">
        <f t="shared" si="134"/>
        <v>4</v>
      </c>
      <c r="AC283" s="18">
        <f t="shared" ref="AC283:AE285" si="135">$E283</f>
        <v>4</v>
      </c>
      <c r="AD283" s="18">
        <f t="shared" si="135"/>
        <v>4</v>
      </c>
      <c r="AE283" s="18">
        <f t="shared" si="135"/>
        <v>4</v>
      </c>
      <c r="AF283" s="1"/>
    </row>
    <row r="284" spans="3:32" x14ac:dyDescent="0.2">
      <c r="C284" s="5" t="s">
        <v>410</v>
      </c>
      <c r="D284" s="120"/>
      <c r="E284" s="95">
        <v>8</v>
      </c>
      <c r="F284" s="1" t="s">
        <v>37</v>
      </c>
      <c r="I284" s="18">
        <f t="shared" si="133"/>
        <v>8</v>
      </c>
      <c r="J284" s="18">
        <f t="shared" si="133"/>
        <v>8</v>
      </c>
      <c r="K284" s="18">
        <f t="shared" si="133"/>
        <v>8</v>
      </c>
      <c r="L284" s="18">
        <f t="shared" si="133"/>
        <v>8</v>
      </c>
      <c r="M284" s="18">
        <f t="shared" si="134"/>
        <v>8</v>
      </c>
      <c r="N284" s="18">
        <f t="shared" si="134"/>
        <v>8</v>
      </c>
      <c r="O284" s="18">
        <f t="shared" si="134"/>
        <v>8</v>
      </c>
      <c r="P284" s="18">
        <f t="shared" si="134"/>
        <v>8</v>
      </c>
      <c r="Q284" s="18">
        <f t="shared" si="134"/>
        <v>8</v>
      </c>
      <c r="R284" s="18">
        <f t="shared" si="134"/>
        <v>8</v>
      </c>
      <c r="S284" s="18">
        <f t="shared" si="134"/>
        <v>8</v>
      </c>
      <c r="T284" s="18">
        <f t="shared" si="134"/>
        <v>8</v>
      </c>
      <c r="U284" s="18">
        <f t="shared" si="134"/>
        <v>8</v>
      </c>
      <c r="V284" s="18">
        <f t="shared" si="134"/>
        <v>8</v>
      </c>
      <c r="W284" s="18">
        <f t="shared" si="134"/>
        <v>8</v>
      </c>
      <c r="X284" s="18">
        <f t="shared" si="134"/>
        <v>8</v>
      </c>
      <c r="Y284" s="18">
        <f t="shared" si="134"/>
        <v>8</v>
      </c>
      <c r="Z284" s="18">
        <f t="shared" si="134"/>
        <v>8</v>
      </c>
      <c r="AA284" s="18">
        <f t="shared" si="134"/>
        <v>8</v>
      </c>
      <c r="AB284" s="18">
        <f t="shared" si="134"/>
        <v>8</v>
      </c>
      <c r="AC284" s="18">
        <f t="shared" si="135"/>
        <v>8</v>
      </c>
      <c r="AD284" s="18">
        <f t="shared" si="135"/>
        <v>8</v>
      </c>
      <c r="AE284" s="18">
        <f t="shared" si="135"/>
        <v>8</v>
      </c>
      <c r="AF284" s="1"/>
    </row>
    <row r="285" spans="3:32" x14ac:dyDescent="0.2">
      <c r="C285" s="5" t="s">
        <v>416</v>
      </c>
      <c r="D285" s="120"/>
      <c r="E285" s="95">
        <v>4</v>
      </c>
      <c r="F285" s="1" t="s">
        <v>37</v>
      </c>
      <c r="I285" s="18">
        <f t="shared" si="133"/>
        <v>4</v>
      </c>
      <c r="J285" s="18">
        <f t="shared" si="133"/>
        <v>4</v>
      </c>
      <c r="K285" s="18">
        <f t="shared" si="133"/>
        <v>4</v>
      </c>
      <c r="L285" s="18">
        <f t="shared" si="133"/>
        <v>4</v>
      </c>
      <c r="M285" s="18">
        <f t="shared" si="134"/>
        <v>4</v>
      </c>
      <c r="N285" s="18">
        <f t="shared" si="134"/>
        <v>4</v>
      </c>
      <c r="O285" s="18">
        <f t="shared" si="134"/>
        <v>4</v>
      </c>
      <c r="P285" s="18">
        <f t="shared" si="134"/>
        <v>4</v>
      </c>
      <c r="Q285" s="18">
        <f t="shared" si="134"/>
        <v>4</v>
      </c>
      <c r="R285" s="18">
        <f t="shared" si="134"/>
        <v>4</v>
      </c>
      <c r="S285" s="18">
        <f t="shared" si="134"/>
        <v>4</v>
      </c>
      <c r="T285" s="18">
        <f t="shared" si="134"/>
        <v>4</v>
      </c>
      <c r="U285" s="18">
        <f t="shared" si="134"/>
        <v>4</v>
      </c>
      <c r="V285" s="18">
        <f t="shared" si="134"/>
        <v>4</v>
      </c>
      <c r="W285" s="18">
        <f t="shared" si="134"/>
        <v>4</v>
      </c>
      <c r="X285" s="18">
        <f t="shared" si="134"/>
        <v>4</v>
      </c>
      <c r="Y285" s="18">
        <f t="shared" si="134"/>
        <v>4</v>
      </c>
      <c r="Z285" s="18">
        <f t="shared" si="134"/>
        <v>4</v>
      </c>
      <c r="AA285" s="18">
        <f t="shared" si="134"/>
        <v>4</v>
      </c>
      <c r="AB285" s="18">
        <f t="shared" si="134"/>
        <v>4</v>
      </c>
      <c r="AC285" s="18">
        <f t="shared" si="135"/>
        <v>4</v>
      </c>
      <c r="AD285" s="18">
        <f t="shared" si="135"/>
        <v>4</v>
      </c>
      <c r="AE285" s="18">
        <f t="shared" si="135"/>
        <v>4</v>
      </c>
      <c r="AF285" s="1"/>
    </row>
    <row r="286" spans="3:32" x14ac:dyDescent="0.2">
      <c r="C286" s="20" t="s">
        <v>45</v>
      </c>
      <c r="D286" s="262"/>
      <c r="E286" s="182">
        <f>SUM(E283:E285)</f>
        <v>16</v>
      </c>
      <c r="F286" s="1" t="s">
        <v>37</v>
      </c>
      <c r="G286" s="9"/>
      <c r="H286" s="9"/>
      <c r="I286" s="44">
        <f>SUM(I283:I285)</f>
        <v>16</v>
      </c>
      <c r="J286" s="44">
        <f>SUM(J283:J285)</f>
        <v>16</v>
      </c>
      <c r="K286" s="44">
        <f>SUM(K283:K285)</f>
        <v>16</v>
      </c>
      <c r="L286" s="44">
        <f t="shared" ref="L286:AE286" si="136">SUM(L283:L285)</f>
        <v>16</v>
      </c>
      <c r="M286" s="44">
        <f t="shared" si="136"/>
        <v>16</v>
      </c>
      <c r="N286" s="44">
        <f t="shared" si="136"/>
        <v>16</v>
      </c>
      <c r="O286" s="44">
        <f t="shared" si="136"/>
        <v>16</v>
      </c>
      <c r="P286" s="44">
        <f t="shared" si="136"/>
        <v>16</v>
      </c>
      <c r="Q286" s="44">
        <f t="shared" si="136"/>
        <v>16</v>
      </c>
      <c r="R286" s="44">
        <f t="shared" si="136"/>
        <v>16</v>
      </c>
      <c r="S286" s="44">
        <f t="shared" si="136"/>
        <v>16</v>
      </c>
      <c r="T286" s="44">
        <f t="shared" si="136"/>
        <v>16</v>
      </c>
      <c r="U286" s="44">
        <f t="shared" si="136"/>
        <v>16</v>
      </c>
      <c r="V286" s="44">
        <f t="shared" si="136"/>
        <v>16</v>
      </c>
      <c r="W286" s="44">
        <f t="shared" si="136"/>
        <v>16</v>
      </c>
      <c r="X286" s="44">
        <f t="shared" si="136"/>
        <v>16</v>
      </c>
      <c r="Y286" s="44">
        <f t="shared" si="136"/>
        <v>16</v>
      </c>
      <c r="Z286" s="44">
        <f t="shared" si="136"/>
        <v>16</v>
      </c>
      <c r="AA286" s="44">
        <f t="shared" si="136"/>
        <v>16</v>
      </c>
      <c r="AB286" s="44">
        <f t="shared" si="136"/>
        <v>16</v>
      </c>
      <c r="AC286" s="44">
        <f t="shared" si="136"/>
        <v>16</v>
      </c>
      <c r="AD286" s="44">
        <f t="shared" si="136"/>
        <v>16</v>
      </c>
      <c r="AE286" s="44">
        <f t="shared" si="136"/>
        <v>16</v>
      </c>
      <c r="AF286" s="1"/>
    </row>
    <row r="287" spans="3:32" x14ac:dyDescent="0.2">
      <c r="C287" s="5"/>
      <c r="D287" s="5"/>
      <c r="AF287" s="1"/>
    </row>
    <row r="288" spans="3:32" x14ac:dyDescent="0.2">
      <c r="C288" s="47" t="s">
        <v>515</v>
      </c>
      <c r="D288" s="47"/>
      <c r="AF288" s="1"/>
    </row>
    <row r="289" spans="3:32" x14ac:dyDescent="0.2">
      <c r="C289" s="5" t="s">
        <v>572</v>
      </c>
      <c r="D289" s="120"/>
      <c r="E289" s="95">
        <v>1</v>
      </c>
      <c r="F289" s="1" t="s">
        <v>37</v>
      </c>
      <c r="I289" s="18">
        <f>$E289</f>
        <v>1</v>
      </c>
      <c r="J289" s="18">
        <f>$E289</f>
        <v>1</v>
      </c>
      <c r="K289" s="18">
        <f>$E289</f>
        <v>1</v>
      </c>
      <c r="L289" s="18">
        <f>$E289</f>
        <v>1</v>
      </c>
      <c r="M289" s="18">
        <f t="shared" ref="M289:AB292" si="137">$E289</f>
        <v>1</v>
      </c>
      <c r="N289" s="18">
        <f t="shared" si="137"/>
        <v>1</v>
      </c>
      <c r="O289" s="18">
        <f t="shared" si="137"/>
        <v>1</v>
      </c>
      <c r="P289" s="18">
        <f t="shared" si="137"/>
        <v>1</v>
      </c>
      <c r="Q289" s="18">
        <f t="shared" si="137"/>
        <v>1</v>
      </c>
      <c r="R289" s="18">
        <f t="shared" si="137"/>
        <v>1</v>
      </c>
      <c r="S289" s="18">
        <f t="shared" si="137"/>
        <v>1</v>
      </c>
      <c r="T289" s="18">
        <f t="shared" si="137"/>
        <v>1</v>
      </c>
      <c r="U289" s="18">
        <f t="shared" si="137"/>
        <v>1</v>
      </c>
      <c r="V289" s="18">
        <f t="shared" si="137"/>
        <v>1</v>
      </c>
      <c r="W289" s="18">
        <f t="shared" si="137"/>
        <v>1</v>
      </c>
      <c r="X289" s="18">
        <f t="shared" si="137"/>
        <v>1</v>
      </c>
      <c r="Y289" s="18">
        <f t="shared" si="137"/>
        <v>1</v>
      </c>
      <c r="Z289" s="18">
        <f t="shared" si="137"/>
        <v>1</v>
      </c>
      <c r="AA289" s="18">
        <f t="shared" si="137"/>
        <v>1</v>
      </c>
      <c r="AB289" s="18">
        <f t="shared" si="137"/>
        <v>1</v>
      </c>
      <c r="AC289" s="18">
        <f t="shared" ref="AC289:AE292" si="138">$E289</f>
        <v>1</v>
      </c>
      <c r="AD289" s="18">
        <f t="shared" si="138"/>
        <v>1</v>
      </c>
      <c r="AE289" s="18">
        <f t="shared" si="138"/>
        <v>1</v>
      </c>
      <c r="AF289" s="1"/>
    </row>
    <row r="290" spans="3:32" x14ac:dyDescent="0.2">
      <c r="C290" s="5" t="s">
        <v>573</v>
      </c>
      <c r="D290" s="120"/>
      <c r="E290" s="95">
        <v>4</v>
      </c>
      <c r="F290" s="1" t="s">
        <v>37</v>
      </c>
      <c r="H290" s="21"/>
      <c r="I290" s="18">
        <f t="shared" ref="I290:L292" si="139">$E290</f>
        <v>4</v>
      </c>
      <c r="J290" s="18">
        <f t="shared" si="139"/>
        <v>4</v>
      </c>
      <c r="K290" s="18">
        <f t="shared" si="139"/>
        <v>4</v>
      </c>
      <c r="L290" s="18">
        <f t="shared" si="139"/>
        <v>4</v>
      </c>
      <c r="M290" s="18">
        <f t="shared" si="137"/>
        <v>4</v>
      </c>
      <c r="N290" s="18">
        <f t="shared" si="137"/>
        <v>4</v>
      </c>
      <c r="O290" s="18">
        <f t="shared" si="137"/>
        <v>4</v>
      </c>
      <c r="P290" s="18">
        <f t="shared" si="137"/>
        <v>4</v>
      </c>
      <c r="Q290" s="18">
        <f t="shared" si="137"/>
        <v>4</v>
      </c>
      <c r="R290" s="18">
        <f t="shared" si="137"/>
        <v>4</v>
      </c>
      <c r="S290" s="18">
        <f t="shared" si="137"/>
        <v>4</v>
      </c>
      <c r="T290" s="18">
        <f t="shared" si="137"/>
        <v>4</v>
      </c>
      <c r="U290" s="18">
        <f t="shared" si="137"/>
        <v>4</v>
      </c>
      <c r="V290" s="18">
        <f t="shared" si="137"/>
        <v>4</v>
      </c>
      <c r="W290" s="18">
        <f t="shared" si="137"/>
        <v>4</v>
      </c>
      <c r="X290" s="18">
        <f t="shared" si="137"/>
        <v>4</v>
      </c>
      <c r="Y290" s="18">
        <f t="shared" si="137"/>
        <v>4</v>
      </c>
      <c r="Z290" s="18">
        <f t="shared" si="137"/>
        <v>4</v>
      </c>
      <c r="AA290" s="18">
        <f t="shared" si="137"/>
        <v>4</v>
      </c>
      <c r="AB290" s="18">
        <f t="shared" si="137"/>
        <v>4</v>
      </c>
      <c r="AC290" s="18">
        <f t="shared" si="138"/>
        <v>4</v>
      </c>
      <c r="AD290" s="18">
        <f t="shared" si="138"/>
        <v>4</v>
      </c>
      <c r="AE290" s="18">
        <f t="shared" si="138"/>
        <v>4</v>
      </c>
      <c r="AF290" s="1"/>
    </row>
    <row r="291" spans="3:32" x14ac:dyDescent="0.2">
      <c r="C291" s="5" t="s">
        <v>417</v>
      </c>
      <c r="D291" s="120"/>
      <c r="E291" s="95">
        <v>4</v>
      </c>
      <c r="F291" s="1" t="s">
        <v>37</v>
      </c>
      <c r="I291" s="18">
        <f t="shared" si="139"/>
        <v>4</v>
      </c>
      <c r="J291" s="18">
        <f t="shared" si="139"/>
        <v>4</v>
      </c>
      <c r="K291" s="18">
        <f t="shared" si="139"/>
        <v>4</v>
      </c>
      <c r="L291" s="18">
        <f t="shared" si="139"/>
        <v>4</v>
      </c>
      <c r="M291" s="18">
        <f t="shared" si="137"/>
        <v>4</v>
      </c>
      <c r="N291" s="18">
        <f t="shared" si="137"/>
        <v>4</v>
      </c>
      <c r="O291" s="18">
        <f t="shared" si="137"/>
        <v>4</v>
      </c>
      <c r="P291" s="18">
        <f t="shared" si="137"/>
        <v>4</v>
      </c>
      <c r="Q291" s="18">
        <f t="shared" si="137"/>
        <v>4</v>
      </c>
      <c r="R291" s="18">
        <f t="shared" si="137"/>
        <v>4</v>
      </c>
      <c r="S291" s="18">
        <f t="shared" si="137"/>
        <v>4</v>
      </c>
      <c r="T291" s="18">
        <f t="shared" si="137"/>
        <v>4</v>
      </c>
      <c r="U291" s="18">
        <f t="shared" si="137"/>
        <v>4</v>
      </c>
      <c r="V291" s="18">
        <f t="shared" si="137"/>
        <v>4</v>
      </c>
      <c r="W291" s="18">
        <f t="shared" si="137"/>
        <v>4</v>
      </c>
      <c r="X291" s="18">
        <f t="shared" si="137"/>
        <v>4</v>
      </c>
      <c r="Y291" s="18">
        <f t="shared" si="137"/>
        <v>4</v>
      </c>
      <c r="Z291" s="18">
        <f t="shared" si="137"/>
        <v>4</v>
      </c>
      <c r="AA291" s="18">
        <f t="shared" si="137"/>
        <v>4</v>
      </c>
      <c r="AB291" s="18">
        <f t="shared" si="137"/>
        <v>4</v>
      </c>
      <c r="AC291" s="18">
        <f t="shared" si="138"/>
        <v>4</v>
      </c>
      <c r="AD291" s="18">
        <f t="shared" si="138"/>
        <v>4</v>
      </c>
      <c r="AE291" s="18">
        <f t="shared" si="138"/>
        <v>4</v>
      </c>
      <c r="AF291" s="1"/>
    </row>
    <row r="292" spans="3:32" x14ac:dyDescent="0.2">
      <c r="C292" s="5" t="s">
        <v>410</v>
      </c>
      <c r="D292" s="120"/>
      <c r="E292" s="95">
        <v>8</v>
      </c>
      <c r="F292" s="1" t="s">
        <v>37</v>
      </c>
      <c r="I292" s="18">
        <f t="shared" si="139"/>
        <v>8</v>
      </c>
      <c r="J292" s="18">
        <f t="shared" si="139"/>
        <v>8</v>
      </c>
      <c r="K292" s="18">
        <f t="shared" si="139"/>
        <v>8</v>
      </c>
      <c r="L292" s="18">
        <f t="shared" si="139"/>
        <v>8</v>
      </c>
      <c r="M292" s="18">
        <f t="shared" si="137"/>
        <v>8</v>
      </c>
      <c r="N292" s="18">
        <f t="shared" si="137"/>
        <v>8</v>
      </c>
      <c r="O292" s="18">
        <f t="shared" si="137"/>
        <v>8</v>
      </c>
      <c r="P292" s="18">
        <f t="shared" si="137"/>
        <v>8</v>
      </c>
      <c r="Q292" s="18">
        <f t="shared" si="137"/>
        <v>8</v>
      </c>
      <c r="R292" s="18">
        <f t="shared" si="137"/>
        <v>8</v>
      </c>
      <c r="S292" s="18">
        <f t="shared" si="137"/>
        <v>8</v>
      </c>
      <c r="T292" s="18">
        <f t="shared" si="137"/>
        <v>8</v>
      </c>
      <c r="U292" s="18">
        <f t="shared" si="137"/>
        <v>8</v>
      </c>
      <c r="V292" s="18">
        <f t="shared" si="137"/>
        <v>8</v>
      </c>
      <c r="W292" s="18">
        <f t="shared" si="137"/>
        <v>8</v>
      </c>
      <c r="X292" s="18">
        <f t="shared" si="137"/>
        <v>8</v>
      </c>
      <c r="Y292" s="18">
        <f t="shared" si="137"/>
        <v>8</v>
      </c>
      <c r="Z292" s="18">
        <f t="shared" si="137"/>
        <v>8</v>
      </c>
      <c r="AA292" s="18">
        <f t="shared" si="137"/>
        <v>8</v>
      </c>
      <c r="AB292" s="18">
        <f t="shared" si="137"/>
        <v>8</v>
      </c>
      <c r="AC292" s="18">
        <f t="shared" si="138"/>
        <v>8</v>
      </c>
      <c r="AD292" s="18">
        <f t="shared" si="138"/>
        <v>8</v>
      </c>
      <c r="AE292" s="18">
        <f t="shared" si="138"/>
        <v>8</v>
      </c>
      <c r="AF292" s="1"/>
    </row>
    <row r="293" spans="3:32" x14ac:dyDescent="0.2">
      <c r="C293" s="20" t="s">
        <v>45</v>
      </c>
      <c r="D293" s="262"/>
      <c r="E293" s="182">
        <f>SUM(E289:E292)</f>
        <v>17</v>
      </c>
      <c r="F293" s="1" t="s">
        <v>37</v>
      </c>
      <c r="G293" s="9"/>
      <c r="H293" s="9"/>
      <c r="I293" s="44">
        <f>SUM(I289:I292)</f>
        <v>17</v>
      </c>
      <c r="J293" s="44">
        <f>SUM(J289:J292)</f>
        <v>17</v>
      </c>
      <c r="K293" s="44">
        <f>SUM(K289:K292)</f>
        <v>17</v>
      </c>
      <c r="L293" s="44">
        <f t="shared" ref="L293:AE293" si="140">SUM(L289:L292)</f>
        <v>17</v>
      </c>
      <c r="M293" s="44">
        <f t="shared" si="140"/>
        <v>17</v>
      </c>
      <c r="N293" s="44">
        <f t="shared" si="140"/>
        <v>17</v>
      </c>
      <c r="O293" s="44">
        <f t="shared" si="140"/>
        <v>17</v>
      </c>
      <c r="P293" s="44">
        <f t="shared" si="140"/>
        <v>17</v>
      </c>
      <c r="Q293" s="44">
        <f t="shared" si="140"/>
        <v>17</v>
      </c>
      <c r="R293" s="44">
        <f t="shared" si="140"/>
        <v>17</v>
      </c>
      <c r="S293" s="44">
        <f t="shared" si="140"/>
        <v>17</v>
      </c>
      <c r="T293" s="44">
        <f t="shared" si="140"/>
        <v>17</v>
      </c>
      <c r="U293" s="44">
        <f t="shared" si="140"/>
        <v>17</v>
      </c>
      <c r="V293" s="44">
        <f t="shared" si="140"/>
        <v>17</v>
      </c>
      <c r="W293" s="44">
        <f t="shared" si="140"/>
        <v>17</v>
      </c>
      <c r="X293" s="44">
        <f t="shared" si="140"/>
        <v>17</v>
      </c>
      <c r="Y293" s="44">
        <f t="shared" si="140"/>
        <v>17</v>
      </c>
      <c r="Z293" s="44">
        <f t="shared" si="140"/>
        <v>17</v>
      </c>
      <c r="AA293" s="44">
        <f t="shared" si="140"/>
        <v>17</v>
      </c>
      <c r="AB293" s="44">
        <f t="shared" si="140"/>
        <v>17</v>
      </c>
      <c r="AC293" s="44">
        <f t="shared" si="140"/>
        <v>17</v>
      </c>
      <c r="AD293" s="44">
        <f t="shared" si="140"/>
        <v>17</v>
      </c>
      <c r="AE293" s="44">
        <f t="shared" si="140"/>
        <v>17</v>
      </c>
      <c r="AF293" s="1"/>
    </row>
    <row r="294" spans="3:32" x14ac:dyDescent="0.2">
      <c r="C294" s="5"/>
      <c r="D294" s="5"/>
      <c r="AF294" s="1"/>
    </row>
    <row r="295" spans="3:32" x14ac:dyDescent="0.2">
      <c r="C295" s="47" t="s">
        <v>418</v>
      </c>
      <c r="D295" s="5"/>
      <c r="AF295" s="1"/>
    </row>
    <row r="296" spans="3:32" x14ac:dyDescent="0.2">
      <c r="C296" s="5" t="s">
        <v>419</v>
      </c>
      <c r="D296" s="120"/>
      <c r="E296" s="95">
        <v>1</v>
      </c>
      <c r="F296" s="1" t="s">
        <v>37</v>
      </c>
      <c r="I296" s="18">
        <f t="shared" ref="I296:L298" si="141">$E296</f>
        <v>1</v>
      </c>
      <c r="J296" s="18">
        <f t="shared" si="141"/>
        <v>1</v>
      </c>
      <c r="K296" s="18">
        <f t="shared" si="141"/>
        <v>1</v>
      </c>
      <c r="L296" s="18">
        <f t="shared" si="141"/>
        <v>1</v>
      </c>
      <c r="M296" s="18">
        <f t="shared" ref="M296:AB298" si="142">$E296</f>
        <v>1</v>
      </c>
      <c r="N296" s="18">
        <f t="shared" si="142"/>
        <v>1</v>
      </c>
      <c r="O296" s="18">
        <f t="shared" si="142"/>
        <v>1</v>
      </c>
      <c r="P296" s="18">
        <f t="shared" si="142"/>
        <v>1</v>
      </c>
      <c r="Q296" s="18">
        <f t="shared" si="142"/>
        <v>1</v>
      </c>
      <c r="R296" s="18">
        <f t="shared" si="142"/>
        <v>1</v>
      </c>
      <c r="S296" s="18">
        <f t="shared" si="142"/>
        <v>1</v>
      </c>
      <c r="T296" s="18">
        <f t="shared" si="142"/>
        <v>1</v>
      </c>
      <c r="U296" s="18">
        <f t="shared" si="142"/>
        <v>1</v>
      </c>
      <c r="V296" s="18">
        <f t="shared" si="142"/>
        <v>1</v>
      </c>
      <c r="W296" s="18">
        <f t="shared" si="142"/>
        <v>1</v>
      </c>
      <c r="X296" s="18">
        <f t="shared" si="142"/>
        <v>1</v>
      </c>
      <c r="Y296" s="18">
        <f t="shared" si="142"/>
        <v>1</v>
      </c>
      <c r="Z296" s="18">
        <f t="shared" si="142"/>
        <v>1</v>
      </c>
      <c r="AA296" s="18">
        <f t="shared" si="142"/>
        <v>1</v>
      </c>
      <c r="AB296" s="18">
        <f t="shared" si="142"/>
        <v>1</v>
      </c>
      <c r="AC296" s="18">
        <f t="shared" ref="AC296:AE298" si="143">$E296</f>
        <v>1</v>
      </c>
      <c r="AD296" s="18">
        <f t="shared" si="143"/>
        <v>1</v>
      </c>
      <c r="AE296" s="18">
        <f t="shared" si="143"/>
        <v>1</v>
      </c>
      <c r="AF296" s="1"/>
    </row>
    <row r="297" spans="3:32" x14ac:dyDescent="0.2">
      <c r="C297" s="5" t="s">
        <v>420</v>
      </c>
      <c r="D297" s="120"/>
      <c r="E297" s="95">
        <v>4</v>
      </c>
      <c r="F297" s="1" t="s">
        <v>37</v>
      </c>
      <c r="H297" s="21"/>
      <c r="I297" s="18">
        <f t="shared" si="141"/>
        <v>4</v>
      </c>
      <c r="J297" s="18">
        <f t="shared" si="141"/>
        <v>4</v>
      </c>
      <c r="K297" s="18">
        <f t="shared" si="141"/>
        <v>4</v>
      </c>
      <c r="L297" s="18">
        <f t="shared" si="141"/>
        <v>4</v>
      </c>
      <c r="M297" s="18">
        <f t="shared" si="142"/>
        <v>4</v>
      </c>
      <c r="N297" s="18">
        <f t="shared" si="142"/>
        <v>4</v>
      </c>
      <c r="O297" s="18">
        <f t="shared" si="142"/>
        <v>4</v>
      </c>
      <c r="P297" s="18">
        <f t="shared" si="142"/>
        <v>4</v>
      </c>
      <c r="Q297" s="18">
        <f t="shared" si="142"/>
        <v>4</v>
      </c>
      <c r="R297" s="18">
        <f t="shared" si="142"/>
        <v>4</v>
      </c>
      <c r="S297" s="18">
        <f t="shared" si="142"/>
        <v>4</v>
      </c>
      <c r="T297" s="18">
        <f t="shared" si="142"/>
        <v>4</v>
      </c>
      <c r="U297" s="18">
        <f t="shared" si="142"/>
        <v>4</v>
      </c>
      <c r="V297" s="18">
        <f t="shared" si="142"/>
        <v>4</v>
      </c>
      <c r="W297" s="18">
        <f t="shared" si="142"/>
        <v>4</v>
      </c>
      <c r="X297" s="18">
        <f t="shared" si="142"/>
        <v>4</v>
      </c>
      <c r="Y297" s="18">
        <f t="shared" si="142"/>
        <v>4</v>
      </c>
      <c r="Z297" s="18">
        <f t="shared" si="142"/>
        <v>4</v>
      </c>
      <c r="AA297" s="18">
        <f t="shared" si="142"/>
        <v>4</v>
      </c>
      <c r="AB297" s="18">
        <f t="shared" si="142"/>
        <v>4</v>
      </c>
      <c r="AC297" s="18">
        <f t="shared" si="143"/>
        <v>4</v>
      </c>
      <c r="AD297" s="18">
        <f t="shared" si="143"/>
        <v>4</v>
      </c>
      <c r="AE297" s="18">
        <f t="shared" si="143"/>
        <v>4</v>
      </c>
      <c r="AF297" s="1"/>
    </row>
    <row r="298" spans="3:32" x14ac:dyDescent="0.2">
      <c r="C298" s="5" t="s">
        <v>410</v>
      </c>
      <c r="D298" s="120"/>
      <c r="E298" s="95">
        <v>0</v>
      </c>
      <c r="F298" s="1" t="s">
        <v>37</v>
      </c>
      <c r="I298" s="18">
        <f t="shared" si="141"/>
        <v>0</v>
      </c>
      <c r="J298" s="18">
        <f t="shared" si="141"/>
        <v>0</v>
      </c>
      <c r="K298" s="18">
        <f t="shared" si="141"/>
        <v>0</v>
      </c>
      <c r="L298" s="18">
        <f t="shared" si="141"/>
        <v>0</v>
      </c>
      <c r="M298" s="18">
        <f t="shared" si="142"/>
        <v>0</v>
      </c>
      <c r="N298" s="18">
        <f t="shared" si="142"/>
        <v>0</v>
      </c>
      <c r="O298" s="18">
        <f t="shared" si="142"/>
        <v>0</v>
      </c>
      <c r="P298" s="18">
        <f t="shared" si="142"/>
        <v>0</v>
      </c>
      <c r="Q298" s="18">
        <f t="shared" si="142"/>
        <v>0</v>
      </c>
      <c r="R298" s="18">
        <f t="shared" si="142"/>
        <v>0</v>
      </c>
      <c r="S298" s="18">
        <f t="shared" si="142"/>
        <v>0</v>
      </c>
      <c r="T298" s="18">
        <f t="shared" si="142"/>
        <v>0</v>
      </c>
      <c r="U298" s="18">
        <f t="shared" si="142"/>
        <v>0</v>
      </c>
      <c r="V298" s="18">
        <f t="shared" si="142"/>
        <v>0</v>
      </c>
      <c r="W298" s="18">
        <f t="shared" si="142"/>
        <v>0</v>
      </c>
      <c r="X298" s="18">
        <f t="shared" si="142"/>
        <v>0</v>
      </c>
      <c r="Y298" s="18">
        <f t="shared" si="142"/>
        <v>0</v>
      </c>
      <c r="Z298" s="18">
        <f t="shared" si="142"/>
        <v>0</v>
      </c>
      <c r="AA298" s="18">
        <f t="shared" si="142"/>
        <v>0</v>
      </c>
      <c r="AB298" s="18">
        <f t="shared" si="142"/>
        <v>0</v>
      </c>
      <c r="AC298" s="18">
        <f t="shared" si="143"/>
        <v>0</v>
      </c>
      <c r="AD298" s="18">
        <f t="shared" si="143"/>
        <v>0</v>
      </c>
      <c r="AE298" s="18">
        <f t="shared" si="143"/>
        <v>0</v>
      </c>
      <c r="AF298" s="1"/>
    </row>
    <row r="299" spans="3:32" x14ac:dyDescent="0.2">
      <c r="C299" s="20" t="s">
        <v>45</v>
      </c>
      <c r="D299" s="262"/>
      <c r="E299" s="182">
        <f>SUM(E296:E298)</f>
        <v>5</v>
      </c>
      <c r="F299" s="1" t="s">
        <v>37</v>
      </c>
      <c r="I299" s="44">
        <f>SUM(I296:I298)</f>
        <v>5</v>
      </c>
      <c r="J299" s="44">
        <f>SUM(J296:J298)</f>
        <v>5</v>
      </c>
      <c r="K299" s="44">
        <f>SUM(K296:K298)</f>
        <v>5</v>
      </c>
      <c r="L299" s="44">
        <f>SUM(L296:L298)</f>
        <v>5</v>
      </c>
      <c r="M299" s="44">
        <f t="shared" ref="M299:AE299" si="144">SUM(M296:M298)</f>
        <v>5</v>
      </c>
      <c r="N299" s="44">
        <f t="shared" si="144"/>
        <v>5</v>
      </c>
      <c r="O299" s="44">
        <f t="shared" si="144"/>
        <v>5</v>
      </c>
      <c r="P299" s="44">
        <f t="shared" si="144"/>
        <v>5</v>
      </c>
      <c r="Q299" s="44">
        <f t="shared" si="144"/>
        <v>5</v>
      </c>
      <c r="R299" s="44">
        <f t="shared" si="144"/>
        <v>5</v>
      </c>
      <c r="S299" s="44">
        <f t="shared" si="144"/>
        <v>5</v>
      </c>
      <c r="T299" s="44">
        <f t="shared" si="144"/>
        <v>5</v>
      </c>
      <c r="U299" s="44">
        <f t="shared" si="144"/>
        <v>5</v>
      </c>
      <c r="V299" s="44">
        <f t="shared" si="144"/>
        <v>5</v>
      </c>
      <c r="W299" s="44">
        <f t="shared" si="144"/>
        <v>5</v>
      </c>
      <c r="X299" s="44">
        <f t="shared" si="144"/>
        <v>5</v>
      </c>
      <c r="Y299" s="44">
        <f t="shared" si="144"/>
        <v>5</v>
      </c>
      <c r="Z299" s="44">
        <f t="shared" si="144"/>
        <v>5</v>
      </c>
      <c r="AA299" s="44">
        <f t="shared" si="144"/>
        <v>5</v>
      </c>
      <c r="AB299" s="44">
        <f t="shared" si="144"/>
        <v>5</v>
      </c>
      <c r="AC299" s="44">
        <f t="shared" si="144"/>
        <v>5</v>
      </c>
      <c r="AD299" s="44">
        <f t="shared" si="144"/>
        <v>5</v>
      </c>
      <c r="AE299" s="44">
        <f t="shared" si="144"/>
        <v>5</v>
      </c>
      <c r="AF299" s="1"/>
    </row>
    <row r="300" spans="3:32" x14ac:dyDescent="0.2">
      <c r="C300" s="5"/>
      <c r="D300" s="5"/>
      <c r="AF300" s="1"/>
    </row>
    <row r="301" spans="3:32" x14ac:dyDescent="0.2">
      <c r="C301" s="47" t="s">
        <v>421</v>
      </c>
      <c r="D301" s="47"/>
      <c r="AF301" s="1"/>
    </row>
    <row r="302" spans="3:32" x14ac:dyDescent="0.2">
      <c r="C302" s="5" t="s">
        <v>422</v>
      </c>
      <c r="D302" s="120"/>
      <c r="E302" s="95">
        <v>1</v>
      </c>
      <c r="F302" s="1" t="s">
        <v>37</v>
      </c>
      <c r="I302" s="18">
        <f>$E302</f>
        <v>1</v>
      </c>
      <c r="J302" s="18">
        <f>$E302</f>
        <v>1</v>
      </c>
      <c r="K302" s="18">
        <f>$E302</f>
        <v>1</v>
      </c>
      <c r="L302" s="18">
        <f>$E302</f>
        <v>1</v>
      </c>
      <c r="M302" s="18">
        <f t="shared" ref="M302:AB308" si="145">$E302</f>
        <v>1</v>
      </c>
      <c r="N302" s="18">
        <f t="shared" si="145"/>
        <v>1</v>
      </c>
      <c r="O302" s="18">
        <f t="shared" si="145"/>
        <v>1</v>
      </c>
      <c r="P302" s="18">
        <f t="shared" si="145"/>
        <v>1</v>
      </c>
      <c r="Q302" s="18">
        <f t="shared" si="145"/>
        <v>1</v>
      </c>
      <c r="R302" s="18">
        <f t="shared" si="145"/>
        <v>1</v>
      </c>
      <c r="S302" s="18">
        <f t="shared" si="145"/>
        <v>1</v>
      </c>
      <c r="T302" s="18">
        <f t="shared" si="145"/>
        <v>1</v>
      </c>
      <c r="U302" s="18">
        <f t="shared" si="145"/>
        <v>1</v>
      </c>
      <c r="V302" s="18">
        <f t="shared" si="145"/>
        <v>1</v>
      </c>
      <c r="W302" s="18">
        <f t="shared" si="145"/>
        <v>1</v>
      </c>
      <c r="X302" s="18">
        <f t="shared" si="145"/>
        <v>1</v>
      </c>
      <c r="Y302" s="18">
        <f t="shared" si="145"/>
        <v>1</v>
      </c>
      <c r="Z302" s="18">
        <f t="shared" si="145"/>
        <v>1</v>
      </c>
      <c r="AA302" s="18">
        <f t="shared" si="145"/>
        <v>1</v>
      </c>
      <c r="AB302" s="18">
        <f t="shared" si="145"/>
        <v>1</v>
      </c>
      <c r="AC302" s="18">
        <f t="shared" ref="AC302:AE308" si="146">$E302</f>
        <v>1</v>
      </c>
      <c r="AD302" s="18">
        <f t="shared" si="146"/>
        <v>1</v>
      </c>
      <c r="AE302" s="18">
        <f t="shared" si="146"/>
        <v>1</v>
      </c>
      <c r="AF302" s="1"/>
    </row>
    <row r="303" spans="3:32" x14ac:dyDescent="0.2">
      <c r="C303" s="5" t="s">
        <v>423</v>
      </c>
      <c r="D303" s="120"/>
      <c r="E303" s="95">
        <v>1</v>
      </c>
      <c r="F303" s="1" t="s">
        <v>37</v>
      </c>
      <c r="H303" s="21"/>
      <c r="I303" s="18">
        <f t="shared" ref="I303:L308" si="147">$E303</f>
        <v>1</v>
      </c>
      <c r="J303" s="18">
        <f t="shared" si="147"/>
        <v>1</v>
      </c>
      <c r="K303" s="18">
        <f t="shared" si="147"/>
        <v>1</v>
      </c>
      <c r="L303" s="18">
        <f t="shared" si="147"/>
        <v>1</v>
      </c>
      <c r="M303" s="18">
        <f t="shared" si="145"/>
        <v>1</v>
      </c>
      <c r="N303" s="18">
        <f t="shared" si="145"/>
        <v>1</v>
      </c>
      <c r="O303" s="18">
        <f t="shared" si="145"/>
        <v>1</v>
      </c>
      <c r="P303" s="18">
        <f t="shared" si="145"/>
        <v>1</v>
      </c>
      <c r="Q303" s="18">
        <f t="shared" si="145"/>
        <v>1</v>
      </c>
      <c r="R303" s="18">
        <f t="shared" si="145"/>
        <v>1</v>
      </c>
      <c r="S303" s="18">
        <f t="shared" si="145"/>
        <v>1</v>
      </c>
      <c r="T303" s="18">
        <f t="shared" si="145"/>
        <v>1</v>
      </c>
      <c r="U303" s="18">
        <f t="shared" si="145"/>
        <v>1</v>
      </c>
      <c r="V303" s="18">
        <f t="shared" si="145"/>
        <v>1</v>
      </c>
      <c r="W303" s="18">
        <f t="shared" si="145"/>
        <v>1</v>
      </c>
      <c r="X303" s="18">
        <f t="shared" si="145"/>
        <v>1</v>
      </c>
      <c r="Y303" s="18">
        <f t="shared" si="145"/>
        <v>1</v>
      </c>
      <c r="Z303" s="18">
        <f t="shared" si="145"/>
        <v>1</v>
      </c>
      <c r="AA303" s="18">
        <f t="shared" si="145"/>
        <v>1</v>
      </c>
      <c r="AB303" s="18">
        <f t="shared" si="145"/>
        <v>1</v>
      </c>
      <c r="AC303" s="18">
        <f t="shared" si="146"/>
        <v>1</v>
      </c>
      <c r="AD303" s="18">
        <f t="shared" si="146"/>
        <v>1</v>
      </c>
      <c r="AE303" s="18">
        <f t="shared" si="146"/>
        <v>1</v>
      </c>
      <c r="AF303" s="1"/>
    </row>
    <row r="304" spans="3:32" x14ac:dyDescent="0.2">
      <c r="C304" s="5" t="s">
        <v>424</v>
      </c>
      <c r="D304" s="120"/>
      <c r="E304" s="95">
        <v>1</v>
      </c>
      <c r="F304" s="1" t="s">
        <v>37</v>
      </c>
      <c r="I304" s="18">
        <f t="shared" si="147"/>
        <v>1</v>
      </c>
      <c r="J304" s="18">
        <f t="shared" si="147"/>
        <v>1</v>
      </c>
      <c r="K304" s="18">
        <f t="shared" si="147"/>
        <v>1</v>
      </c>
      <c r="L304" s="18">
        <f t="shared" si="147"/>
        <v>1</v>
      </c>
      <c r="M304" s="18">
        <f t="shared" si="145"/>
        <v>1</v>
      </c>
      <c r="N304" s="18">
        <f t="shared" si="145"/>
        <v>1</v>
      </c>
      <c r="O304" s="18">
        <f t="shared" si="145"/>
        <v>1</v>
      </c>
      <c r="P304" s="18">
        <f t="shared" si="145"/>
        <v>1</v>
      </c>
      <c r="Q304" s="18">
        <f t="shared" si="145"/>
        <v>1</v>
      </c>
      <c r="R304" s="18">
        <f t="shared" si="145"/>
        <v>1</v>
      </c>
      <c r="S304" s="18">
        <f t="shared" si="145"/>
        <v>1</v>
      </c>
      <c r="T304" s="18">
        <f t="shared" si="145"/>
        <v>1</v>
      </c>
      <c r="U304" s="18">
        <f t="shared" si="145"/>
        <v>1</v>
      </c>
      <c r="V304" s="18">
        <f t="shared" si="145"/>
        <v>1</v>
      </c>
      <c r="W304" s="18">
        <f t="shared" si="145"/>
        <v>1</v>
      </c>
      <c r="X304" s="18">
        <f t="shared" si="145"/>
        <v>1</v>
      </c>
      <c r="Y304" s="18">
        <f t="shared" si="145"/>
        <v>1</v>
      </c>
      <c r="Z304" s="18">
        <f t="shared" si="145"/>
        <v>1</v>
      </c>
      <c r="AA304" s="18">
        <f t="shared" si="145"/>
        <v>1</v>
      </c>
      <c r="AB304" s="18">
        <f t="shared" si="145"/>
        <v>1</v>
      </c>
      <c r="AC304" s="18">
        <f t="shared" si="146"/>
        <v>1</v>
      </c>
      <c r="AD304" s="18">
        <f t="shared" si="146"/>
        <v>1</v>
      </c>
      <c r="AE304" s="18">
        <f t="shared" si="146"/>
        <v>1</v>
      </c>
      <c r="AF304" s="1"/>
    </row>
    <row r="305" spans="3:32" x14ac:dyDescent="0.2">
      <c r="C305" s="5" t="s">
        <v>425</v>
      </c>
      <c r="D305" s="120"/>
      <c r="E305" s="95">
        <v>2</v>
      </c>
      <c r="F305" s="1" t="s">
        <v>37</v>
      </c>
      <c r="I305" s="18">
        <f t="shared" si="147"/>
        <v>2</v>
      </c>
      <c r="J305" s="18">
        <f t="shared" si="147"/>
        <v>2</v>
      </c>
      <c r="K305" s="18">
        <f t="shared" si="147"/>
        <v>2</v>
      </c>
      <c r="L305" s="18">
        <f t="shared" si="147"/>
        <v>2</v>
      </c>
      <c r="M305" s="18">
        <f t="shared" si="145"/>
        <v>2</v>
      </c>
      <c r="N305" s="18">
        <f t="shared" si="145"/>
        <v>2</v>
      </c>
      <c r="O305" s="18">
        <f t="shared" si="145"/>
        <v>2</v>
      </c>
      <c r="P305" s="18">
        <f t="shared" si="145"/>
        <v>2</v>
      </c>
      <c r="Q305" s="18">
        <f t="shared" si="145"/>
        <v>2</v>
      </c>
      <c r="R305" s="18">
        <f t="shared" si="145"/>
        <v>2</v>
      </c>
      <c r="S305" s="18">
        <f t="shared" si="145"/>
        <v>2</v>
      </c>
      <c r="T305" s="18">
        <f t="shared" si="145"/>
        <v>2</v>
      </c>
      <c r="U305" s="18">
        <f t="shared" si="145"/>
        <v>2</v>
      </c>
      <c r="V305" s="18">
        <f t="shared" si="145"/>
        <v>2</v>
      </c>
      <c r="W305" s="18">
        <f t="shared" si="145"/>
        <v>2</v>
      </c>
      <c r="X305" s="18">
        <f t="shared" si="145"/>
        <v>2</v>
      </c>
      <c r="Y305" s="18">
        <f t="shared" si="145"/>
        <v>2</v>
      </c>
      <c r="Z305" s="18">
        <f t="shared" si="145"/>
        <v>2</v>
      </c>
      <c r="AA305" s="18">
        <f t="shared" si="145"/>
        <v>2</v>
      </c>
      <c r="AB305" s="18">
        <f t="shared" si="145"/>
        <v>2</v>
      </c>
      <c r="AC305" s="18">
        <f t="shared" si="146"/>
        <v>2</v>
      </c>
      <c r="AD305" s="18">
        <f t="shared" si="146"/>
        <v>2</v>
      </c>
      <c r="AE305" s="18">
        <f t="shared" si="146"/>
        <v>2</v>
      </c>
      <c r="AF305" s="1"/>
    </row>
    <row r="306" spans="3:32" x14ac:dyDescent="0.2">
      <c r="C306" s="5" t="s">
        <v>426</v>
      </c>
      <c r="D306" s="120"/>
      <c r="E306" s="95">
        <v>8</v>
      </c>
      <c r="F306" s="1" t="s">
        <v>37</v>
      </c>
      <c r="I306" s="18">
        <f t="shared" si="147"/>
        <v>8</v>
      </c>
      <c r="J306" s="18">
        <f t="shared" si="147"/>
        <v>8</v>
      </c>
      <c r="K306" s="18">
        <f t="shared" si="147"/>
        <v>8</v>
      </c>
      <c r="L306" s="18">
        <f t="shared" si="147"/>
        <v>8</v>
      </c>
      <c r="M306" s="18">
        <f t="shared" si="145"/>
        <v>8</v>
      </c>
      <c r="N306" s="18">
        <f t="shared" si="145"/>
        <v>8</v>
      </c>
      <c r="O306" s="18">
        <f t="shared" si="145"/>
        <v>8</v>
      </c>
      <c r="P306" s="18">
        <f t="shared" si="145"/>
        <v>8</v>
      </c>
      <c r="Q306" s="18">
        <f t="shared" si="145"/>
        <v>8</v>
      </c>
      <c r="R306" s="18">
        <f t="shared" si="145"/>
        <v>8</v>
      </c>
      <c r="S306" s="18">
        <f t="shared" si="145"/>
        <v>8</v>
      </c>
      <c r="T306" s="18">
        <f t="shared" si="145"/>
        <v>8</v>
      </c>
      <c r="U306" s="18">
        <f t="shared" si="145"/>
        <v>8</v>
      </c>
      <c r="V306" s="18">
        <f t="shared" si="145"/>
        <v>8</v>
      </c>
      <c r="W306" s="18">
        <f t="shared" si="145"/>
        <v>8</v>
      </c>
      <c r="X306" s="18">
        <f t="shared" si="145"/>
        <v>8</v>
      </c>
      <c r="Y306" s="18">
        <f t="shared" si="145"/>
        <v>8</v>
      </c>
      <c r="Z306" s="18">
        <f t="shared" si="145"/>
        <v>8</v>
      </c>
      <c r="AA306" s="18">
        <f t="shared" si="145"/>
        <v>8</v>
      </c>
      <c r="AB306" s="18">
        <f t="shared" si="145"/>
        <v>8</v>
      </c>
      <c r="AC306" s="18">
        <f t="shared" si="146"/>
        <v>8</v>
      </c>
      <c r="AD306" s="18">
        <f t="shared" si="146"/>
        <v>8</v>
      </c>
      <c r="AE306" s="18">
        <f t="shared" si="146"/>
        <v>8</v>
      </c>
      <c r="AF306" s="1"/>
    </row>
    <row r="307" spans="3:32" x14ac:dyDescent="0.2">
      <c r="C307" s="5" t="s">
        <v>427</v>
      </c>
      <c r="D307" s="120"/>
      <c r="E307" s="95">
        <v>9</v>
      </c>
      <c r="F307" s="1" t="s">
        <v>37</v>
      </c>
      <c r="I307" s="18">
        <f t="shared" si="147"/>
        <v>9</v>
      </c>
      <c r="J307" s="18">
        <f t="shared" si="147"/>
        <v>9</v>
      </c>
      <c r="K307" s="18">
        <f t="shared" si="147"/>
        <v>9</v>
      </c>
      <c r="L307" s="18">
        <f t="shared" si="147"/>
        <v>9</v>
      </c>
      <c r="M307" s="18">
        <f t="shared" si="145"/>
        <v>9</v>
      </c>
      <c r="N307" s="18">
        <f t="shared" si="145"/>
        <v>9</v>
      </c>
      <c r="O307" s="18">
        <f t="shared" si="145"/>
        <v>9</v>
      </c>
      <c r="P307" s="18">
        <f t="shared" si="145"/>
        <v>9</v>
      </c>
      <c r="Q307" s="18">
        <f t="shared" si="145"/>
        <v>9</v>
      </c>
      <c r="R307" s="18">
        <f t="shared" si="145"/>
        <v>9</v>
      </c>
      <c r="S307" s="18">
        <f t="shared" si="145"/>
        <v>9</v>
      </c>
      <c r="T307" s="18">
        <f t="shared" si="145"/>
        <v>9</v>
      </c>
      <c r="U307" s="18">
        <f t="shared" si="145"/>
        <v>9</v>
      </c>
      <c r="V307" s="18">
        <f t="shared" si="145"/>
        <v>9</v>
      </c>
      <c r="W307" s="18">
        <f t="shared" si="145"/>
        <v>9</v>
      </c>
      <c r="X307" s="18">
        <f t="shared" si="145"/>
        <v>9</v>
      </c>
      <c r="Y307" s="18">
        <f t="shared" si="145"/>
        <v>9</v>
      </c>
      <c r="Z307" s="18">
        <f t="shared" si="145"/>
        <v>9</v>
      </c>
      <c r="AA307" s="18">
        <f t="shared" si="145"/>
        <v>9</v>
      </c>
      <c r="AB307" s="18">
        <f t="shared" si="145"/>
        <v>9</v>
      </c>
      <c r="AC307" s="18">
        <f t="shared" si="146"/>
        <v>9</v>
      </c>
      <c r="AD307" s="18">
        <f t="shared" si="146"/>
        <v>9</v>
      </c>
      <c r="AE307" s="18">
        <f t="shared" si="146"/>
        <v>9</v>
      </c>
      <c r="AF307" s="1"/>
    </row>
    <row r="308" spans="3:32" x14ac:dyDescent="0.2">
      <c r="C308" s="5" t="s">
        <v>428</v>
      </c>
      <c r="D308" s="120"/>
      <c r="E308" s="95">
        <v>1</v>
      </c>
      <c r="F308" s="1" t="s">
        <v>37</v>
      </c>
      <c r="I308" s="18">
        <f t="shared" si="147"/>
        <v>1</v>
      </c>
      <c r="J308" s="18">
        <f t="shared" si="147"/>
        <v>1</v>
      </c>
      <c r="K308" s="18">
        <f t="shared" si="147"/>
        <v>1</v>
      </c>
      <c r="L308" s="18">
        <f t="shared" si="147"/>
        <v>1</v>
      </c>
      <c r="M308" s="18">
        <f t="shared" si="145"/>
        <v>1</v>
      </c>
      <c r="N308" s="18">
        <f t="shared" si="145"/>
        <v>1</v>
      </c>
      <c r="O308" s="18">
        <f t="shared" si="145"/>
        <v>1</v>
      </c>
      <c r="P308" s="18">
        <f t="shared" si="145"/>
        <v>1</v>
      </c>
      <c r="Q308" s="18">
        <f t="shared" si="145"/>
        <v>1</v>
      </c>
      <c r="R308" s="18">
        <f t="shared" si="145"/>
        <v>1</v>
      </c>
      <c r="S308" s="18">
        <f t="shared" si="145"/>
        <v>1</v>
      </c>
      <c r="T308" s="18">
        <f t="shared" si="145"/>
        <v>1</v>
      </c>
      <c r="U308" s="18">
        <f t="shared" si="145"/>
        <v>1</v>
      </c>
      <c r="V308" s="18">
        <f t="shared" si="145"/>
        <v>1</v>
      </c>
      <c r="W308" s="18">
        <f t="shared" si="145"/>
        <v>1</v>
      </c>
      <c r="X308" s="18">
        <f t="shared" si="145"/>
        <v>1</v>
      </c>
      <c r="Y308" s="18">
        <f t="shared" si="145"/>
        <v>1</v>
      </c>
      <c r="Z308" s="18">
        <f t="shared" si="145"/>
        <v>1</v>
      </c>
      <c r="AA308" s="18">
        <f t="shared" si="145"/>
        <v>1</v>
      </c>
      <c r="AB308" s="18">
        <f t="shared" si="145"/>
        <v>1</v>
      </c>
      <c r="AC308" s="18">
        <f t="shared" si="146"/>
        <v>1</v>
      </c>
      <c r="AD308" s="18">
        <f t="shared" si="146"/>
        <v>1</v>
      </c>
      <c r="AE308" s="18">
        <f t="shared" si="146"/>
        <v>1</v>
      </c>
      <c r="AF308" s="1"/>
    </row>
    <row r="309" spans="3:32" x14ac:dyDescent="0.2">
      <c r="C309" s="20" t="s">
        <v>43</v>
      </c>
      <c r="D309" s="262"/>
      <c r="E309" s="182">
        <f>SUM(E302:E308)</f>
        <v>23</v>
      </c>
      <c r="F309" s="9" t="s">
        <v>37</v>
      </c>
      <c r="G309" s="9"/>
      <c r="H309" s="9"/>
      <c r="I309" s="183">
        <f t="shared" ref="I309:AE309" si="148">$E309</f>
        <v>23</v>
      </c>
      <c r="J309" s="183">
        <f t="shared" si="148"/>
        <v>23</v>
      </c>
      <c r="K309" s="183">
        <f t="shared" si="148"/>
        <v>23</v>
      </c>
      <c r="L309" s="183">
        <f t="shared" si="148"/>
        <v>23</v>
      </c>
      <c r="M309" s="183">
        <f t="shared" si="148"/>
        <v>23</v>
      </c>
      <c r="N309" s="183">
        <f t="shared" si="148"/>
        <v>23</v>
      </c>
      <c r="O309" s="183">
        <f t="shared" si="148"/>
        <v>23</v>
      </c>
      <c r="P309" s="183">
        <f t="shared" si="148"/>
        <v>23</v>
      </c>
      <c r="Q309" s="183">
        <f t="shared" si="148"/>
        <v>23</v>
      </c>
      <c r="R309" s="183">
        <f t="shared" si="148"/>
        <v>23</v>
      </c>
      <c r="S309" s="183">
        <f t="shared" si="148"/>
        <v>23</v>
      </c>
      <c r="T309" s="183">
        <f t="shared" si="148"/>
        <v>23</v>
      </c>
      <c r="U309" s="183">
        <f t="shared" si="148"/>
        <v>23</v>
      </c>
      <c r="V309" s="183">
        <f t="shared" si="148"/>
        <v>23</v>
      </c>
      <c r="W309" s="183">
        <f t="shared" si="148"/>
        <v>23</v>
      </c>
      <c r="X309" s="183">
        <f t="shared" si="148"/>
        <v>23</v>
      </c>
      <c r="Y309" s="183">
        <f t="shared" si="148"/>
        <v>23</v>
      </c>
      <c r="Z309" s="183">
        <f t="shared" si="148"/>
        <v>23</v>
      </c>
      <c r="AA309" s="183">
        <f t="shared" si="148"/>
        <v>23</v>
      </c>
      <c r="AB309" s="183">
        <f t="shared" si="148"/>
        <v>23</v>
      </c>
      <c r="AC309" s="183">
        <f t="shared" si="148"/>
        <v>23</v>
      </c>
      <c r="AD309" s="183">
        <f t="shared" si="148"/>
        <v>23</v>
      </c>
      <c r="AE309" s="183">
        <f t="shared" si="148"/>
        <v>23</v>
      </c>
      <c r="AF309" s="1"/>
    </row>
    <row r="310" spans="3:32" x14ac:dyDescent="0.2">
      <c r="C310" s="5"/>
      <c r="D310" s="5"/>
      <c r="AF310" s="1"/>
    </row>
    <row r="311" spans="3:32" x14ac:dyDescent="0.2">
      <c r="C311" s="47" t="s">
        <v>429</v>
      </c>
      <c r="D311" s="47"/>
      <c r="AF311" s="1"/>
    </row>
    <row r="312" spans="3:32" x14ac:dyDescent="0.2">
      <c r="C312" s="5" t="s">
        <v>430</v>
      </c>
      <c r="D312" s="120"/>
      <c r="E312" s="95">
        <v>3</v>
      </c>
      <c r="F312" s="1" t="s">
        <v>37</v>
      </c>
      <c r="I312" s="45">
        <f>$E312</f>
        <v>3</v>
      </c>
      <c r="J312" s="45">
        <f>$E312</f>
        <v>3</v>
      </c>
      <c r="K312" s="45">
        <f>$E312</f>
        <v>3</v>
      </c>
      <c r="L312" s="45">
        <f>$E312</f>
        <v>3</v>
      </c>
      <c r="M312" s="18">
        <f t="shared" ref="M312:AB320" si="149">$E312</f>
        <v>3</v>
      </c>
      <c r="N312" s="18">
        <f t="shared" si="149"/>
        <v>3</v>
      </c>
      <c r="O312" s="18">
        <f t="shared" si="149"/>
        <v>3</v>
      </c>
      <c r="P312" s="18">
        <f t="shared" si="149"/>
        <v>3</v>
      </c>
      <c r="Q312" s="18">
        <f t="shared" si="149"/>
        <v>3</v>
      </c>
      <c r="R312" s="18">
        <f t="shared" si="149"/>
        <v>3</v>
      </c>
      <c r="S312" s="18">
        <f t="shared" si="149"/>
        <v>3</v>
      </c>
      <c r="T312" s="18">
        <f t="shared" si="149"/>
        <v>3</v>
      </c>
      <c r="U312" s="18">
        <f t="shared" si="149"/>
        <v>3</v>
      </c>
      <c r="V312" s="18">
        <f t="shared" si="149"/>
        <v>3</v>
      </c>
      <c r="W312" s="18">
        <f t="shared" si="149"/>
        <v>3</v>
      </c>
      <c r="X312" s="18">
        <f t="shared" si="149"/>
        <v>3</v>
      </c>
      <c r="Y312" s="18">
        <f t="shared" si="149"/>
        <v>3</v>
      </c>
      <c r="Z312" s="18">
        <f t="shared" si="149"/>
        <v>3</v>
      </c>
      <c r="AA312" s="18">
        <f t="shared" si="149"/>
        <v>3</v>
      </c>
      <c r="AB312" s="18">
        <f t="shared" si="149"/>
        <v>3</v>
      </c>
      <c r="AC312" s="18">
        <f t="shared" ref="AC312:AE320" si="150">$E312</f>
        <v>3</v>
      </c>
      <c r="AD312" s="18">
        <f t="shared" si="150"/>
        <v>3</v>
      </c>
      <c r="AE312" s="18">
        <f t="shared" si="150"/>
        <v>3</v>
      </c>
      <c r="AF312" s="1"/>
    </row>
    <row r="313" spans="3:32" x14ac:dyDescent="0.2">
      <c r="C313" s="5" t="s">
        <v>431</v>
      </c>
      <c r="D313" s="120"/>
      <c r="E313" s="95">
        <v>2</v>
      </c>
      <c r="F313" s="1" t="s">
        <v>37</v>
      </c>
      <c r="I313" s="18">
        <f t="shared" ref="I313:L320" si="151">$E313</f>
        <v>2</v>
      </c>
      <c r="J313" s="18">
        <f t="shared" si="151"/>
        <v>2</v>
      </c>
      <c r="K313" s="18">
        <f t="shared" si="151"/>
        <v>2</v>
      </c>
      <c r="L313" s="18">
        <f t="shared" si="151"/>
        <v>2</v>
      </c>
      <c r="M313" s="18">
        <f t="shared" si="149"/>
        <v>2</v>
      </c>
      <c r="N313" s="18">
        <f t="shared" si="149"/>
        <v>2</v>
      </c>
      <c r="O313" s="18">
        <f t="shared" si="149"/>
        <v>2</v>
      </c>
      <c r="P313" s="18">
        <f t="shared" si="149"/>
        <v>2</v>
      </c>
      <c r="Q313" s="18">
        <f t="shared" si="149"/>
        <v>2</v>
      </c>
      <c r="R313" s="18">
        <f t="shared" si="149"/>
        <v>2</v>
      </c>
      <c r="S313" s="18">
        <f t="shared" si="149"/>
        <v>2</v>
      </c>
      <c r="T313" s="18">
        <f t="shared" si="149"/>
        <v>2</v>
      </c>
      <c r="U313" s="18">
        <f t="shared" si="149"/>
        <v>2</v>
      </c>
      <c r="V313" s="18">
        <f t="shared" si="149"/>
        <v>2</v>
      </c>
      <c r="W313" s="18">
        <f t="shared" si="149"/>
        <v>2</v>
      </c>
      <c r="X313" s="18">
        <f t="shared" si="149"/>
        <v>2</v>
      </c>
      <c r="Y313" s="18">
        <f t="shared" si="149"/>
        <v>2</v>
      </c>
      <c r="Z313" s="18">
        <f t="shared" si="149"/>
        <v>2</v>
      </c>
      <c r="AA313" s="18">
        <f t="shared" si="149"/>
        <v>2</v>
      </c>
      <c r="AB313" s="18">
        <f t="shared" si="149"/>
        <v>2</v>
      </c>
      <c r="AC313" s="18">
        <f t="shared" si="150"/>
        <v>2</v>
      </c>
      <c r="AD313" s="18">
        <f t="shared" si="150"/>
        <v>2</v>
      </c>
      <c r="AE313" s="18">
        <f t="shared" si="150"/>
        <v>2</v>
      </c>
      <c r="AF313" s="1"/>
    </row>
    <row r="314" spans="3:32" x14ac:dyDescent="0.2">
      <c r="C314" s="5" t="s">
        <v>432</v>
      </c>
      <c r="D314" s="120"/>
      <c r="E314" s="95">
        <v>3</v>
      </c>
      <c r="F314" s="1" t="s">
        <v>37</v>
      </c>
      <c r="I314" s="18">
        <f t="shared" si="151"/>
        <v>3</v>
      </c>
      <c r="J314" s="18">
        <f t="shared" si="151"/>
        <v>3</v>
      </c>
      <c r="K314" s="18">
        <f t="shared" si="151"/>
        <v>3</v>
      </c>
      <c r="L314" s="18">
        <f t="shared" si="151"/>
        <v>3</v>
      </c>
      <c r="M314" s="18">
        <f t="shared" si="149"/>
        <v>3</v>
      </c>
      <c r="N314" s="18">
        <f t="shared" si="149"/>
        <v>3</v>
      </c>
      <c r="O314" s="18">
        <f t="shared" si="149"/>
        <v>3</v>
      </c>
      <c r="P314" s="18">
        <f t="shared" si="149"/>
        <v>3</v>
      </c>
      <c r="Q314" s="18">
        <f t="shared" si="149"/>
        <v>3</v>
      </c>
      <c r="R314" s="18">
        <f t="shared" si="149"/>
        <v>3</v>
      </c>
      <c r="S314" s="18">
        <f t="shared" si="149"/>
        <v>3</v>
      </c>
      <c r="T314" s="18">
        <f t="shared" si="149"/>
        <v>3</v>
      </c>
      <c r="U314" s="18">
        <f t="shared" si="149"/>
        <v>3</v>
      </c>
      <c r="V314" s="18">
        <f t="shared" si="149"/>
        <v>3</v>
      </c>
      <c r="W314" s="18">
        <f t="shared" si="149"/>
        <v>3</v>
      </c>
      <c r="X314" s="18">
        <f t="shared" si="149"/>
        <v>3</v>
      </c>
      <c r="Y314" s="18">
        <f t="shared" si="149"/>
        <v>3</v>
      </c>
      <c r="Z314" s="18">
        <f t="shared" si="149"/>
        <v>3</v>
      </c>
      <c r="AA314" s="18">
        <f t="shared" si="149"/>
        <v>3</v>
      </c>
      <c r="AB314" s="18">
        <f t="shared" si="149"/>
        <v>3</v>
      </c>
      <c r="AC314" s="18">
        <f t="shared" si="150"/>
        <v>3</v>
      </c>
      <c r="AD314" s="18">
        <f t="shared" si="150"/>
        <v>3</v>
      </c>
      <c r="AE314" s="18">
        <f t="shared" si="150"/>
        <v>3</v>
      </c>
      <c r="AF314" s="1"/>
    </row>
    <row r="315" spans="3:32" x14ac:dyDescent="0.2">
      <c r="C315" s="5" t="s">
        <v>433</v>
      </c>
      <c r="D315" s="120"/>
      <c r="E315" s="95">
        <v>2</v>
      </c>
      <c r="F315" s="1" t="s">
        <v>37</v>
      </c>
      <c r="I315" s="18">
        <f t="shared" si="151"/>
        <v>2</v>
      </c>
      <c r="J315" s="18">
        <f t="shared" si="151"/>
        <v>2</v>
      </c>
      <c r="K315" s="18">
        <f t="shared" si="151"/>
        <v>2</v>
      </c>
      <c r="L315" s="18">
        <f t="shared" si="151"/>
        <v>2</v>
      </c>
      <c r="M315" s="18">
        <f t="shared" si="149"/>
        <v>2</v>
      </c>
      <c r="N315" s="18">
        <f t="shared" si="149"/>
        <v>2</v>
      </c>
      <c r="O315" s="18">
        <f t="shared" si="149"/>
        <v>2</v>
      </c>
      <c r="P315" s="18">
        <f t="shared" si="149"/>
        <v>2</v>
      </c>
      <c r="Q315" s="18">
        <f t="shared" si="149"/>
        <v>2</v>
      </c>
      <c r="R315" s="18">
        <f t="shared" si="149"/>
        <v>2</v>
      </c>
      <c r="S315" s="18">
        <f t="shared" si="149"/>
        <v>2</v>
      </c>
      <c r="T315" s="18">
        <f t="shared" si="149"/>
        <v>2</v>
      </c>
      <c r="U315" s="18">
        <f t="shared" si="149"/>
        <v>2</v>
      </c>
      <c r="V315" s="18">
        <f t="shared" si="149"/>
        <v>2</v>
      </c>
      <c r="W315" s="18">
        <f t="shared" si="149"/>
        <v>2</v>
      </c>
      <c r="X315" s="18">
        <f t="shared" si="149"/>
        <v>2</v>
      </c>
      <c r="Y315" s="18">
        <f t="shared" si="149"/>
        <v>2</v>
      </c>
      <c r="Z315" s="18">
        <f t="shared" si="149"/>
        <v>2</v>
      </c>
      <c r="AA315" s="18">
        <f t="shared" si="149"/>
        <v>2</v>
      </c>
      <c r="AB315" s="18">
        <f t="shared" si="149"/>
        <v>2</v>
      </c>
      <c r="AC315" s="18">
        <f t="shared" si="150"/>
        <v>2</v>
      </c>
      <c r="AD315" s="18">
        <f t="shared" si="150"/>
        <v>2</v>
      </c>
      <c r="AE315" s="18">
        <f t="shared" si="150"/>
        <v>2</v>
      </c>
      <c r="AF315" s="1"/>
    </row>
    <row r="316" spans="3:32" x14ac:dyDescent="0.2">
      <c r="C316" s="5" t="s">
        <v>434</v>
      </c>
      <c r="D316" s="120"/>
      <c r="E316" s="95">
        <v>2</v>
      </c>
      <c r="F316" s="1" t="s">
        <v>37</v>
      </c>
      <c r="I316" s="18">
        <f t="shared" si="151"/>
        <v>2</v>
      </c>
      <c r="J316" s="18">
        <f t="shared" si="151"/>
        <v>2</v>
      </c>
      <c r="K316" s="18">
        <f t="shared" si="151"/>
        <v>2</v>
      </c>
      <c r="L316" s="18">
        <f t="shared" si="151"/>
        <v>2</v>
      </c>
      <c r="M316" s="18">
        <f t="shared" si="149"/>
        <v>2</v>
      </c>
      <c r="N316" s="18">
        <f t="shared" si="149"/>
        <v>2</v>
      </c>
      <c r="O316" s="18">
        <f t="shared" si="149"/>
        <v>2</v>
      </c>
      <c r="P316" s="18">
        <f t="shared" si="149"/>
        <v>2</v>
      </c>
      <c r="Q316" s="18">
        <f t="shared" si="149"/>
        <v>2</v>
      </c>
      <c r="R316" s="18">
        <f t="shared" si="149"/>
        <v>2</v>
      </c>
      <c r="S316" s="18">
        <f t="shared" si="149"/>
        <v>2</v>
      </c>
      <c r="T316" s="18">
        <f t="shared" si="149"/>
        <v>2</v>
      </c>
      <c r="U316" s="18">
        <f t="shared" si="149"/>
        <v>2</v>
      </c>
      <c r="V316" s="18">
        <f t="shared" si="149"/>
        <v>2</v>
      </c>
      <c r="W316" s="18">
        <f t="shared" si="149"/>
        <v>2</v>
      </c>
      <c r="X316" s="18">
        <f t="shared" si="149"/>
        <v>2</v>
      </c>
      <c r="Y316" s="18">
        <f t="shared" si="149"/>
        <v>2</v>
      </c>
      <c r="Z316" s="18">
        <f t="shared" si="149"/>
        <v>2</v>
      </c>
      <c r="AA316" s="18">
        <f t="shared" si="149"/>
        <v>2</v>
      </c>
      <c r="AB316" s="18">
        <f t="shared" si="149"/>
        <v>2</v>
      </c>
      <c r="AC316" s="18">
        <f t="shared" si="150"/>
        <v>2</v>
      </c>
      <c r="AD316" s="18">
        <f t="shared" si="150"/>
        <v>2</v>
      </c>
      <c r="AE316" s="18">
        <f t="shared" si="150"/>
        <v>2</v>
      </c>
      <c r="AF316" s="1"/>
    </row>
    <row r="317" spans="3:32" x14ac:dyDescent="0.2">
      <c r="C317" s="5" t="s">
        <v>435</v>
      </c>
      <c r="D317" s="120"/>
      <c r="E317" s="95">
        <v>2</v>
      </c>
      <c r="F317" s="1" t="s">
        <v>37</v>
      </c>
      <c r="I317" s="18">
        <f t="shared" si="151"/>
        <v>2</v>
      </c>
      <c r="J317" s="18">
        <f t="shared" si="151"/>
        <v>2</v>
      </c>
      <c r="K317" s="18">
        <f t="shared" si="151"/>
        <v>2</v>
      </c>
      <c r="L317" s="18">
        <f t="shared" si="151"/>
        <v>2</v>
      </c>
      <c r="M317" s="18">
        <f t="shared" si="149"/>
        <v>2</v>
      </c>
      <c r="N317" s="18">
        <f t="shared" si="149"/>
        <v>2</v>
      </c>
      <c r="O317" s="18">
        <f t="shared" si="149"/>
        <v>2</v>
      </c>
      <c r="P317" s="18">
        <f t="shared" si="149"/>
        <v>2</v>
      </c>
      <c r="Q317" s="18">
        <f t="shared" si="149"/>
        <v>2</v>
      </c>
      <c r="R317" s="18">
        <f t="shared" si="149"/>
        <v>2</v>
      </c>
      <c r="S317" s="18">
        <f t="shared" si="149"/>
        <v>2</v>
      </c>
      <c r="T317" s="18">
        <f t="shared" si="149"/>
        <v>2</v>
      </c>
      <c r="U317" s="18">
        <f t="shared" si="149"/>
        <v>2</v>
      </c>
      <c r="V317" s="18">
        <f t="shared" si="149"/>
        <v>2</v>
      </c>
      <c r="W317" s="18">
        <f t="shared" si="149"/>
        <v>2</v>
      </c>
      <c r="X317" s="18">
        <f t="shared" si="149"/>
        <v>2</v>
      </c>
      <c r="Y317" s="18">
        <f t="shared" si="149"/>
        <v>2</v>
      </c>
      <c r="Z317" s="18">
        <f t="shared" si="149"/>
        <v>2</v>
      </c>
      <c r="AA317" s="18">
        <f t="shared" si="149"/>
        <v>2</v>
      </c>
      <c r="AB317" s="18">
        <f t="shared" si="149"/>
        <v>2</v>
      </c>
      <c r="AC317" s="18">
        <f t="shared" si="150"/>
        <v>2</v>
      </c>
      <c r="AD317" s="18">
        <f t="shared" si="150"/>
        <v>2</v>
      </c>
      <c r="AE317" s="18">
        <f t="shared" si="150"/>
        <v>2</v>
      </c>
      <c r="AF317" s="1"/>
    </row>
    <row r="318" spans="3:32" x14ac:dyDescent="0.2">
      <c r="C318" s="5" t="s">
        <v>436</v>
      </c>
      <c r="D318" s="120"/>
      <c r="E318" s="95">
        <v>2</v>
      </c>
      <c r="F318" s="1" t="s">
        <v>37</v>
      </c>
      <c r="I318" s="18">
        <f t="shared" si="151"/>
        <v>2</v>
      </c>
      <c r="J318" s="18">
        <f t="shared" si="151"/>
        <v>2</v>
      </c>
      <c r="K318" s="18">
        <f t="shared" si="151"/>
        <v>2</v>
      </c>
      <c r="L318" s="18">
        <f t="shared" si="151"/>
        <v>2</v>
      </c>
      <c r="M318" s="18">
        <f t="shared" si="149"/>
        <v>2</v>
      </c>
      <c r="N318" s="18">
        <f t="shared" si="149"/>
        <v>2</v>
      </c>
      <c r="O318" s="18">
        <f t="shared" si="149"/>
        <v>2</v>
      </c>
      <c r="P318" s="18">
        <f t="shared" si="149"/>
        <v>2</v>
      </c>
      <c r="Q318" s="18">
        <f t="shared" si="149"/>
        <v>2</v>
      </c>
      <c r="R318" s="18">
        <f t="shared" si="149"/>
        <v>2</v>
      </c>
      <c r="S318" s="18">
        <f t="shared" si="149"/>
        <v>2</v>
      </c>
      <c r="T318" s="18">
        <f t="shared" si="149"/>
        <v>2</v>
      </c>
      <c r="U318" s="18">
        <f t="shared" si="149"/>
        <v>2</v>
      </c>
      <c r="V318" s="18">
        <f t="shared" si="149"/>
        <v>2</v>
      </c>
      <c r="W318" s="18">
        <f t="shared" si="149"/>
        <v>2</v>
      </c>
      <c r="X318" s="18">
        <f t="shared" si="149"/>
        <v>2</v>
      </c>
      <c r="Y318" s="18">
        <f t="shared" si="149"/>
        <v>2</v>
      </c>
      <c r="Z318" s="18">
        <f t="shared" si="149"/>
        <v>2</v>
      </c>
      <c r="AA318" s="18">
        <f t="shared" si="149"/>
        <v>2</v>
      </c>
      <c r="AB318" s="18">
        <f t="shared" si="149"/>
        <v>2</v>
      </c>
      <c r="AC318" s="18">
        <f t="shared" si="150"/>
        <v>2</v>
      </c>
      <c r="AD318" s="18">
        <f t="shared" si="150"/>
        <v>2</v>
      </c>
      <c r="AE318" s="18">
        <f t="shared" si="150"/>
        <v>2</v>
      </c>
      <c r="AF318" s="1"/>
    </row>
    <row r="319" spans="3:32" x14ac:dyDescent="0.2">
      <c r="C319" s="5" t="s">
        <v>437</v>
      </c>
      <c r="D319" s="120"/>
      <c r="E319" s="95">
        <v>2</v>
      </c>
      <c r="F319" s="1" t="s">
        <v>37</v>
      </c>
      <c r="I319" s="18">
        <f t="shared" si="151"/>
        <v>2</v>
      </c>
      <c r="J319" s="18">
        <f t="shared" si="151"/>
        <v>2</v>
      </c>
      <c r="K319" s="18">
        <f t="shared" si="151"/>
        <v>2</v>
      </c>
      <c r="L319" s="18">
        <f t="shared" si="151"/>
        <v>2</v>
      </c>
      <c r="M319" s="18">
        <f t="shared" si="149"/>
        <v>2</v>
      </c>
      <c r="N319" s="18">
        <f t="shared" si="149"/>
        <v>2</v>
      </c>
      <c r="O319" s="18">
        <f t="shared" si="149"/>
        <v>2</v>
      </c>
      <c r="P319" s="18">
        <f t="shared" si="149"/>
        <v>2</v>
      </c>
      <c r="Q319" s="18">
        <f t="shared" si="149"/>
        <v>2</v>
      </c>
      <c r="R319" s="18">
        <f t="shared" si="149"/>
        <v>2</v>
      </c>
      <c r="S319" s="18">
        <f t="shared" si="149"/>
        <v>2</v>
      </c>
      <c r="T319" s="18">
        <f t="shared" si="149"/>
        <v>2</v>
      </c>
      <c r="U319" s="18">
        <f t="shared" si="149"/>
        <v>2</v>
      </c>
      <c r="V319" s="18">
        <f t="shared" si="149"/>
        <v>2</v>
      </c>
      <c r="W319" s="18">
        <f t="shared" si="149"/>
        <v>2</v>
      </c>
      <c r="X319" s="18">
        <f t="shared" si="149"/>
        <v>2</v>
      </c>
      <c r="Y319" s="18">
        <f t="shared" si="149"/>
        <v>2</v>
      </c>
      <c r="Z319" s="18">
        <f t="shared" si="149"/>
        <v>2</v>
      </c>
      <c r="AA319" s="18">
        <f t="shared" si="149"/>
        <v>2</v>
      </c>
      <c r="AB319" s="18">
        <f t="shared" si="149"/>
        <v>2</v>
      </c>
      <c r="AC319" s="18">
        <f t="shared" si="150"/>
        <v>2</v>
      </c>
      <c r="AD319" s="18">
        <f t="shared" si="150"/>
        <v>2</v>
      </c>
      <c r="AE319" s="18">
        <f t="shared" si="150"/>
        <v>2</v>
      </c>
      <c r="AF319" s="1"/>
    </row>
    <row r="320" spans="3:32" x14ac:dyDescent="0.2">
      <c r="C320" s="5" t="s">
        <v>438</v>
      </c>
      <c r="D320" s="120"/>
      <c r="E320" s="95">
        <v>1</v>
      </c>
      <c r="F320" s="1" t="s">
        <v>37</v>
      </c>
      <c r="I320" s="18">
        <f t="shared" si="151"/>
        <v>1</v>
      </c>
      <c r="J320" s="18">
        <f t="shared" si="151"/>
        <v>1</v>
      </c>
      <c r="K320" s="18">
        <f t="shared" si="151"/>
        <v>1</v>
      </c>
      <c r="L320" s="18">
        <f t="shared" si="151"/>
        <v>1</v>
      </c>
      <c r="M320" s="18">
        <f t="shared" si="149"/>
        <v>1</v>
      </c>
      <c r="N320" s="18">
        <f t="shared" si="149"/>
        <v>1</v>
      </c>
      <c r="O320" s="18">
        <f t="shared" si="149"/>
        <v>1</v>
      </c>
      <c r="P320" s="18">
        <f t="shared" si="149"/>
        <v>1</v>
      </c>
      <c r="Q320" s="18">
        <f t="shared" si="149"/>
        <v>1</v>
      </c>
      <c r="R320" s="18">
        <f t="shared" si="149"/>
        <v>1</v>
      </c>
      <c r="S320" s="18">
        <f t="shared" si="149"/>
        <v>1</v>
      </c>
      <c r="T320" s="18">
        <f t="shared" si="149"/>
        <v>1</v>
      </c>
      <c r="U320" s="18">
        <f t="shared" si="149"/>
        <v>1</v>
      </c>
      <c r="V320" s="18">
        <f t="shared" si="149"/>
        <v>1</v>
      </c>
      <c r="W320" s="18">
        <f t="shared" si="149"/>
        <v>1</v>
      </c>
      <c r="X320" s="18">
        <f t="shared" si="149"/>
        <v>1</v>
      </c>
      <c r="Y320" s="18">
        <f t="shared" si="149"/>
        <v>1</v>
      </c>
      <c r="Z320" s="18">
        <f t="shared" si="149"/>
        <v>1</v>
      </c>
      <c r="AA320" s="18">
        <f t="shared" si="149"/>
        <v>1</v>
      </c>
      <c r="AB320" s="18">
        <f t="shared" si="149"/>
        <v>1</v>
      </c>
      <c r="AC320" s="18">
        <f t="shared" si="150"/>
        <v>1</v>
      </c>
      <c r="AD320" s="18">
        <f t="shared" si="150"/>
        <v>1</v>
      </c>
      <c r="AE320" s="18">
        <f t="shared" si="150"/>
        <v>1</v>
      </c>
      <c r="AF320" s="1"/>
    </row>
    <row r="321" spans="2:32" x14ac:dyDescent="0.2">
      <c r="C321" s="5" t="s">
        <v>45</v>
      </c>
      <c r="D321" s="262"/>
      <c r="E321" s="182">
        <f>SUM(E312:E320)</f>
        <v>19</v>
      </c>
      <c r="F321" s="1" t="s">
        <v>37</v>
      </c>
      <c r="I321" s="44">
        <f>SUM(I312:I320)</f>
        <v>19</v>
      </c>
      <c r="J321" s="44">
        <f>SUM(J312:J320)</f>
        <v>19</v>
      </c>
      <c r="K321" s="44">
        <f>SUM(K312:K320)</f>
        <v>19</v>
      </c>
      <c r="L321" s="44">
        <f>SUM(L312:L320)</f>
        <v>19</v>
      </c>
      <c r="M321" s="44">
        <f t="shared" ref="M321:AE321" si="152">SUM(M312:M320)</f>
        <v>19</v>
      </c>
      <c r="N321" s="44">
        <f t="shared" si="152"/>
        <v>19</v>
      </c>
      <c r="O321" s="44">
        <f t="shared" si="152"/>
        <v>19</v>
      </c>
      <c r="P321" s="44">
        <f t="shared" si="152"/>
        <v>19</v>
      </c>
      <c r="Q321" s="44">
        <f t="shared" si="152"/>
        <v>19</v>
      </c>
      <c r="R321" s="44">
        <f t="shared" si="152"/>
        <v>19</v>
      </c>
      <c r="S321" s="44">
        <f t="shared" si="152"/>
        <v>19</v>
      </c>
      <c r="T321" s="44">
        <f t="shared" si="152"/>
        <v>19</v>
      </c>
      <c r="U321" s="44">
        <f t="shared" si="152"/>
        <v>19</v>
      </c>
      <c r="V321" s="44">
        <f t="shared" si="152"/>
        <v>19</v>
      </c>
      <c r="W321" s="44">
        <f t="shared" si="152"/>
        <v>19</v>
      </c>
      <c r="X321" s="44">
        <f t="shared" si="152"/>
        <v>19</v>
      </c>
      <c r="Y321" s="44">
        <f t="shared" si="152"/>
        <v>19</v>
      </c>
      <c r="Z321" s="44">
        <f t="shared" si="152"/>
        <v>19</v>
      </c>
      <c r="AA321" s="44">
        <f t="shared" si="152"/>
        <v>19</v>
      </c>
      <c r="AB321" s="44">
        <f t="shared" si="152"/>
        <v>19</v>
      </c>
      <c r="AC321" s="44">
        <f t="shared" si="152"/>
        <v>19</v>
      </c>
      <c r="AD321" s="44">
        <f t="shared" si="152"/>
        <v>19</v>
      </c>
      <c r="AE321" s="44">
        <f t="shared" si="152"/>
        <v>19</v>
      </c>
      <c r="AF321" s="1"/>
    </row>
    <row r="322" spans="2:32" x14ac:dyDescent="0.2">
      <c r="C322" s="5"/>
      <c r="D322" s="5"/>
      <c r="AF322" s="1"/>
    </row>
    <row r="323" spans="2:32" x14ac:dyDescent="0.2">
      <c r="C323" s="5" t="s">
        <v>336</v>
      </c>
      <c r="D323" s="120"/>
      <c r="E323" s="95">
        <v>0</v>
      </c>
      <c r="F323" s="1" t="s">
        <v>37</v>
      </c>
      <c r="I323" s="18">
        <f>$E323</f>
        <v>0</v>
      </c>
      <c r="J323" s="18">
        <f>$E323</f>
        <v>0</v>
      </c>
      <c r="K323" s="18">
        <f>$E323</f>
        <v>0</v>
      </c>
      <c r="L323" s="18">
        <f>$E323</f>
        <v>0</v>
      </c>
      <c r="M323" s="18">
        <f t="shared" ref="M323:AE323" si="153">$E323</f>
        <v>0</v>
      </c>
      <c r="N323" s="18">
        <f t="shared" si="153"/>
        <v>0</v>
      </c>
      <c r="O323" s="18">
        <f t="shared" si="153"/>
        <v>0</v>
      </c>
      <c r="P323" s="18">
        <f t="shared" si="153"/>
        <v>0</v>
      </c>
      <c r="Q323" s="18">
        <f t="shared" si="153"/>
        <v>0</v>
      </c>
      <c r="R323" s="18">
        <f t="shared" si="153"/>
        <v>0</v>
      </c>
      <c r="S323" s="18">
        <f t="shared" si="153"/>
        <v>0</v>
      </c>
      <c r="T323" s="18">
        <f t="shared" si="153"/>
        <v>0</v>
      </c>
      <c r="U323" s="18">
        <f t="shared" si="153"/>
        <v>0</v>
      </c>
      <c r="V323" s="18">
        <f t="shared" si="153"/>
        <v>0</v>
      </c>
      <c r="W323" s="18">
        <f t="shared" si="153"/>
        <v>0</v>
      </c>
      <c r="X323" s="18">
        <f t="shared" si="153"/>
        <v>0</v>
      </c>
      <c r="Y323" s="18">
        <f t="shared" si="153"/>
        <v>0</v>
      </c>
      <c r="Z323" s="18">
        <f t="shared" si="153"/>
        <v>0</v>
      </c>
      <c r="AA323" s="18">
        <f t="shared" si="153"/>
        <v>0</v>
      </c>
      <c r="AB323" s="18">
        <f t="shared" si="153"/>
        <v>0</v>
      </c>
      <c r="AC323" s="18">
        <f t="shared" si="153"/>
        <v>0</v>
      </c>
      <c r="AD323" s="18">
        <f t="shared" si="153"/>
        <v>0</v>
      </c>
      <c r="AE323" s="18">
        <f t="shared" si="153"/>
        <v>0</v>
      </c>
      <c r="AF323" s="1"/>
    </row>
    <row r="324" spans="2:32" x14ac:dyDescent="0.2">
      <c r="C324" s="5"/>
      <c r="D324" s="5"/>
      <c r="AF324" s="1"/>
    </row>
    <row r="325" spans="2:32" x14ac:dyDescent="0.2">
      <c r="C325" s="20" t="s">
        <v>49</v>
      </c>
      <c r="D325" s="262"/>
      <c r="E325" s="182">
        <f>E280+E286+E293+E299+E309+E321+E323</f>
        <v>110</v>
      </c>
      <c r="F325" s="1" t="s">
        <v>37</v>
      </c>
      <c r="G325" s="9"/>
      <c r="H325" s="9"/>
      <c r="I325" s="44">
        <f>I280+I286+I293+I299+I309+I321+I323</f>
        <v>110</v>
      </c>
      <c r="J325" s="44">
        <f>J280+J286+J293+J299+J309+J321+J323</f>
        <v>110</v>
      </c>
      <c r="K325" s="44">
        <f>K280+K286+K293+K299+K309+K321+K323</f>
        <v>110</v>
      </c>
      <c r="L325" s="44">
        <f t="shared" ref="L325:AE325" si="154">L280+L286+L293+L299+L309+L321+L323</f>
        <v>110</v>
      </c>
      <c r="M325" s="44">
        <f t="shared" si="154"/>
        <v>110</v>
      </c>
      <c r="N325" s="44">
        <f t="shared" si="154"/>
        <v>110</v>
      </c>
      <c r="O325" s="44">
        <f t="shared" si="154"/>
        <v>110</v>
      </c>
      <c r="P325" s="44">
        <f t="shared" si="154"/>
        <v>110</v>
      </c>
      <c r="Q325" s="44">
        <f t="shared" si="154"/>
        <v>110</v>
      </c>
      <c r="R325" s="44">
        <f t="shared" si="154"/>
        <v>110</v>
      </c>
      <c r="S325" s="44">
        <f t="shared" si="154"/>
        <v>110</v>
      </c>
      <c r="T325" s="44">
        <f t="shared" si="154"/>
        <v>110</v>
      </c>
      <c r="U325" s="44">
        <f t="shared" si="154"/>
        <v>110</v>
      </c>
      <c r="V325" s="44">
        <f t="shared" si="154"/>
        <v>110</v>
      </c>
      <c r="W325" s="44">
        <f t="shared" si="154"/>
        <v>110</v>
      </c>
      <c r="X325" s="44">
        <f t="shared" si="154"/>
        <v>110</v>
      </c>
      <c r="Y325" s="44">
        <f t="shared" si="154"/>
        <v>110</v>
      </c>
      <c r="Z325" s="44">
        <f t="shared" si="154"/>
        <v>110</v>
      </c>
      <c r="AA325" s="44">
        <f t="shared" si="154"/>
        <v>110</v>
      </c>
      <c r="AB325" s="44">
        <f t="shared" si="154"/>
        <v>110</v>
      </c>
      <c r="AC325" s="44">
        <f t="shared" si="154"/>
        <v>110</v>
      </c>
      <c r="AD325" s="44">
        <f t="shared" si="154"/>
        <v>110</v>
      </c>
      <c r="AE325" s="44">
        <f t="shared" si="154"/>
        <v>110</v>
      </c>
      <c r="AF325" s="1"/>
    </row>
    <row r="326" spans="2:32" x14ac:dyDescent="0.2">
      <c r="C326" s="5"/>
      <c r="D326" s="5"/>
      <c r="AF326" s="1"/>
    </row>
    <row r="327" spans="2:32" x14ac:dyDescent="0.2">
      <c r="B327" s="24">
        <f>B269+0.01</f>
        <v>3.42</v>
      </c>
      <c r="C327" s="20" t="s">
        <v>50</v>
      </c>
      <c r="D327" s="20"/>
      <c r="AF327" s="1"/>
    </row>
    <row r="328" spans="2:32" x14ac:dyDescent="0.2">
      <c r="B328" s="24"/>
      <c r="C328" s="20"/>
      <c r="AF328" s="1"/>
    </row>
    <row r="329" spans="2:32" x14ac:dyDescent="0.2">
      <c r="C329" s="47" t="str">
        <f>C271</f>
        <v>Melting</v>
      </c>
      <c r="E329" s="11" t="s">
        <v>243</v>
      </c>
      <c r="AF329" s="1"/>
    </row>
    <row r="330" spans="2:32" x14ac:dyDescent="0.2">
      <c r="C330" s="5" t="str">
        <f>C272</f>
        <v>Manager of Melting/Casting Production</v>
      </c>
      <c r="D330" s="33"/>
      <c r="E330" s="181">
        <v>150011.34657503734</v>
      </c>
      <c r="F330" s="1" t="s">
        <v>51</v>
      </c>
      <c r="H330" s="33"/>
      <c r="I330" s="32">
        <f>$E330*I$14</f>
        <v>115508.73686277875</v>
      </c>
      <c r="J330" s="32">
        <f>$E330*J$14</f>
        <v>115508.73686277875</v>
      </c>
      <c r="K330" s="32">
        <f>$E330*K$14</f>
        <v>115508.73686277875</v>
      </c>
      <c r="L330" s="32">
        <f>$E330*L$14</f>
        <v>115508.73686277875</v>
      </c>
      <c r="M330" s="32">
        <f t="shared" ref="M330:AB336" si="155">$E330*M$14</f>
        <v>115508.73686277875</v>
      </c>
      <c r="N330" s="32">
        <f t="shared" si="155"/>
        <v>115508.73686277875</v>
      </c>
      <c r="O330" s="32">
        <f t="shared" si="155"/>
        <v>115508.73686277875</v>
      </c>
      <c r="P330" s="32">
        <f t="shared" si="155"/>
        <v>115508.73686277875</v>
      </c>
      <c r="Q330" s="32">
        <f t="shared" si="155"/>
        <v>115508.73686277875</v>
      </c>
      <c r="R330" s="32">
        <f t="shared" si="155"/>
        <v>115508.73686277875</v>
      </c>
      <c r="S330" s="32">
        <f t="shared" si="155"/>
        <v>115508.73686277875</v>
      </c>
      <c r="T330" s="32">
        <f t="shared" si="155"/>
        <v>115508.73686277875</v>
      </c>
      <c r="U330" s="32">
        <f t="shared" si="155"/>
        <v>115508.73686277875</v>
      </c>
      <c r="V330" s="32">
        <f t="shared" si="155"/>
        <v>115508.73686277875</v>
      </c>
      <c r="W330" s="32">
        <f t="shared" si="155"/>
        <v>115508.73686277875</v>
      </c>
      <c r="X330" s="32">
        <f t="shared" si="155"/>
        <v>115508.73686277875</v>
      </c>
      <c r="Y330" s="32">
        <f t="shared" si="155"/>
        <v>115508.73686277875</v>
      </c>
      <c r="Z330" s="32">
        <f t="shared" si="155"/>
        <v>115508.73686277875</v>
      </c>
      <c r="AA330" s="32">
        <f t="shared" si="155"/>
        <v>115508.73686277875</v>
      </c>
      <c r="AB330" s="32">
        <f t="shared" si="155"/>
        <v>115508.73686277875</v>
      </c>
      <c r="AC330" s="32">
        <f t="shared" ref="AC330:AE336" si="156">$E330*AC$14</f>
        <v>115508.73686277875</v>
      </c>
      <c r="AD330" s="32">
        <f t="shared" si="156"/>
        <v>115508.73686277875</v>
      </c>
      <c r="AE330" s="32">
        <f t="shared" si="156"/>
        <v>115508.73686277875</v>
      </c>
      <c r="AF330" s="1"/>
    </row>
    <row r="331" spans="2:32" x14ac:dyDescent="0.2">
      <c r="C331" s="5" t="str">
        <f>C273</f>
        <v>Supervisor/team Leader of Melting &amp; Casting</v>
      </c>
      <c r="D331" s="33"/>
      <c r="E331" s="181">
        <v>79058.352615000011</v>
      </c>
      <c r="F331" s="1" t="s">
        <v>51</v>
      </c>
      <c r="H331" s="33"/>
      <c r="I331" s="32">
        <f t="shared" ref="I331:L336" si="157">$E331*I$14</f>
        <v>60874.931513550007</v>
      </c>
      <c r="J331" s="32">
        <f t="shared" si="157"/>
        <v>60874.931513550007</v>
      </c>
      <c r="K331" s="32">
        <f t="shared" si="157"/>
        <v>60874.931513550007</v>
      </c>
      <c r="L331" s="32">
        <f t="shared" si="157"/>
        <v>60874.931513550007</v>
      </c>
      <c r="M331" s="32">
        <f t="shared" si="155"/>
        <v>60874.931513550007</v>
      </c>
      <c r="N331" s="32">
        <f t="shared" si="155"/>
        <v>60874.931513550007</v>
      </c>
      <c r="O331" s="32">
        <f t="shared" si="155"/>
        <v>60874.931513550007</v>
      </c>
      <c r="P331" s="32">
        <f t="shared" si="155"/>
        <v>60874.931513550007</v>
      </c>
      <c r="Q331" s="32">
        <f t="shared" si="155"/>
        <v>60874.931513550007</v>
      </c>
      <c r="R331" s="32">
        <f t="shared" si="155"/>
        <v>60874.931513550007</v>
      </c>
      <c r="S331" s="32">
        <f t="shared" si="155"/>
        <v>60874.931513550007</v>
      </c>
      <c r="T331" s="32">
        <f t="shared" si="155"/>
        <v>60874.931513550007</v>
      </c>
      <c r="U331" s="32">
        <f t="shared" si="155"/>
        <v>60874.931513550007</v>
      </c>
      <c r="V331" s="32">
        <f t="shared" si="155"/>
        <v>60874.931513550007</v>
      </c>
      <c r="W331" s="32">
        <f t="shared" si="155"/>
        <v>60874.931513550007</v>
      </c>
      <c r="X331" s="32">
        <f t="shared" si="155"/>
        <v>60874.931513550007</v>
      </c>
      <c r="Y331" s="32">
        <f t="shared" si="155"/>
        <v>60874.931513550007</v>
      </c>
      <c r="Z331" s="32">
        <f t="shared" si="155"/>
        <v>60874.931513550007</v>
      </c>
      <c r="AA331" s="32">
        <f t="shared" si="155"/>
        <v>60874.931513550007</v>
      </c>
      <c r="AB331" s="32">
        <f t="shared" si="155"/>
        <v>60874.931513550007</v>
      </c>
      <c r="AC331" s="32">
        <f t="shared" si="156"/>
        <v>60874.931513550007</v>
      </c>
      <c r="AD331" s="32">
        <f t="shared" si="156"/>
        <v>60874.931513550007</v>
      </c>
      <c r="AE331" s="32">
        <f t="shared" si="156"/>
        <v>60874.931513550007</v>
      </c>
      <c r="AF331" s="1"/>
    </row>
    <row r="332" spans="2:32" x14ac:dyDescent="0.2">
      <c r="C332" s="5" t="str">
        <f>C274</f>
        <v>Senior Operator - EAF</v>
      </c>
      <c r="D332" s="33"/>
      <c r="E332" s="181">
        <v>59204.571795714939</v>
      </c>
      <c r="F332" s="1" t="s">
        <v>51</v>
      </c>
      <c r="H332" s="33"/>
      <c r="I332" s="32">
        <f t="shared" si="157"/>
        <v>45587.520282700505</v>
      </c>
      <c r="J332" s="32">
        <f t="shared" si="157"/>
        <v>45587.520282700505</v>
      </c>
      <c r="K332" s="32">
        <f t="shared" si="157"/>
        <v>45587.520282700505</v>
      </c>
      <c r="L332" s="32">
        <f t="shared" si="157"/>
        <v>45587.520282700505</v>
      </c>
      <c r="M332" s="32">
        <f t="shared" si="155"/>
        <v>45587.520282700505</v>
      </c>
      <c r="N332" s="32">
        <f t="shared" si="155"/>
        <v>45587.520282700505</v>
      </c>
      <c r="O332" s="32">
        <f t="shared" si="155"/>
        <v>45587.520282700505</v>
      </c>
      <c r="P332" s="32">
        <f t="shared" si="155"/>
        <v>45587.520282700505</v>
      </c>
      <c r="Q332" s="32">
        <f t="shared" si="155"/>
        <v>45587.520282700505</v>
      </c>
      <c r="R332" s="32">
        <f t="shared" si="155"/>
        <v>45587.520282700505</v>
      </c>
      <c r="S332" s="32">
        <f t="shared" si="155"/>
        <v>45587.520282700505</v>
      </c>
      <c r="T332" s="32">
        <f t="shared" si="155"/>
        <v>45587.520282700505</v>
      </c>
      <c r="U332" s="32">
        <f t="shared" si="155"/>
        <v>45587.520282700505</v>
      </c>
      <c r="V332" s="32">
        <f t="shared" si="155"/>
        <v>45587.520282700505</v>
      </c>
      <c r="W332" s="32">
        <f t="shared" si="155"/>
        <v>45587.520282700505</v>
      </c>
      <c r="X332" s="32">
        <f t="shared" si="155"/>
        <v>45587.520282700505</v>
      </c>
      <c r="Y332" s="32">
        <f t="shared" si="155"/>
        <v>45587.520282700505</v>
      </c>
      <c r="Z332" s="32">
        <f t="shared" si="155"/>
        <v>45587.520282700505</v>
      </c>
      <c r="AA332" s="32">
        <f t="shared" si="155"/>
        <v>45587.520282700505</v>
      </c>
      <c r="AB332" s="32">
        <f t="shared" si="155"/>
        <v>45587.520282700505</v>
      </c>
      <c r="AC332" s="32">
        <f t="shared" si="156"/>
        <v>45587.520282700505</v>
      </c>
      <c r="AD332" s="32">
        <f t="shared" si="156"/>
        <v>45587.520282700505</v>
      </c>
      <c r="AE332" s="32">
        <f t="shared" si="156"/>
        <v>45587.520282700505</v>
      </c>
      <c r="AF332" s="1"/>
    </row>
    <row r="333" spans="2:32" x14ac:dyDescent="0.2">
      <c r="C333" s="5" t="str">
        <f>C276</f>
        <v>Operator - Ladle Crane</v>
      </c>
      <c r="D333" s="33"/>
      <c r="E333" s="181">
        <v>53529.148372007294</v>
      </c>
      <c r="F333" s="1" t="s">
        <v>51</v>
      </c>
      <c r="H333" s="33"/>
      <c r="I333" s="32">
        <f t="shared" si="157"/>
        <v>41217.444246445615</v>
      </c>
      <c r="J333" s="32">
        <f t="shared" si="157"/>
        <v>41217.444246445615</v>
      </c>
      <c r="K333" s="32">
        <f t="shared" si="157"/>
        <v>41217.444246445615</v>
      </c>
      <c r="L333" s="32">
        <f t="shared" si="157"/>
        <v>41217.444246445615</v>
      </c>
      <c r="M333" s="32">
        <f t="shared" si="155"/>
        <v>41217.444246445615</v>
      </c>
      <c r="N333" s="32">
        <f t="shared" si="155"/>
        <v>41217.444246445615</v>
      </c>
      <c r="O333" s="32">
        <f t="shared" si="155"/>
        <v>41217.444246445615</v>
      </c>
      <c r="P333" s="32">
        <f t="shared" si="155"/>
        <v>41217.444246445615</v>
      </c>
      <c r="Q333" s="32">
        <f t="shared" si="155"/>
        <v>41217.444246445615</v>
      </c>
      <c r="R333" s="32">
        <f t="shared" si="155"/>
        <v>41217.444246445615</v>
      </c>
      <c r="S333" s="32">
        <f t="shared" si="155"/>
        <v>41217.444246445615</v>
      </c>
      <c r="T333" s="32">
        <f t="shared" si="155"/>
        <v>41217.444246445615</v>
      </c>
      <c r="U333" s="32">
        <f t="shared" si="155"/>
        <v>41217.444246445615</v>
      </c>
      <c r="V333" s="32">
        <f t="shared" si="155"/>
        <v>41217.444246445615</v>
      </c>
      <c r="W333" s="32">
        <f t="shared" si="155"/>
        <v>41217.444246445615</v>
      </c>
      <c r="X333" s="32">
        <f t="shared" si="155"/>
        <v>41217.444246445615</v>
      </c>
      <c r="Y333" s="32">
        <f t="shared" si="155"/>
        <v>41217.444246445615</v>
      </c>
      <c r="Z333" s="32">
        <f t="shared" si="155"/>
        <v>41217.444246445615</v>
      </c>
      <c r="AA333" s="32">
        <f t="shared" si="155"/>
        <v>41217.444246445615</v>
      </c>
      <c r="AB333" s="32">
        <f t="shared" si="155"/>
        <v>41217.444246445615</v>
      </c>
      <c r="AC333" s="32">
        <f t="shared" si="156"/>
        <v>41217.444246445615</v>
      </c>
      <c r="AD333" s="32">
        <f t="shared" si="156"/>
        <v>41217.444246445615</v>
      </c>
      <c r="AE333" s="32">
        <f t="shared" si="156"/>
        <v>41217.444246445615</v>
      </c>
      <c r="AF333" s="1"/>
    </row>
    <row r="334" spans="2:32" x14ac:dyDescent="0.2">
      <c r="C334" s="5" t="str">
        <f>C277</f>
        <v>Operator</v>
      </c>
      <c r="D334" s="33"/>
      <c r="E334" s="181">
        <v>48844.152263100856</v>
      </c>
      <c r="F334" s="1" t="s">
        <v>51</v>
      </c>
      <c r="H334" s="33"/>
      <c r="I334" s="32">
        <f t="shared" si="157"/>
        <v>37609.997242587662</v>
      </c>
      <c r="J334" s="32">
        <f t="shared" si="157"/>
        <v>37609.997242587662</v>
      </c>
      <c r="K334" s="32">
        <f t="shared" si="157"/>
        <v>37609.997242587662</v>
      </c>
      <c r="L334" s="32">
        <f t="shared" si="157"/>
        <v>37609.997242587662</v>
      </c>
      <c r="M334" s="32">
        <f t="shared" si="155"/>
        <v>37609.997242587662</v>
      </c>
      <c r="N334" s="32">
        <f t="shared" si="155"/>
        <v>37609.997242587662</v>
      </c>
      <c r="O334" s="32">
        <f t="shared" si="155"/>
        <v>37609.997242587662</v>
      </c>
      <c r="P334" s="32">
        <f t="shared" si="155"/>
        <v>37609.997242587662</v>
      </c>
      <c r="Q334" s="32">
        <f t="shared" si="155"/>
        <v>37609.997242587662</v>
      </c>
      <c r="R334" s="32">
        <f t="shared" si="155"/>
        <v>37609.997242587662</v>
      </c>
      <c r="S334" s="32">
        <f t="shared" si="155"/>
        <v>37609.997242587662</v>
      </c>
      <c r="T334" s="32">
        <f t="shared" si="155"/>
        <v>37609.997242587662</v>
      </c>
      <c r="U334" s="32">
        <f t="shared" si="155"/>
        <v>37609.997242587662</v>
      </c>
      <c r="V334" s="32">
        <f t="shared" si="155"/>
        <v>37609.997242587662</v>
      </c>
      <c r="W334" s="32">
        <f t="shared" si="155"/>
        <v>37609.997242587662</v>
      </c>
      <c r="X334" s="32">
        <f t="shared" si="155"/>
        <v>37609.997242587662</v>
      </c>
      <c r="Y334" s="32">
        <f t="shared" si="155"/>
        <v>37609.997242587662</v>
      </c>
      <c r="Z334" s="32">
        <f t="shared" si="155"/>
        <v>37609.997242587662</v>
      </c>
      <c r="AA334" s="32">
        <f t="shared" si="155"/>
        <v>37609.997242587662</v>
      </c>
      <c r="AB334" s="32">
        <f t="shared" si="155"/>
        <v>37609.997242587662</v>
      </c>
      <c r="AC334" s="32">
        <f t="shared" si="156"/>
        <v>37609.997242587662</v>
      </c>
      <c r="AD334" s="32">
        <f t="shared" si="156"/>
        <v>37609.997242587662</v>
      </c>
      <c r="AE334" s="32">
        <f t="shared" si="156"/>
        <v>37609.997242587662</v>
      </c>
      <c r="AF334" s="1"/>
    </row>
    <row r="335" spans="2:32" x14ac:dyDescent="0.2">
      <c r="C335" s="5" t="str">
        <f>C278</f>
        <v>Team Leader - Refractory</v>
      </c>
      <c r="D335" s="33"/>
      <c r="E335" s="181">
        <v>50655.85146509661</v>
      </c>
      <c r="F335" s="1" t="s">
        <v>51</v>
      </c>
      <c r="H335" s="33"/>
      <c r="I335" s="32">
        <f t="shared" si="157"/>
        <v>39005.005628124389</v>
      </c>
      <c r="J335" s="32">
        <f t="shared" si="157"/>
        <v>39005.005628124389</v>
      </c>
      <c r="K335" s="32">
        <f t="shared" si="157"/>
        <v>39005.005628124389</v>
      </c>
      <c r="L335" s="32">
        <f t="shared" si="157"/>
        <v>39005.005628124389</v>
      </c>
      <c r="M335" s="32">
        <f t="shared" si="155"/>
        <v>39005.005628124389</v>
      </c>
      <c r="N335" s="32">
        <f t="shared" si="155"/>
        <v>39005.005628124389</v>
      </c>
      <c r="O335" s="32">
        <f t="shared" si="155"/>
        <v>39005.005628124389</v>
      </c>
      <c r="P335" s="32">
        <f t="shared" si="155"/>
        <v>39005.005628124389</v>
      </c>
      <c r="Q335" s="32">
        <f t="shared" si="155"/>
        <v>39005.005628124389</v>
      </c>
      <c r="R335" s="32">
        <f t="shared" si="155"/>
        <v>39005.005628124389</v>
      </c>
      <c r="S335" s="32">
        <f t="shared" si="155"/>
        <v>39005.005628124389</v>
      </c>
      <c r="T335" s="32">
        <f t="shared" si="155"/>
        <v>39005.005628124389</v>
      </c>
      <c r="U335" s="32">
        <f t="shared" si="155"/>
        <v>39005.005628124389</v>
      </c>
      <c r="V335" s="32">
        <f t="shared" si="155"/>
        <v>39005.005628124389</v>
      </c>
      <c r="W335" s="32">
        <f t="shared" si="155"/>
        <v>39005.005628124389</v>
      </c>
      <c r="X335" s="32">
        <f t="shared" si="155"/>
        <v>39005.005628124389</v>
      </c>
      <c r="Y335" s="32">
        <f t="shared" si="155"/>
        <v>39005.005628124389</v>
      </c>
      <c r="Z335" s="32">
        <f t="shared" si="155"/>
        <v>39005.005628124389</v>
      </c>
      <c r="AA335" s="32">
        <f t="shared" si="155"/>
        <v>39005.005628124389</v>
      </c>
      <c r="AB335" s="32">
        <f t="shared" si="155"/>
        <v>39005.005628124389</v>
      </c>
      <c r="AC335" s="32">
        <f t="shared" si="156"/>
        <v>39005.005628124389</v>
      </c>
      <c r="AD335" s="32">
        <f t="shared" si="156"/>
        <v>39005.005628124389</v>
      </c>
      <c r="AE335" s="32">
        <f t="shared" si="156"/>
        <v>39005.005628124389</v>
      </c>
      <c r="AF335" s="1"/>
    </row>
    <row r="336" spans="2:32" x14ac:dyDescent="0.2">
      <c r="C336" s="5" t="str">
        <f>C279</f>
        <v>Operator - Refractory</v>
      </c>
      <c r="D336" s="33"/>
      <c r="E336" s="181">
        <v>43912.859473807388</v>
      </c>
      <c r="F336" s="1" t="s">
        <v>51</v>
      </c>
      <c r="H336" s="33"/>
      <c r="I336" s="32">
        <f t="shared" si="157"/>
        <v>33812.90179483169</v>
      </c>
      <c r="J336" s="32">
        <f t="shared" si="157"/>
        <v>33812.90179483169</v>
      </c>
      <c r="K336" s="32">
        <f t="shared" si="157"/>
        <v>33812.90179483169</v>
      </c>
      <c r="L336" s="32">
        <f t="shared" si="157"/>
        <v>33812.90179483169</v>
      </c>
      <c r="M336" s="32">
        <f t="shared" si="155"/>
        <v>33812.90179483169</v>
      </c>
      <c r="N336" s="32">
        <f t="shared" si="155"/>
        <v>33812.90179483169</v>
      </c>
      <c r="O336" s="32">
        <f t="shared" si="155"/>
        <v>33812.90179483169</v>
      </c>
      <c r="P336" s="32">
        <f t="shared" si="155"/>
        <v>33812.90179483169</v>
      </c>
      <c r="Q336" s="32">
        <f t="shared" si="155"/>
        <v>33812.90179483169</v>
      </c>
      <c r="R336" s="32">
        <f t="shared" si="155"/>
        <v>33812.90179483169</v>
      </c>
      <c r="S336" s="32">
        <f t="shared" si="155"/>
        <v>33812.90179483169</v>
      </c>
      <c r="T336" s="32">
        <f t="shared" si="155"/>
        <v>33812.90179483169</v>
      </c>
      <c r="U336" s="32">
        <f t="shared" si="155"/>
        <v>33812.90179483169</v>
      </c>
      <c r="V336" s="32">
        <f t="shared" si="155"/>
        <v>33812.90179483169</v>
      </c>
      <c r="W336" s="32">
        <f t="shared" si="155"/>
        <v>33812.90179483169</v>
      </c>
      <c r="X336" s="32">
        <f t="shared" si="155"/>
        <v>33812.90179483169</v>
      </c>
      <c r="Y336" s="32">
        <f t="shared" si="155"/>
        <v>33812.90179483169</v>
      </c>
      <c r="Z336" s="32">
        <f t="shared" si="155"/>
        <v>33812.90179483169</v>
      </c>
      <c r="AA336" s="32">
        <f t="shared" si="155"/>
        <v>33812.90179483169</v>
      </c>
      <c r="AB336" s="32">
        <f t="shared" si="155"/>
        <v>33812.90179483169</v>
      </c>
      <c r="AC336" s="32">
        <f t="shared" si="156"/>
        <v>33812.90179483169</v>
      </c>
      <c r="AD336" s="32">
        <f t="shared" si="156"/>
        <v>33812.90179483169</v>
      </c>
      <c r="AE336" s="32">
        <f t="shared" si="156"/>
        <v>33812.90179483169</v>
      </c>
      <c r="AF336" s="1"/>
    </row>
    <row r="337" spans="3:32" x14ac:dyDescent="0.2">
      <c r="C337" s="5"/>
      <c r="E337" s="2"/>
      <c r="AF337" s="1"/>
    </row>
    <row r="338" spans="3:32" x14ac:dyDescent="0.2">
      <c r="C338" s="5"/>
      <c r="E338" s="2"/>
      <c r="AF338" s="1"/>
    </row>
    <row r="339" spans="3:32" x14ac:dyDescent="0.2">
      <c r="C339" s="47" t="str">
        <f>C282</f>
        <v>Casting</v>
      </c>
      <c r="E339" s="2"/>
      <c r="AF339" s="1"/>
    </row>
    <row r="340" spans="3:32" x14ac:dyDescent="0.2">
      <c r="C340" s="5" t="str">
        <f>C283</f>
        <v xml:space="preserve">Senior Casting Operator </v>
      </c>
      <c r="E340" s="181">
        <v>59506.690127676644</v>
      </c>
      <c r="F340" s="1" t="s">
        <v>51</v>
      </c>
      <c r="I340" s="32">
        <f t="shared" ref="I340:AE342" si="158">$E340*I$14</f>
        <v>45820.15139831102</v>
      </c>
      <c r="J340" s="32">
        <f t="shared" si="158"/>
        <v>45820.15139831102</v>
      </c>
      <c r="K340" s="32">
        <f t="shared" si="158"/>
        <v>45820.15139831102</v>
      </c>
      <c r="L340" s="32">
        <f t="shared" si="158"/>
        <v>45820.15139831102</v>
      </c>
      <c r="M340" s="32">
        <f t="shared" si="158"/>
        <v>45820.15139831102</v>
      </c>
      <c r="N340" s="32">
        <f t="shared" si="158"/>
        <v>45820.15139831102</v>
      </c>
      <c r="O340" s="32">
        <f t="shared" si="158"/>
        <v>45820.15139831102</v>
      </c>
      <c r="P340" s="32">
        <f t="shared" si="158"/>
        <v>45820.15139831102</v>
      </c>
      <c r="Q340" s="32">
        <f t="shared" si="158"/>
        <v>45820.15139831102</v>
      </c>
      <c r="R340" s="32">
        <f t="shared" si="158"/>
        <v>45820.15139831102</v>
      </c>
      <c r="S340" s="32">
        <f t="shared" si="158"/>
        <v>45820.15139831102</v>
      </c>
      <c r="T340" s="32">
        <f t="shared" si="158"/>
        <v>45820.15139831102</v>
      </c>
      <c r="U340" s="32">
        <f t="shared" si="158"/>
        <v>45820.15139831102</v>
      </c>
      <c r="V340" s="32">
        <f t="shared" si="158"/>
        <v>45820.15139831102</v>
      </c>
      <c r="W340" s="32">
        <f t="shared" si="158"/>
        <v>45820.15139831102</v>
      </c>
      <c r="X340" s="32">
        <f t="shared" si="158"/>
        <v>45820.15139831102</v>
      </c>
      <c r="Y340" s="32">
        <f t="shared" si="158"/>
        <v>45820.15139831102</v>
      </c>
      <c r="Z340" s="32">
        <f t="shared" si="158"/>
        <v>45820.15139831102</v>
      </c>
      <c r="AA340" s="32">
        <f t="shared" si="158"/>
        <v>45820.15139831102</v>
      </c>
      <c r="AB340" s="32">
        <f t="shared" si="158"/>
        <v>45820.15139831102</v>
      </c>
      <c r="AC340" s="32">
        <f t="shared" si="158"/>
        <v>45820.15139831102</v>
      </c>
      <c r="AD340" s="32">
        <f t="shared" si="158"/>
        <v>45820.15139831102</v>
      </c>
      <c r="AE340" s="32">
        <f t="shared" si="158"/>
        <v>45820.15139831102</v>
      </c>
      <c r="AF340" s="1"/>
    </row>
    <row r="341" spans="3:32" x14ac:dyDescent="0.2">
      <c r="C341" s="5" t="str">
        <f>C284</f>
        <v>Operator</v>
      </c>
      <c r="E341" s="181">
        <v>52534.74917185567</v>
      </c>
      <c r="F341" s="1" t="s">
        <v>51</v>
      </c>
      <c r="I341" s="32">
        <f t="shared" si="158"/>
        <v>40451.756862328868</v>
      </c>
      <c r="J341" s="32">
        <f t="shared" si="158"/>
        <v>40451.756862328868</v>
      </c>
      <c r="K341" s="32">
        <f t="shared" si="158"/>
        <v>40451.756862328868</v>
      </c>
      <c r="L341" s="32">
        <f t="shared" si="158"/>
        <v>40451.756862328868</v>
      </c>
      <c r="M341" s="32">
        <f t="shared" si="158"/>
        <v>40451.756862328868</v>
      </c>
      <c r="N341" s="32">
        <f t="shared" si="158"/>
        <v>40451.756862328868</v>
      </c>
      <c r="O341" s="32">
        <f t="shared" si="158"/>
        <v>40451.756862328868</v>
      </c>
      <c r="P341" s="32">
        <f t="shared" si="158"/>
        <v>40451.756862328868</v>
      </c>
      <c r="Q341" s="32">
        <f t="shared" si="158"/>
        <v>40451.756862328868</v>
      </c>
      <c r="R341" s="32">
        <f t="shared" si="158"/>
        <v>40451.756862328868</v>
      </c>
      <c r="S341" s="32">
        <f t="shared" si="158"/>
        <v>40451.756862328868</v>
      </c>
      <c r="T341" s="32">
        <f t="shared" si="158"/>
        <v>40451.756862328868</v>
      </c>
      <c r="U341" s="32">
        <f t="shared" si="158"/>
        <v>40451.756862328868</v>
      </c>
      <c r="V341" s="32">
        <f t="shared" si="158"/>
        <v>40451.756862328868</v>
      </c>
      <c r="W341" s="32">
        <f t="shared" si="158"/>
        <v>40451.756862328868</v>
      </c>
      <c r="X341" s="32">
        <f t="shared" si="158"/>
        <v>40451.756862328868</v>
      </c>
      <c r="Y341" s="32">
        <f t="shared" si="158"/>
        <v>40451.756862328868</v>
      </c>
      <c r="Z341" s="32">
        <f t="shared" si="158"/>
        <v>40451.756862328868</v>
      </c>
      <c r="AA341" s="32">
        <f t="shared" si="158"/>
        <v>40451.756862328868</v>
      </c>
      <c r="AB341" s="32">
        <f t="shared" si="158"/>
        <v>40451.756862328868</v>
      </c>
      <c r="AC341" s="32">
        <f t="shared" si="158"/>
        <v>40451.756862328868</v>
      </c>
      <c r="AD341" s="32">
        <f t="shared" si="158"/>
        <v>40451.756862328868</v>
      </c>
      <c r="AE341" s="32">
        <f t="shared" si="158"/>
        <v>40451.756862328868</v>
      </c>
      <c r="AF341" s="1"/>
    </row>
    <row r="342" spans="3:32" x14ac:dyDescent="0.2">
      <c r="C342" s="5" t="str">
        <f>C285</f>
        <v>Operator - Casting bay</v>
      </c>
      <c r="E342" s="181">
        <v>42342.322405234663</v>
      </c>
      <c r="F342" s="1" t="s">
        <v>51</v>
      </c>
      <c r="I342" s="32">
        <f t="shared" si="158"/>
        <v>32603.588252030691</v>
      </c>
      <c r="J342" s="32">
        <f t="shared" si="158"/>
        <v>32603.588252030691</v>
      </c>
      <c r="K342" s="32">
        <f t="shared" si="158"/>
        <v>32603.588252030691</v>
      </c>
      <c r="L342" s="32">
        <f t="shared" si="158"/>
        <v>32603.588252030691</v>
      </c>
      <c r="M342" s="32">
        <f t="shared" si="158"/>
        <v>32603.588252030691</v>
      </c>
      <c r="N342" s="32">
        <f t="shared" si="158"/>
        <v>32603.588252030691</v>
      </c>
      <c r="O342" s="32">
        <f t="shared" si="158"/>
        <v>32603.588252030691</v>
      </c>
      <c r="P342" s="32">
        <f t="shared" si="158"/>
        <v>32603.588252030691</v>
      </c>
      <c r="Q342" s="32">
        <f t="shared" si="158"/>
        <v>32603.588252030691</v>
      </c>
      <c r="R342" s="32">
        <f t="shared" si="158"/>
        <v>32603.588252030691</v>
      </c>
      <c r="S342" s="32">
        <f t="shared" si="158"/>
        <v>32603.588252030691</v>
      </c>
      <c r="T342" s="32">
        <f t="shared" si="158"/>
        <v>32603.588252030691</v>
      </c>
      <c r="U342" s="32">
        <f t="shared" si="158"/>
        <v>32603.588252030691</v>
      </c>
      <c r="V342" s="32">
        <f t="shared" si="158"/>
        <v>32603.588252030691</v>
      </c>
      <c r="W342" s="32">
        <f t="shared" si="158"/>
        <v>32603.588252030691</v>
      </c>
      <c r="X342" s="32">
        <f t="shared" si="158"/>
        <v>32603.588252030691</v>
      </c>
      <c r="Y342" s="32">
        <f t="shared" si="158"/>
        <v>32603.588252030691</v>
      </c>
      <c r="Z342" s="32">
        <f t="shared" si="158"/>
        <v>32603.588252030691</v>
      </c>
      <c r="AA342" s="32">
        <f t="shared" si="158"/>
        <v>32603.588252030691</v>
      </c>
      <c r="AB342" s="32">
        <f t="shared" si="158"/>
        <v>32603.588252030691</v>
      </c>
      <c r="AC342" s="32">
        <f t="shared" si="158"/>
        <v>32603.588252030691</v>
      </c>
      <c r="AD342" s="32">
        <f t="shared" si="158"/>
        <v>32603.588252030691</v>
      </c>
      <c r="AE342" s="32">
        <f t="shared" si="158"/>
        <v>32603.588252030691</v>
      </c>
      <c r="AF342" s="1"/>
    </row>
    <row r="343" spans="3:32" x14ac:dyDescent="0.2">
      <c r="C343" s="5"/>
      <c r="E343" s="2"/>
      <c r="AF343" s="1"/>
    </row>
    <row r="344" spans="3:32" x14ac:dyDescent="0.2">
      <c r="C344" s="47" t="str">
        <f>C288</f>
        <v>HYL</v>
      </c>
      <c r="E344" s="2"/>
      <c r="AF344" s="1"/>
    </row>
    <row r="345" spans="3:32" x14ac:dyDescent="0.2">
      <c r="C345" s="5" t="str">
        <f>C289</f>
        <v>Manager of HYL Production</v>
      </c>
      <c r="E345" s="181">
        <v>132985.07630391439</v>
      </c>
      <c r="F345" s="1" t="s">
        <v>51</v>
      </c>
      <c r="I345" s="32">
        <f t="shared" ref="I345:AE348" si="159">$E345*I$14</f>
        <v>102398.50875401408</v>
      </c>
      <c r="J345" s="32">
        <f t="shared" si="159"/>
        <v>102398.50875401408</v>
      </c>
      <c r="K345" s="32">
        <f t="shared" si="159"/>
        <v>102398.50875401408</v>
      </c>
      <c r="L345" s="32">
        <f t="shared" si="159"/>
        <v>102398.50875401408</v>
      </c>
      <c r="M345" s="32">
        <f t="shared" si="159"/>
        <v>102398.50875401408</v>
      </c>
      <c r="N345" s="32">
        <f t="shared" si="159"/>
        <v>102398.50875401408</v>
      </c>
      <c r="O345" s="32">
        <f t="shared" si="159"/>
        <v>102398.50875401408</v>
      </c>
      <c r="P345" s="32">
        <f t="shared" si="159"/>
        <v>102398.50875401408</v>
      </c>
      <c r="Q345" s="32">
        <f t="shared" si="159"/>
        <v>102398.50875401408</v>
      </c>
      <c r="R345" s="32">
        <f t="shared" si="159"/>
        <v>102398.50875401408</v>
      </c>
      <c r="S345" s="32">
        <f t="shared" si="159"/>
        <v>102398.50875401408</v>
      </c>
      <c r="T345" s="32">
        <f t="shared" si="159"/>
        <v>102398.50875401408</v>
      </c>
      <c r="U345" s="32">
        <f t="shared" si="159"/>
        <v>102398.50875401408</v>
      </c>
      <c r="V345" s="32">
        <f t="shared" si="159"/>
        <v>102398.50875401408</v>
      </c>
      <c r="W345" s="32">
        <f t="shared" si="159"/>
        <v>102398.50875401408</v>
      </c>
      <c r="X345" s="32">
        <f t="shared" si="159"/>
        <v>102398.50875401408</v>
      </c>
      <c r="Y345" s="32">
        <f t="shared" si="159"/>
        <v>102398.50875401408</v>
      </c>
      <c r="Z345" s="32">
        <f t="shared" si="159"/>
        <v>102398.50875401408</v>
      </c>
      <c r="AA345" s="32">
        <f t="shared" si="159"/>
        <v>102398.50875401408</v>
      </c>
      <c r="AB345" s="32">
        <f t="shared" si="159"/>
        <v>102398.50875401408</v>
      </c>
      <c r="AC345" s="32">
        <f t="shared" si="159"/>
        <v>102398.50875401408</v>
      </c>
      <c r="AD345" s="32">
        <f t="shared" si="159"/>
        <v>102398.50875401408</v>
      </c>
      <c r="AE345" s="32">
        <f t="shared" si="159"/>
        <v>102398.50875401408</v>
      </c>
      <c r="AF345" s="1"/>
    </row>
    <row r="346" spans="3:32" x14ac:dyDescent="0.2">
      <c r="C346" s="5" t="str">
        <f>C290</f>
        <v>Supervisor/Team Leader of HYL</v>
      </c>
      <c r="E346" s="181">
        <v>70555.418643130251</v>
      </c>
      <c r="F346" s="1" t="s">
        <v>51</v>
      </c>
      <c r="I346" s="32">
        <f t="shared" si="159"/>
        <v>54327.672355210292</v>
      </c>
      <c r="J346" s="32">
        <f t="shared" si="159"/>
        <v>54327.672355210292</v>
      </c>
      <c r="K346" s="32">
        <f t="shared" si="159"/>
        <v>54327.672355210292</v>
      </c>
      <c r="L346" s="32">
        <f t="shared" si="159"/>
        <v>54327.672355210292</v>
      </c>
      <c r="M346" s="32">
        <f t="shared" si="159"/>
        <v>54327.672355210292</v>
      </c>
      <c r="N346" s="32">
        <f t="shared" si="159"/>
        <v>54327.672355210292</v>
      </c>
      <c r="O346" s="32">
        <f t="shared" si="159"/>
        <v>54327.672355210292</v>
      </c>
      <c r="P346" s="32">
        <f t="shared" si="159"/>
        <v>54327.672355210292</v>
      </c>
      <c r="Q346" s="32">
        <f t="shared" si="159"/>
        <v>54327.672355210292</v>
      </c>
      <c r="R346" s="32">
        <f t="shared" si="159"/>
        <v>54327.672355210292</v>
      </c>
      <c r="S346" s="32">
        <f t="shared" si="159"/>
        <v>54327.672355210292</v>
      </c>
      <c r="T346" s="32">
        <f t="shared" si="159"/>
        <v>54327.672355210292</v>
      </c>
      <c r="U346" s="32">
        <f t="shared" si="159"/>
        <v>54327.672355210292</v>
      </c>
      <c r="V346" s="32">
        <f t="shared" si="159"/>
        <v>54327.672355210292</v>
      </c>
      <c r="W346" s="32">
        <f t="shared" si="159"/>
        <v>54327.672355210292</v>
      </c>
      <c r="X346" s="32">
        <f t="shared" si="159"/>
        <v>54327.672355210292</v>
      </c>
      <c r="Y346" s="32">
        <f t="shared" si="159"/>
        <v>54327.672355210292</v>
      </c>
      <c r="Z346" s="32">
        <f t="shared" si="159"/>
        <v>54327.672355210292</v>
      </c>
      <c r="AA346" s="32">
        <f t="shared" si="159"/>
        <v>54327.672355210292</v>
      </c>
      <c r="AB346" s="32">
        <f t="shared" si="159"/>
        <v>54327.672355210292</v>
      </c>
      <c r="AC346" s="32">
        <f t="shared" si="159"/>
        <v>54327.672355210292</v>
      </c>
      <c r="AD346" s="32">
        <f t="shared" si="159"/>
        <v>54327.672355210292</v>
      </c>
      <c r="AE346" s="32">
        <f t="shared" si="159"/>
        <v>54327.672355210292</v>
      </c>
      <c r="AF346" s="1"/>
    </row>
    <row r="347" spans="3:32" x14ac:dyDescent="0.2">
      <c r="C347" s="5" t="str">
        <f>C291</f>
        <v>Senior Operator - Mechanical</v>
      </c>
      <c r="E347" s="181">
        <v>59204.571795714939</v>
      </c>
      <c r="F347" s="1" t="s">
        <v>51</v>
      </c>
      <c r="I347" s="32">
        <f t="shared" si="159"/>
        <v>45587.520282700505</v>
      </c>
      <c r="J347" s="32">
        <f t="shared" si="159"/>
        <v>45587.520282700505</v>
      </c>
      <c r="K347" s="32">
        <f t="shared" si="159"/>
        <v>45587.520282700505</v>
      </c>
      <c r="L347" s="32">
        <f t="shared" si="159"/>
        <v>45587.520282700505</v>
      </c>
      <c r="M347" s="32">
        <f t="shared" si="159"/>
        <v>45587.520282700505</v>
      </c>
      <c r="N347" s="32">
        <f t="shared" si="159"/>
        <v>45587.520282700505</v>
      </c>
      <c r="O347" s="32">
        <f t="shared" si="159"/>
        <v>45587.520282700505</v>
      </c>
      <c r="P347" s="32">
        <f t="shared" si="159"/>
        <v>45587.520282700505</v>
      </c>
      <c r="Q347" s="32">
        <f t="shared" si="159"/>
        <v>45587.520282700505</v>
      </c>
      <c r="R347" s="32">
        <f t="shared" si="159"/>
        <v>45587.520282700505</v>
      </c>
      <c r="S347" s="32">
        <f t="shared" si="159"/>
        <v>45587.520282700505</v>
      </c>
      <c r="T347" s="32">
        <f t="shared" si="159"/>
        <v>45587.520282700505</v>
      </c>
      <c r="U347" s="32">
        <f t="shared" si="159"/>
        <v>45587.520282700505</v>
      </c>
      <c r="V347" s="32">
        <f t="shared" si="159"/>
        <v>45587.520282700505</v>
      </c>
      <c r="W347" s="32">
        <f t="shared" si="159"/>
        <v>45587.520282700505</v>
      </c>
      <c r="X347" s="32">
        <f t="shared" si="159"/>
        <v>45587.520282700505</v>
      </c>
      <c r="Y347" s="32">
        <f t="shared" si="159"/>
        <v>45587.520282700505</v>
      </c>
      <c r="Z347" s="32">
        <f t="shared" si="159"/>
        <v>45587.520282700505</v>
      </c>
      <c r="AA347" s="32">
        <f t="shared" si="159"/>
        <v>45587.520282700505</v>
      </c>
      <c r="AB347" s="32">
        <f t="shared" si="159"/>
        <v>45587.520282700505</v>
      </c>
      <c r="AC347" s="32">
        <f t="shared" si="159"/>
        <v>45587.520282700505</v>
      </c>
      <c r="AD347" s="32">
        <f t="shared" si="159"/>
        <v>45587.520282700505</v>
      </c>
      <c r="AE347" s="32">
        <f t="shared" si="159"/>
        <v>45587.520282700505</v>
      </c>
      <c r="AF347" s="1"/>
    </row>
    <row r="348" spans="3:32" x14ac:dyDescent="0.2">
      <c r="C348" s="5" t="str">
        <f>C292</f>
        <v>Operator</v>
      </c>
      <c r="E348" s="181">
        <v>42342.322405234663</v>
      </c>
      <c r="F348" s="1" t="s">
        <v>51</v>
      </c>
      <c r="I348" s="32">
        <f t="shared" si="159"/>
        <v>32603.588252030691</v>
      </c>
      <c r="J348" s="32">
        <f t="shared" si="159"/>
        <v>32603.588252030691</v>
      </c>
      <c r="K348" s="32">
        <f t="shared" si="159"/>
        <v>32603.588252030691</v>
      </c>
      <c r="L348" s="32">
        <f t="shared" si="159"/>
        <v>32603.588252030691</v>
      </c>
      <c r="M348" s="32">
        <f t="shared" si="159"/>
        <v>32603.588252030691</v>
      </c>
      <c r="N348" s="32">
        <f t="shared" si="159"/>
        <v>32603.588252030691</v>
      </c>
      <c r="O348" s="32">
        <f t="shared" si="159"/>
        <v>32603.588252030691</v>
      </c>
      <c r="P348" s="32">
        <f t="shared" si="159"/>
        <v>32603.588252030691</v>
      </c>
      <c r="Q348" s="32">
        <f t="shared" si="159"/>
        <v>32603.588252030691</v>
      </c>
      <c r="R348" s="32">
        <f t="shared" si="159"/>
        <v>32603.588252030691</v>
      </c>
      <c r="S348" s="32">
        <f t="shared" si="159"/>
        <v>32603.588252030691</v>
      </c>
      <c r="T348" s="32">
        <f t="shared" si="159"/>
        <v>32603.588252030691</v>
      </c>
      <c r="U348" s="32">
        <f t="shared" si="159"/>
        <v>32603.588252030691</v>
      </c>
      <c r="V348" s="32">
        <f t="shared" si="159"/>
        <v>32603.588252030691</v>
      </c>
      <c r="W348" s="32">
        <f t="shared" si="159"/>
        <v>32603.588252030691</v>
      </c>
      <c r="X348" s="32">
        <f t="shared" si="159"/>
        <v>32603.588252030691</v>
      </c>
      <c r="Y348" s="32">
        <f t="shared" si="159"/>
        <v>32603.588252030691</v>
      </c>
      <c r="Z348" s="32">
        <f t="shared" si="159"/>
        <v>32603.588252030691</v>
      </c>
      <c r="AA348" s="32">
        <f t="shared" si="159"/>
        <v>32603.588252030691</v>
      </c>
      <c r="AB348" s="32">
        <f t="shared" si="159"/>
        <v>32603.588252030691</v>
      </c>
      <c r="AC348" s="32">
        <f t="shared" si="159"/>
        <v>32603.588252030691</v>
      </c>
      <c r="AD348" s="32">
        <f t="shared" si="159"/>
        <v>32603.588252030691</v>
      </c>
      <c r="AE348" s="32">
        <f t="shared" si="159"/>
        <v>32603.588252030691</v>
      </c>
      <c r="AF348" s="1"/>
    </row>
    <row r="349" spans="3:32" x14ac:dyDescent="0.2">
      <c r="C349" s="5"/>
      <c r="E349" s="2"/>
      <c r="AF349" s="1"/>
    </row>
    <row r="350" spans="3:32" x14ac:dyDescent="0.2">
      <c r="C350" s="47" t="str">
        <f>C295</f>
        <v>Cold Processing</v>
      </c>
      <c r="E350" s="2"/>
      <c r="AF350" s="1"/>
    </row>
    <row r="351" spans="3:32" x14ac:dyDescent="0.2">
      <c r="C351" s="5" t="str">
        <f>C296</f>
        <v>Manager of Cold Processing Production</v>
      </c>
      <c r="E351" s="181">
        <v>132985.07630391439</v>
      </c>
      <c r="F351" s="1" t="s">
        <v>51</v>
      </c>
      <c r="I351" s="32">
        <f t="shared" ref="I351:AE353" si="160">$E351*I$14</f>
        <v>102398.50875401408</v>
      </c>
      <c r="J351" s="32">
        <f t="shared" si="160"/>
        <v>102398.50875401408</v>
      </c>
      <c r="K351" s="32">
        <f t="shared" si="160"/>
        <v>102398.50875401408</v>
      </c>
      <c r="L351" s="32">
        <f t="shared" si="160"/>
        <v>102398.50875401408</v>
      </c>
      <c r="M351" s="32">
        <f t="shared" si="160"/>
        <v>102398.50875401408</v>
      </c>
      <c r="N351" s="32">
        <f t="shared" si="160"/>
        <v>102398.50875401408</v>
      </c>
      <c r="O351" s="32">
        <f t="shared" si="160"/>
        <v>102398.50875401408</v>
      </c>
      <c r="P351" s="32">
        <f t="shared" si="160"/>
        <v>102398.50875401408</v>
      </c>
      <c r="Q351" s="32">
        <f t="shared" si="160"/>
        <v>102398.50875401408</v>
      </c>
      <c r="R351" s="32">
        <f t="shared" si="160"/>
        <v>102398.50875401408</v>
      </c>
      <c r="S351" s="32">
        <f t="shared" si="160"/>
        <v>102398.50875401408</v>
      </c>
      <c r="T351" s="32">
        <f t="shared" si="160"/>
        <v>102398.50875401408</v>
      </c>
      <c r="U351" s="32">
        <f t="shared" si="160"/>
        <v>102398.50875401408</v>
      </c>
      <c r="V351" s="32">
        <f t="shared" si="160"/>
        <v>102398.50875401408</v>
      </c>
      <c r="W351" s="32">
        <f t="shared" si="160"/>
        <v>102398.50875401408</v>
      </c>
      <c r="X351" s="32">
        <f t="shared" si="160"/>
        <v>102398.50875401408</v>
      </c>
      <c r="Y351" s="32">
        <f t="shared" si="160"/>
        <v>102398.50875401408</v>
      </c>
      <c r="Z351" s="32">
        <f t="shared" si="160"/>
        <v>102398.50875401408</v>
      </c>
      <c r="AA351" s="32">
        <f t="shared" si="160"/>
        <v>102398.50875401408</v>
      </c>
      <c r="AB351" s="32">
        <f t="shared" si="160"/>
        <v>102398.50875401408</v>
      </c>
      <c r="AC351" s="32">
        <f t="shared" si="160"/>
        <v>102398.50875401408</v>
      </c>
      <c r="AD351" s="32">
        <f t="shared" si="160"/>
        <v>102398.50875401408</v>
      </c>
      <c r="AE351" s="32">
        <f t="shared" si="160"/>
        <v>102398.50875401408</v>
      </c>
      <c r="AF351" s="1"/>
    </row>
    <row r="352" spans="3:32" x14ac:dyDescent="0.2">
      <c r="C352" s="5" t="str">
        <f>C297</f>
        <v xml:space="preserve">Senior Operator </v>
      </c>
      <c r="E352" s="181">
        <v>53529.148372007294</v>
      </c>
      <c r="F352" s="1" t="s">
        <v>51</v>
      </c>
      <c r="I352" s="32">
        <f t="shared" si="160"/>
        <v>41217.444246445615</v>
      </c>
      <c r="J352" s="32">
        <f t="shared" si="160"/>
        <v>41217.444246445615</v>
      </c>
      <c r="K352" s="32">
        <f t="shared" si="160"/>
        <v>41217.444246445615</v>
      </c>
      <c r="L352" s="32">
        <f t="shared" si="160"/>
        <v>41217.444246445615</v>
      </c>
      <c r="M352" s="32">
        <f t="shared" si="160"/>
        <v>41217.444246445615</v>
      </c>
      <c r="N352" s="32">
        <f t="shared" si="160"/>
        <v>41217.444246445615</v>
      </c>
      <c r="O352" s="32">
        <f t="shared" si="160"/>
        <v>41217.444246445615</v>
      </c>
      <c r="P352" s="32">
        <f t="shared" si="160"/>
        <v>41217.444246445615</v>
      </c>
      <c r="Q352" s="32">
        <f t="shared" si="160"/>
        <v>41217.444246445615</v>
      </c>
      <c r="R352" s="32">
        <f t="shared" si="160"/>
        <v>41217.444246445615</v>
      </c>
      <c r="S352" s="32">
        <f t="shared" si="160"/>
        <v>41217.444246445615</v>
      </c>
      <c r="T352" s="32">
        <f t="shared" si="160"/>
        <v>41217.444246445615</v>
      </c>
      <c r="U352" s="32">
        <f t="shared" si="160"/>
        <v>41217.444246445615</v>
      </c>
      <c r="V352" s="32">
        <f t="shared" si="160"/>
        <v>41217.444246445615</v>
      </c>
      <c r="W352" s="32">
        <f t="shared" si="160"/>
        <v>41217.444246445615</v>
      </c>
      <c r="X352" s="32">
        <f t="shared" si="160"/>
        <v>41217.444246445615</v>
      </c>
      <c r="Y352" s="32">
        <f t="shared" si="160"/>
        <v>41217.444246445615</v>
      </c>
      <c r="Z352" s="32">
        <f t="shared" si="160"/>
        <v>41217.444246445615</v>
      </c>
      <c r="AA352" s="32">
        <f t="shared" si="160"/>
        <v>41217.444246445615</v>
      </c>
      <c r="AB352" s="32">
        <f t="shared" si="160"/>
        <v>41217.444246445615</v>
      </c>
      <c r="AC352" s="32">
        <f t="shared" si="160"/>
        <v>41217.444246445615</v>
      </c>
      <c r="AD352" s="32">
        <f t="shared" si="160"/>
        <v>41217.444246445615</v>
      </c>
      <c r="AE352" s="32">
        <f t="shared" si="160"/>
        <v>41217.444246445615</v>
      </c>
      <c r="AF352" s="1"/>
    </row>
    <row r="353" spans="3:32" x14ac:dyDescent="0.2">
      <c r="C353" s="5" t="str">
        <f>C298</f>
        <v>Operator</v>
      </c>
      <c r="E353" s="181">
        <v>44233.552631578947</v>
      </c>
      <c r="F353" s="1" t="s">
        <v>51</v>
      </c>
      <c r="I353" s="32">
        <f t="shared" si="160"/>
        <v>34059.835526315786</v>
      </c>
      <c r="J353" s="32">
        <f t="shared" si="160"/>
        <v>34059.835526315786</v>
      </c>
      <c r="K353" s="32">
        <f t="shared" si="160"/>
        <v>34059.835526315786</v>
      </c>
      <c r="L353" s="32">
        <f t="shared" si="160"/>
        <v>34059.835526315786</v>
      </c>
      <c r="M353" s="32">
        <f t="shared" si="160"/>
        <v>34059.835526315786</v>
      </c>
      <c r="N353" s="32">
        <f t="shared" si="160"/>
        <v>34059.835526315786</v>
      </c>
      <c r="O353" s="32">
        <f t="shared" si="160"/>
        <v>34059.835526315786</v>
      </c>
      <c r="P353" s="32">
        <f t="shared" si="160"/>
        <v>34059.835526315786</v>
      </c>
      <c r="Q353" s="32">
        <f t="shared" si="160"/>
        <v>34059.835526315786</v>
      </c>
      <c r="R353" s="32">
        <f t="shared" si="160"/>
        <v>34059.835526315786</v>
      </c>
      <c r="S353" s="32">
        <f t="shared" si="160"/>
        <v>34059.835526315786</v>
      </c>
      <c r="T353" s="32">
        <f t="shared" si="160"/>
        <v>34059.835526315786</v>
      </c>
      <c r="U353" s="32">
        <f t="shared" si="160"/>
        <v>34059.835526315786</v>
      </c>
      <c r="V353" s="32">
        <f t="shared" si="160"/>
        <v>34059.835526315786</v>
      </c>
      <c r="W353" s="32">
        <f t="shared" si="160"/>
        <v>34059.835526315786</v>
      </c>
      <c r="X353" s="32">
        <f t="shared" si="160"/>
        <v>34059.835526315786</v>
      </c>
      <c r="Y353" s="32">
        <f t="shared" si="160"/>
        <v>34059.835526315786</v>
      </c>
      <c r="Z353" s="32">
        <f t="shared" si="160"/>
        <v>34059.835526315786</v>
      </c>
      <c r="AA353" s="32">
        <f t="shared" si="160"/>
        <v>34059.835526315786</v>
      </c>
      <c r="AB353" s="32">
        <f t="shared" si="160"/>
        <v>34059.835526315786</v>
      </c>
      <c r="AC353" s="32">
        <f t="shared" si="160"/>
        <v>34059.835526315786</v>
      </c>
      <c r="AD353" s="32">
        <f t="shared" si="160"/>
        <v>34059.835526315786</v>
      </c>
      <c r="AE353" s="32">
        <f t="shared" si="160"/>
        <v>34059.835526315786</v>
      </c>
      <c r="AF353" s="1"/>
    </row>
    <row r="354" spans="3:32" x14ac:dyDescent="0.2">
      <c r="C354" s="5"/>
      <c r="E354" s="2"/>
    </row>
    <row r="355" spans="3:32" x14ac:dyDescent="0.2">
      <c r="C355" s="47" t="str">
        <f t="shared" ref="C355:C362" si="161">C301</f>
        <v>Shared Personnel</v>
      </c>
      <c r="E355" s="2"/>
    </row>
    <row r="356" spans="3:32" x14ac:dyDescent="0.2">
      <c r="C356" s="5" t="str">
        <f t="shared" si="161"/>
        <v>Maintenance Manager</v>
      </c>
      <c r="E356" s="181">
        <v>115958.80603279143</v>
      </c>
      <c r="F356" s="1" t="s">
        <v>51</v>
      </c>
      <c r="I356" s="32">
        <f t="shared" ref="I356:AE362" si="162">$E356*I$14</f>
        <v>89288.280645249397</v>
      </c>
      <c r="J356" s="32">
        <f t="shared" si="162"/>
        <v>89288.280645249397</v>
      </c>
      <c r="K356" s="32">
        <f t="shared" si="162"/>
        <v>89288.280645249397</v>
      </c>
      <c r="L356" s="32">
        <f t="shared" si="162"/>
        <v>89288.280645249397</v>
      </c>
      <c r="M356" s="32">
        <f t="shared" si="162"/>
        <v>89288.280645249397</v>
      </c>
      <c r="N356" s="32">
        <f t="shared" si="162"/>
        <v>89288.280645249397</v>
      </c>
      <c r="O356" s="32">
        <f t="shared" si="162"/>
        <v>89288.280645249397</v>
      </c>
      <c r="P356" s="32">
        <f t="shared" si="162"/>
        <v>89288.280645249397</v>
      </c>
      <c r="Q356" s="32">
        <f t="shared" si="162"/>
        <v>89288.280645249397</v>
      </c>
      <c r="R356" s="32">
        <f t="shared" si="162"/>
        <v>89288.280645249397</v>
      </c>
      <c r="S356" s="32">
        <f t="shared" si="162"/>
        <v>89288.280645249397</v>
      </c>
      <c r="T356" s="32">
        <f t="shared" si="162"/>
        <v>89288.280645249397</v>
      </c>
      <c r="U356" s="32">
        <f t="shared" si="162"/>
        <v>89288.280645249397</v>
      </c>
      <c r="V356" s="32">
        <f t="shared" si="162"/>
        <v>89288.280645249397</v>
      </c>
      <c r="W356" s="32">
        <f t="shared" si="162"/>
        <v>89288.280645249397</v>
      </c>
      <c r="X356" s="32">
        <f t="shared" si="162"/>
        <v>89288.280645249397</v>
      </c>
      <c r="Y356" s="32">
        <f t="shared" si="162"/>
        <v>89288.280645249397</v>
      </c>
      <c r="Z356" s="32">
        <f t="shared" si="162"/>
        <v>89288.280645249397</v>
      </c>
      <c r="AA356" s="32">
        <f t="shared" si="162"/>
        <v>89288.280645249397</v>
      </c>
      <c r="AB356" s="32">
        <f t="shared" si="162"/>
        <v>89288.280645249397</v>
      </c>
      <c r="AC356" s="32">
        <f t="shared" si="162"/>
        <v>89288.280645249397</v>
      </c>
      <c r="AD356" s="32">
        <f t="shared" si="162"/>
        <v>89288.280645249397</v>
      </c>
      <c r="AE356" s="32">
        <f t="shared" si="162"/>
        <v>89288.280645249397</v>
      </c>
    </row>
    <row r="357" spans="3:32" x14ac:dyDescent="0.2">
      <c r="C357" s="5" t="str">
        <f t="shared" si="161"/>
        <v>Mechanical Engineer</v>
      </c>
      <c r="E357" s="181">
        <v>95648.48119959161</v>
      </c>
      <c r="F357" s="1" t="s">
        <v>51</v>
      </c>
      <c r="I357" s="32">
        <f t="shared" si="162"/>
        <v>73649.330523685538</v>
      </c>
      <c r="J357" s="32">
        <f t="shared" si="162"/>
        <v>73649.330523685538</v>
      </c>
      <c r="K357" s="32">
        <f t="shared" si="162"/>
        <v>73649.330523685538</v>
      </c>
      <c r="L357" s="32">
        <f t="shared" si="162"/>
        <v>73649.330523685538</v>
      </c>
      <c r="M357" s="32">
        <f t="shared" si="162"/>
        <v>73649.330523685538</v>
      </c>
      <c r="N357" s="32">
        <f t="shared" si="162"/>
        <v>73649.330523685538</v>
      </c>
      <c r="O357" s="32">
        <f t="shared" si="162"/>
        <v>73649.330523685538</v>
      </c>
      <c r="P357" s="32">
        <f t="shared" si="162"/>
        <v>73649.330523685538</v>
      </c>
      <c r="Q357" s="32">
        <f t="shared" si="162"/>
        <v>73649.330523685538</v>
      </c>
      <c r="R357" s="32">
        <f t="shared" si="162"/>
        <v>73649.330523685538</v>
      </c>
      <c r="S357" s="32">
        <f t="shared" si="162"/>
        <v>73649.330523685538</v>
      </c>
      <c r="T357" s="32">
        <f t="shared" si="162"/>
        <v>73649.330523685538</v>
      </c>
      <c r="U357" s="32">
        <f t="shared" si="162"/>
        <v>73649.330523685538</v>
      </c>
      <c r="V357" s="32">
        <f t="shared" si="162"/>
        <v>73649.330523685538</v>
      </c>
      <c r="W357" s="32">
        <f t="shared" si="162"/>
        <v>73649.330523685538</v>
      </c>
      <c r="X357" s="32">
        <f t="shared" si="162"/>
        <v>73649.330523685538</v>
      </c>
      <c r="Y357" s="32">
        <f t="shared" si="162"/>
        <v>73649.330523685538</v>
      </c>
      <c r="Z357" s="32">
        <f t="shared" si="162"/>
        <v>73649.330523685538</v>
      </c>
      <c r="AA357" s="32">
        <f t="shared" si="162"/>
        <v>73649.330523685538</v>
      </c>
      <c r="AB357" s="32">
        <f t="shared" si="162"/>
        <v>73649.330523685538</v>
      </c>
      <c r="AC357" s="32">
        <f t="shared" si="162"/>
        <v>73649.330523685538</v>
      </c>
      <c r="AD357" s="32">
        <f t="shared" si="162"/>
        <v>73649.330523685538</v>
      </c>
      <c r="AE357" s="32">
        <f t="shared" si="162"/>
        <v>73649.330523685538</v>
      </c>
    </row>
    <row r="358" spans="3:32" x14ac:dyDescent="0.2">
      <c r="C358" s="5" t="str">
        <f t="shared" si="161"/>
        <v>Electrical Engineer</v>
      </c>
      <c r="E358" s="181">
        <v>95648.48119959161</v>
      </c>
      <c r="F358" s="1" t="s">
        <v>51</v>
      </c>
      <c r="I358" s="32">
        <f t="shared" si="162"/>
        <v>73649.330523685538</v>
      </c>
      <c r="J358" s="32">
        <f t="shared" si="162"/>
        <v>73649.330523685538</v>
      </c>
      <c r="K358" s="32">
        <f t="shared" si="162"/>
        <v>73649.330523685538</v>
      </c>
      <c r="L358" s="32">
        <f t="shared" si="162"/>
        <v>73649.330523685538</v>
      </c>
      <c r="M358" s="32">
        <f t="shared" si="162"/>
        <v>73649.330523685538</v>
      </c>
      <c r="N358" s="32">
        <f t="shared" si="162"/>
        <v>73649.330523685538</v>
      </c>
      <c r="O358" s="32">
        <f t="shared" si="162"/>
        <v>73649.330523685538</v>
      </c>
      <c r="P358" s="32">
        <f t="shared" si="162"/>
        <v>73649.330523685538</v>
      </c>
      <c r="Q358" s="32">
        <f t="shared" si="162"/>
        <v>73649.330523685538</v>
      </c>
      <c r="R358" s="32">
        <f t="shared" si="162"/>
        <v>73649.330523685538</v>
      </c>
      <c r="S358" s="32">
        <f t="shared" si="162"/>
        <v>73649.330523685538</v>
      </c>
      <c r="T358" s="32">
        <f t="shared" si="162"/>
        <v>73649.330523685538</v>
      </c>
      <c r="U358" s="32">
        <f t="shared" si="162"/>
        <v>73649.330523685538</v>
      </c>
      <c r="V358" s="32">
        <f t="shared" si="162"/>
        <v>73649.330523685538</v>
      </c>
      <c r="W358" s="32">
        <f t="shared" si="162"/>
        <v>73649.330523685538</v>
      </c>
      <c r="X358" s="32">
        <f t="shared" si="162"/>
        <v>73649.330523685538</v>
      </c>
      <c r="Y358" s="32">
        <f t="shared" si="162"/>
        <v>73649.330523685538</v>
      </c>
      <c r="Z358" s="32">
        <f t="shared" si="162"/>
        <v>73649.330523685538</v>
      </c>
      <c r="AA358" s="32">
        <f t="shared" si="162"/>
        <v>73649.330523685538</v>
      </c>
      <c r="AB358" s="32">
        <f t="shared" si="162"/>
        <v>73649.330523685538</v>
      </c>
      <c r="AC358" s="32">
        <f t="shared" si="162"/>
        <v>73649.330523685538</v>
      </c>
      <c r="AD358" s="32">
        <f t="shared" si="162"/>
        <v>73649.330523685538</v>
      </c>
      <c r="AE358" s="32">
        <f t="shared" si="162"/>
        <v>73649.330523685538</v>
      </c>
    </row>
    <row r="359" spans="3:32" x14ac:dyDescent="0.2">
      <c r="C359" s="5" t="str">
        <f t="shared" si="161"/>
        <v>Information Systems Technician</v>
      </c>
      <c r="E359" s="181">
        <v>70555.418643130251</v>
      </c>
      <c r="F359" s="1" t="s">
        <v>51</v>
      </c>
      <c r="I359" s="32">
        <f t="shared" si="162"/>
        <v>54327.672355210292</v>
      </c>
      <c r="J359" s="32">
        <f t="shared" si="162"/>
        <v>54327.672355210292</v>
      </c>
      <c r="K359" s="32">
        <f t="shared" si="162"/>
        <v>54327.672355210292</v>
      </c>
      <c r="L359" s="32">
        <f t="shared" si="162"/>
        <v>54327.672355210292</v>
      </c>
      <c r="M359" s="32">
        <f t="shared" si="162"/>
        <v>54327.672355210292</v>
      </c>
      <c r="N359" s="32">
        <f t="shared" si="162"/>
        <v>54327.672355210292</v>
      </c>
      <c r="O359" s="32">
        <f t="shared" si="162"/>
        <v>54327.672355210292</v>
      </c>
      <c r="P359" s="32">
        <f t="shared" si="162"/>
        <v>54327.672355210292</v>
      </c>
      <c r="Q359" s="32">
        <f t="shared" si="162"/>
        <v>54327.672355210292</v>
      </c>
      <c r="R359" s="32">
        <f t="shared" si="162"/>
        <v>54327.672355210292</v>
      </c>
      <c r="S359" s="32">
        <f t="shared" si="162"/>
        <v>54327.672355210292</v>
      </c>
      <c r="T359" s="32">
        <f t="shared" si="162"/>
        <v>54327.672355210292</v>
      </c>
      <c r="U359" s="32">
        <f t="shared" si="162"/>
        <v>54327.672355210292</v>
      </c>
      <c r="V359" s="32">
        <f t="shared" si="162"/>
        <v>54327.672355210292</v>
      </c>
      <c r="W359" s="32">
        <f t="shared" si="162"/>
        <v>54327.672355210292</v>
      </c>
      <c r="X359" s="32">
        <f t="shared" si="162"/>
        <v>54327.672355210292</v>
      </c>
      <c r="Y359" s="32">
        <f t="shared" si="162"/>
        <v>54327.672355210292</v>
      </c>
      <c r="Z359" s="32">
        <f t="shared" si="162"/>
        <v>54327.672355210292</v>
      </c>
      <c r="AA359" s="32">
        <f t="shared" si="162"/>
        <v>54327.672355210292</v>
      </c>
      <c r="AB359" s="32">
        <f t="shared" si="162"/>
        <v>54327.672355210292</v>
      </c>
      <c r="AC359" s="32">
        <f t="shared" si="162"/>
        <v>54327.672355210292</v>
      </c>
      <c r="AD359" s="32">
        <f t="shared" si="162"/>
        <v>54327.672355210292</v>
      </c>
      <c r="AE359" s="32">
        <f t="shared" si="162"/>
        <v>54327.672355210292</v>
      </c>
    </row>
    <row r="360" spans="3:32" x14ac:dyDescent="0.2">
      <c r="C360" s="5" t="str">
        <f t="shared" si="161"/>
        <v>Craft Maintenance - Electrical</v>
      </c>
      <c r="E360" s="181">
        <v>59204.571795714939</v>
      </c>
      <c r="F360" s="1" t="s">
        <v>51</v>
      </c>
      <c r="I360" s="32">
        <f t="shared" si="162"/>
        <v>45587.520282700505</v>
      </c>
      <c r="J360" s="32">
        <f t="shared" si="162"/>
        <v>45587.520282700505</v>
      </c>
      <c r="K360" s="32">
        <f t="shared" si="162"/>
        <v>45587.520282700505</v>
      </c>
      <c r="L360" s="32">
        <f t="shared" si="162"/>
        <v>45587.520282700505</v>
      </c>
      <c r="M360" s="32">
        <f t="shared" si="162"/>
        <v>45587.520282700505</v>
      </c>
      <c r="N360" s="32">
        <f t="shared" si="162"/>
        <v>45587.520282700505</v>
      </c>
      <c r="O360" s="32">
        <f t="shared" si="162"/>
        <v>45587.520282700505</v>
      </c>
      <c r="P360" s="32">
        <f t="shared" si="162"/>
        <v>45587.520282700505</v>
      </c>
      <c r="Q360" s="32">
        <f t="shared" si="162"/>
        <v>45587.520282700505</v>
      </c>
      <c r="R360" s="32">
        <f t="shared" si="162"/>
        <v>45587.520282700505</v>
      </c>
      <c r="S360" s="32">
        <f t="shared" si="162"/>
        <v>45587.520282700505</v>
      </c>
      <c r="T360" s="32">
        <f t="shared" si="162"/>
        <v>45587.520282700505</v>
      </c>
      <c r="U360" s="32">
        <f t="shared" si="162"/>
        <v>45587.520282700505</v>
      </c>
      <c r="V360" s="32">
        <f t="shared" si="162"/>
        <v>45587.520282700505</v>
      </c>
      <c r="W360" s="32">
        <f t="shared" si="162"/>
        <v>45587.520282700505</v>
      </c>
      <c r="X360" s="32">
        <f t="shared" si="162"/>
        <v>45587.520282700505</v>
      </c>
      <c r="Y360" s="32">
        <f t="shared" si="162"/>
        <v>45587.520282700505</v>
      </c>
      <c r="Z360" s="32">
        <f t="shared" si="162"/>
        <v>45587.520282700505</v>
      </c>
      <c r="AA360" s="32">
        <f t="shared" si="162"/>
        <v>45587.520282700505</v>
      </c>
      <c r="AB360" s="32">
        <f t="shared" si="162"/>
        <v>45587.520282700505</v>
      </c>
      <c r="AC360" s="32">
        <f t="shared" si="162"/>
        <v>45587.520282700505</v>
      </c>
      <c r="AD360" s="32">
        <f t="shared" si="162"/>
        <v>45587.520282700505</v>
      </c>
      <c r="AE360" s="32">
        <f t="shared" si="162"/>
        <v>45587.520282700505</v>
      </c>
    </row>
    <row r="361" spans="3:32" x14ac:dyDescent="0.2">
      <c r="C361" s="5" t="str">
        <f t="shared" si="161"/>
        <v>Craft Maintenance - Mechanical</v>
      </c>
      <c r="E361" s="181">
        <v>59204.571795714939</v>
      </c>
      <c r="F361" s="1" t="s">
        <v>51</v>
      </c>
      <c r="I361" s="32">
        <f t="shared" si="162"/>
        <v>45587.520282700505</v>
      </c>
      <c r="J361" s="32">
        <f t="shared" si="162"/>
        <v>45587.520282700505</v>
      </c>
      <c r="K361" s="32">
        <f t="shared" si="162"/>
        <v>45587.520282700505</v>
      </c>
      <c r="L361" s="32">
        <f t="shared" si="162"/>
        <v>45587.520282700505</v>
      </c>
      <c r="M361" s="32">
        <f t="shared" si="162"/>
        <v>45587.520282700505</v>
      </c>
      <c r="N361" s="32">
        <f t="shared" si="162"/>
        <v>45587.520282700505</v>
      </c>
      <c r="O361" s="32">
        <f t="shared" si="162"/>
        <v>45587.520282700505</v>
      </c>
      <c r="P361" s="32">
        <f t="shared" si="162"/>
        <v>45587.520282700505</v>
      </c>
      <c r="Q361" s="32">
        <f t="shared" si="162"/>
        <v>45587.520282700505</v>
      </c>
      <c r="R361" s="32">
        <f t="shared" si="162"/>
        <v>45587.520282700505</v>
      </c>
      <c r="S361" s="32">
        <f t="shared" si="162"/>
        <v>45587.520282700505</v>
      </c>
      <c r="T361" s="32">
        <f t="shared" si="162"/>
        <v>45587.520282700505</v>
      </c>
      <c r="U361" s="32">
        <f t="shared" si="162"/>
        <v>45587.520282700505</v>
      </c>
      <c r="V361" s="32">
        <f t="shared" si="162"/>
        <v>45587.520282700505</v>
      </c>
      <c r="W361" s="32">
        <f t="shared" si="162"/>
        <v>45587.520282700505</v>
      </c>
      <c r="X361" s="32">
        <f t="shared" si="162"/>
        <v>45587.520282700505</v>
      </c>
      <c r="Y361" s="32">
        <f t="shared" si="162"/>
        <v>45587.520282700505</v>
      </c>
      <c r="Z361" s="32">
        <f t="shared" si="162"/>
        <v>45587.520282700505</v>
      </c>
      <c r="AA361" s="32">
        <f t="shared" si="162"/>
        <v>45587.520282700505</v>
      </c>
      <c r="AB361" s="32">
        <f t="shared" si="162"/>
        <v>45587.520282700505</v>
      </c>
      <c r="AC361" s="32">
        <f t="shared" si="162"/>
        <v>45587.520282700505</v>
      </c>
      <c r="AD361" s="32">
        <f t="shared" si="162"/>
        <v>45587.520282700505</v>
      </c>
      <c r="AE361" s="32">
        <f t="shared" si="162"/>
        <v>45587.520282700505</v>
      </c>
    </row>
    <row r="362" spans="3:32" x14ac:dyDescent="0.2">
      <c r="C362" s="5" t="str">
        <f t="shared" si="161"/>
        <v>Quality Control Engineer</v>
      </c>
      <c r="E362" s="181">
        <v>53529.148372007294</v>
      </c>
      <c r="F362" s="1" t="s">
        <v>51</v>
      </c>
      <c r="I362" s="32">
        <f t="shared" si="162"/>
        <v>41217.444246445615</v>
      </c>
      <c r="J362" s="32">
        <f t="shared" si="162"/>
        <v>41217.444246445615</v>
      </c>
      <c r="K362" s="32">
        <f t="shared" si="162"/>
        <v>41217.444246445615</v>
      </c>
      <c r="L362" s="32">
        <f t="shared" si="162"/>
        <v>41217.444246445615</v>
      </c>
      <c r="M362" s="32">
        <f t="shared" si="162"/>
        <v>41217.444246445615</v>
      </c>
      <c r="N362" s="32">
        <f t="shared" si="162"/>
        <v>41217.444246445615</v>
      </c>
      <c r="O362" s="32">
        <f t="shared" si="162"/>
        <v>41217.444246445615</v>
      </c>
      <c r="P362" s="32">
        <f t="shared" si="162"/>
        <v>41217.444246445615</v>
      </c>
      <c r="Q362" s="32">
        <f t="shared" si="162"/>
        <v>41217.444246445615</v>
      </c>
      <c r="R362" s="32">
        <f t="shared" si="162"/>
        <v>41217.444246445615</v>
      </c>
      <c r="S362" s="32">
        <f t="shared" si="162"/>
        <v>41217.444246445615</v>
      </c>
      <c r="T362" s="32">
        <f t="shared" si="162"/>
        <v>41217.444246445615</v>
      </c>
      <c r="U362" s="32">
        <f t="shared" si="162"/>
        <v>41217.444246445615</v>
      </c>
      <c r="V362" s="32">
        <f t="shared" si="162"/>
        <v>41217.444246445615</v>
      </c>
      <c r="W362" s="32">
        <f t="shared" si="162"/>
        <v>41217.444246445615</v>
      </c>
      <c r="X362" s="32">
        <f t="shared" si="162"/>
        <v>41217.444246445615</v>
      </c>
      <c r="Y362" s="32">
        <f t="shared" si="162"/>
        <v>41217.444246445615</v>
      </c>
      <c r="Z362" s="32">
        <f t="shared" si="162"/>
        <v>41217.444246445615</v>
      </c>
      <c r="AA362" s="32">
        <f t="shared" si="162"/>
        <v>41217.444246445615</v>
      </c>
      <c r="AB362" s="32">
        <f t="shared" si="162"/>
        <v>41217.444246445615</v>
      </c>
      <c r="AC362" s="32">
        <f t="shared" si="162"/>
        <v>41217.444246445615</v>
      </c>
      <c r="AD362" s="32">
        <f t="shared" si="162"/>
        <v>41217.444246445615</v>
      </c>
      <c r="AE362" s="32">
        <f t="shared" si="162"/>
        <v>41217.444246445615</v>
      </c>
    </row>
    <row r="363" spans="3:32" x14ac:dyDescent="0.2">
      <c r="C363" s="5"/>
      <c r="E363" s="2"/>
    </row>
    <row r="364" spans="3:32" x14ac:dyDescent="0.2">
      <c r="C364" s="47" t="str">
        <f t="shared" ref="C364:C373" si="163">C311</f>
        <v>Selling, General &amp; Administrative</v>
      </c>
      <c r="E364" s="2"/>
    </row>
    <row r="365" spans="3:32" x14ac:dyDescent="0.2">
      <c r="C365" s="5" t="str">
        <f t="shared" si="163"/>
        <v>CEO, CFO, COO</v>
      </c>
      <c r="E365" s="181">
        <v>213291.03172992161</v>
      </c>
      <c r="F365" s="1" t="s">
        <v>51</v>
      </c>
      <c r="I365" s="32">
        <f t="shared" ref="I365:AE373" si="164">$E365*I$14</f>
        <v>164234.09443203965</v>
      </c>
      <c r="J365" s="32">
        <f t="shared" si="164"/>
        <v>164234.09443203965</v>
      </c>
      <c r="K365" s="32">
        <f t="shared" si="164"/>
        <v>164234.09443203965</v>
      </c>
      <c r="L365" s="32">
        <f t="shared" si="164"/>
        <v>164234.09443203965</v>
      </c>
      <c r="M365" s="32">
        <f t="shared" si="164"/>
        <v>164234.09443203965</v>
      </c>
      <c r="N365" s="32">
        <f t="shared" si="164"/>
        <v>164234.09443203965</v>
      </c>
      <c r="O365" s="32">
        <f t="shared" si="164"/>
        <v>164234.09443203965</v>
      </c>
      <c r="P365" s="32">
        <f t="shared" si="164"/>
        <v>164234.09443203965</v>
      </c>
      <c r="Q365" s="32">
        <f t="shared" si="164"/>
        <v>164234.09443203965</v>
      </c>
      <c r="R365" s="32">
        <f t="shared" si="164"/>
        <v>164234.09443203965</v>
      </c>
      <c r="S365" s="32">
        <f t="shared" si="164"/>
        <v>164234.09443203965</v>
      </c>
      <c r="T365" s="32">
        <f t="shared" si="164"/>
        <v>164234.09443203965</v>
      </c>
      <c r="U365" s="32">
        <f t="shared" si="164"/>
        <v>164234.09443203965</v>
      </c>
      <c r="V365" s="32">
        <f t="shared" si="164"/>
        <v>164234.09443203965</v>
      </c>
      <c r="W365" s="32">
        <f t="shared" si="164"/>
        <v>164234.09443203965</v>
      </c>
      <c r="X365" s="32">
        <f t="shared" si="164"/>
        <v>164234.09443203965</v>
      </c>
      <c r="Y365" s="32">
        <f t="shared" si="164"/>
        <v>164234.09443203965</v>
      </c>
      <c r="Z365" s="32">
        <f t="shared" si="164"/>
        <v>164234.09443203965</v>
      </c>
      <c r="AA365" s="32">
        <f t="shared" si="164"/>
        <v>164234.09443203965</v>
      </c>
      <c r="AB365" s="32">
        <f t="shared" si="164"/>
        <v>164234.09443203965</v>
      </c>
      <c r="AC365" s="32">
        <f t="shared" si="164"/>
        <v>164234.09443203965</v>
      </c>
      <c r="AD365" s="32">
        <f t="shared" si="164"/>
        <v>164234.09443203965</v>
      </c>
      <c r="AE365" s="32">
        <f t="shared" si="164"/>
        <v>164234.09443203965</v>
      </c>
    </row>
    <row r="366" spans="3:32" x14ac:dyDescent="0.2">
      <c r="C366" s="5" t="str">
        <f t="shared" si="163"/>
        <v>Administrator</v>
      </c>
      <c r="E366" s="181">
        <v>44448.470894075057</v>
      </c>
      <c r="F366" s="1" t="s">
        <v>51</v>
      </c>
      <c r="I366" s="32">
        <f t="shared" si="164"/>
        <v>34225.322588437797</v>
      </c>
      <c r="J366" s="32">
        <f t="shared" si="164"/>
        <v>34225.322588437797</v>
      </c>
      <c r="K366" s="32">
        <f t="shared" si="164"/>
        <v>34225.322588437797</v>
      </c>
      <c r="L366" s="32">
        <f t="shared" si="164"/>
        <v>34225.322588437797</v>
      </c>
      <c r="M366" s="32">
        <f t="shared" si="164"/>
        <v>34225.322588437797</v>
      </c>
      <c r="N366" s="32">
        <f t="shared" si="164"/>
        <v>34225.322588437797</v>
      </c>
      <c r="O366" s="32">
        <f t="shared" si="164"/>
        <v>34225.322588437797</v>
      </c>
      <c r="P366" s="32">
        <f t="shared" si="164"/>
        <v>34225.322588437797</v>
      </c>
      <c r="Q366" s="32">
        <f t="shared" si="164"/>
        <v>34225.322588437797</v>
      </c>
      <c r="R366" s="32">
        <f t="shared" si="164"/>
        <v>34225.322588437797</v>
      </c>
      <c r="S366" s="32">
        <f t="shared" si="164"/>
        <v>34225.322588437797</v>
      </c>
      <c r="T366" s="32">
        <f t="shared" si="164"/>
        <v>34225.322588437797</v>
      </c>
      <c r="U366" s="32">
        <f t="shared" si="164"/>
        <v>34225.322588437797</v>
      </c>
      <c r="V366" s="32">
        <f t="shared" si="164"/>
        <v>34225.322588437797</v>
      </c>
      <c r="W366" s="32">
        <f t="shared" si="164"/>
        <v>34225.322588437797</v>
      </c>
      <c r="X366" s="32">
        <f t="shared" si="164"/>
        <v>34225.322588437797</v>
      </c>
      <c r="Y366" s="32">
        <f t="shared" si="164"/>
        <v>34225.322588437797</v>
      </c>
      <c r="Z366" s="32">
        <f t="shared" si="164"/>
        <v>34225.322588437797</v>
      </c>
      <c r="AA366" s="32">
        <f t="shared" si="164"/>
        <v>34225.322588437797</v>
      </c>
      <c r="AB366" s="32">
        <f t="shared" si="164"/>
        <v>34225.322588437797</v>
      </c>
      <c r="AC366" s="32">
        <f t="shared" si="164"/>
        <v>34225.322588437797</v>
      </c>
      <c r="AD366" s="32">
        <f t="shared" si="164"/>
        <v>34225.322588437797</v>
      </c>
      <c r="AE366" s="32">
        <f t="shared" si="164"/>
        <v>34225.322588437797</v>
      </c>
    </row>
    <row r="367" spans="3:32" x14ac:dyDescent="0.2">
      <c r="C367" s="5" t="str">
        <f t="shared" si="163"/>
        <v xml:space="preserve">Accounting </v>
      </c>
      <c r="E367" s="181">
        <v>81906.265490545542</v>
      </c>
      <c r="F367" s="1" t="s">
        <v>51</v>
      </c>
      <c r="I367" s="32">
        <f t="shared" si="164"/>
        <v>63067.824427720072</v>
      </c>
      <c r="J367" s="32">
        <f t="shared" si="164"/>
        <v>63067.824427720072</v>
      </c>
      <c r="K367" s="32">
        <f t="shared" si="164"/>
        <v>63067.824427720072</v>
      </c>
      <c r="L367" s="32">
        <f t="shared" si="164"/>
        <v>63067.824427720072</v>
      </c>
      <c r="M367" s="32">
        <f t="shared" si="164"/>
        <v>63067.824427720072</v>
      </c>
      <c r="N367" s="32">
        <f t="shared" si="164"/>
        <v>63067.824427720072</v>
      </c>
      <c r="O367" s="32">
        <f t="shared" si="164"/>
        <v>63067.824427720072</v>
      </c>
      <c r="P367" s="32">
        <f t="shared" si="164"/>
        <v>63067.824427720072</v>
      </c>
      <c r="Q367" s="32">
        <f t="shared" si="164"/>
        <v>63067.824427720072</v>
      </c>
      <c r="R367" s="32">
        <f t="shared" si="164"/>
        <v>63067.824427720072</v>
      </c>
      <c r="S367" s="32">
        <f t="shared" si="164"/>
        <v>63067.824427720072</v>
      </c>
      <c r="T367" s="32">
        <f t="shared" si="164"/>
        <v>63067.824427720072</v>
      </c>
      <c r="U367" s="32">
        <f t="shared" si="164"/>
        <v>63067.824427720072</v>
      </c>
      <c r="V367" s="32">
        <f t="shared" si="164"/>
        <v>63067.824427720072</v>
      </c>
      <c r="W367" s="32">
        <f t="shared" si="164"/>
        <v>63067.824427720072</v>
      </c>
      <c r="X367" s="32">
        <f t="shared" si="164"/>
        <v>63067.824427720072</v>
      </c>
      <c r="Y367" s="32">
        <f t="shared" si="164"/>
        <v>63067.824427720072</v>
      </c>
      <c r="Z367" s="32">
        <f t="shared" si="164"/>
        <v>63067.824427720072</v>
      </c>
      <c r="AA367" s="32">
        <f t="shared" si="164"/>
        <v>63067.824427720072</v>
      </c>
      <c r="AB367" s="32">
        <f t="shared" si="164"/>
        <v>63067.824427720072</v>
      </c>
      <c r="AC367" s="32">
        <f t="shared" si="164"/>
        <v>63067.824427720072</v>
      </c>
      <c r="AD367" s="32">
        <f t="shared" si="164"/>
        <v>63067.824427720072</v>
      </c>
      <c r="AE367" s="32">
        <f t="shared" si="164"/>
        <v>63067.824427720072</v>
      </c>
    </row>
    <row r="368" spans="3:32" x14ac:dyDescent="0.2">
      <c r="C368" s="5" t="str">
        <f t="shared" si="163"/>
        <v>Purchasing - Buyer</v>
      </c>
      <c r="E368" s="181">
        <v>51258.979002524233</v>
      </c>
      <c r="F368" s="1" t="s">
        <v>51</v>
      </c>
      <c r="I368" s="32">
        <f t="shared" si="164"/>
        <v>39469.413831943661</v>
      </c>
      <c r="J368" s="32">
        <f t="shared" si="164"/>
        <v>39469.413831943661</v>
      </c>
      <c r="K368" s="32">
        <f t="shared" si="164"/>
        <v>39469.413831943661</v>
      </c>
      <c r="L368" s="32">
        <f t="shared" si="164"/>
        <v>39469.413831943661</v>
      </c>
      <c r="M368" s="32">
        <f t="shared" si="164"/>
        <v>39469.413831943661</v>
      </c>
      <c r="N368" s="32">
        <f t="shared" si="164"/>
        <v>39469.413831943661</v>
      </c>
      <c r="O368" s="32">
        <f t="shared" si="164"/>
        <v>39469.413831943661</v>
      </c>
      <c r="P368" s="32">
        <f t="shared" si="164"/>
        <v>39469.413831943661</v>
      </c>
      <c r="Q368" s="32">
        <f t="shared" si="164"/>
        <v>39469.413831943661</v>
      </c>
      <c r="R368" s="32">
        <f t="shared" si="164"/>
        <v>39469.413831943661</v>
      </c>
      <c r="S368" s="32">
        <f t="shared" si="164"/>
        <v>39469.413831943661</v>
      </c>
      <c r="T368" s="32">
        <f t="shared" si="164"/>
        <v>39469.413831943661</v>
      </c>
      <c r="U368" s="32">
        <f t="shared" si="164"/>
        <v>39469.413831943661</v>
      </c>
      <c r="V368" s="32">
        <f t="shared" si="164"/>
        <v>39469.413831943661</v>
      </c>
      <c r="W368" s="32">
        <f t="shared" si="164"/>
        <v>39469.413831943661</v>
      </c>
      <c r="X368" s="32">
        <f t="shared" si="164"/>
        <v>39469.413831943661</v>
      </c>
      <c r="Y368" s="32">
        <f t="shared" si="164"/>
        <v>39469.413831943661</v>
      </c>
      <c r="Z368" s="32">
        <f t="shared" si="164"/>
        <v>39469.413831943661</v>
      </c>
      <c r="AA368" s="32">
        <f t="shared" si="164"/>
        <v>39469.413831943661</v>
      </c>
      <c r="AB368" s="32">
        <f t="shared" si="164"/>
        <v>39469.413831943661</v>
      </c>
      <c r="AC368" s="32">
        <f t="shared" si="164"/>
        <v>39469.413831943661</v>
      </c>
      <c r="AD368" s="32">
        <f t="shared" si="164"/>
        <v>39469.413831943661</v>
      </c>
      <c r="AE368" s="32">
        <f t="shared" si="164"/>
        <v>39469.413831943661</v>
      </c>
    </row>
    <row r="369" spans="1:37" x14ac:dyDescent="0.2">
      <c r="C369" s="5" t="str">
        <f t="shared" si="163"/>
        <v>Purchasing - Receiving</v>
      </c>
      <c r="E369" s="181">
        <v>45583.55557881658</v>
      </c>
      <c r="F369" s="1" t="s">
        <v>51</v>
      </c>
      <c r="I369" s="32">
        <f t="shared" si="164"/>
        <v>35099.337795688771</v>
      </c>
      <c r="J369" s="32">
        <f t="shared" si="164"/>
        <v>35099.337795688771</v>
      </c>
      <c r="K369" s="32">
        <f t="shared" si="164"/>
        <v>35099.337795688771</v>
      </c>
      <c r="L369" s="32">
        <f t="shared" si="164"/>
        <v>35099.337795688771</v>
      </c>
      <c r="M369" s="32">
        <f t="shared" si="164"/>
        <v>35099.337795688771</v>
      </c>
      <c r="N369" s="32">
        <f t="shared" si="164"/>
        <v>35099.337795688771</v>
      </c>
      <c r="O369" s="32">
        <f t="shared" si="164"/>
        <v>35099.337795688771</v>
      </c>
      <c r="P369" s="32">
        <f t="shared" si="164"/>
        <v>35099.337795688771</v>
      </c>
      <c r="Q369" s="32">
        <f t="shared" si="164"/>
        <v>35099.337795688771</v>
      </c>
      <c r="R369" s="32">
        <f t="shared" si="164"/>
        <v>35099.337795688771</v>
      </c>
      <c r="S369" s="32">
        <f t="shared" si="164"/>
        <v>35099.337795688771</v>
      </c>
      <c r="T369" s="32">
        <f t="shared" si="164"/>
        <v>35099.337795688771</v>
      </c>
      <c r="U369" s="32">
        <f t="shared" si="164"/>
        <v>35099.337795688771</v>
      </c>
      <c r="V369" s="32">
        <f t="shared" si="164"/>
        <v>35099.337795688771</v>
      </c>
      <c r="W369" s="32">
        <f t="shared" si="164"/>
        <v>35099.337795688771</v>
      </c>
      <c r="X369" s="32">
        <f t="shared" si="164"/>
        <v>35099.337795688771</v>
      </c>
      <c r="Y369" s="32">
        <f t="shared" si="164"/>
        <v>35099.337795688771</v>
      </c>
      <c r="Z369" s="32">
        <f t="shared" si="164"/>
        <v>35099.337795688771</v>
      </c>
      <c r="AA369" s="32">
        <f t="shared" si="164"/>
        <v>35099.337795688771</v>
      </c>
      <c r="AB369" s="32">
        <f t="shared" si="164"/>
        <v>35099.337795688771</v>
      </c>
      <c r="AC369" s="32">
        <f t="shared" si="164"/>
        <v>35099.337795688771</v>
      </c>
      <c r="AD369" s="32">
        <f t="shared" si="164"/>
        <v>35099.337795688771</v>
      </c>
      <c r="AE369" s="32">
        <f t="shared" si="164"/>
        <v>35099.337795688771</v>
      </c>
    </row>
    <row r="370" spans="1:37" x14ac:dyDescent="0.2">
      <c r="C370" s="5" t="str">
        <f t="shared" si="163"/>
        <v>Human Resources/Safety Manager/Training</v>
      </c>
      <c r="E370" s="181">
        <v>76230.842066837897</v>
      </c>
      <c r="F370" s="1" t="s">
        <v>51</v>
      </c>
      <c r="I370" s="32">
        <f t="shared" si="164"/>
        <v>58697.748391465182</v>
      </c>
      <c r="J370" s="32">
        <f t="shared" si="164"/>
        <v>58697.748391465182</v>
      </c>
      <c r="K370" s="32">
        <f t="shared" si="164"/>
        <v>58697.748391465182</v>
      </c>
      <c r="L370" s="32">
        <f t="shared" si="164"/>
        <v>58697.748391465182</v>
      </c>
      <c r="M370" s="32">
        <f t="shared" si="164"/>
        <v>58697.748391465182</v>
      </c>
      <c r="N370" s="32">
        <f t="shared" si="164"/>
        <v>58697.748391465182</v>
      </c>
      <c r="O370" s="32">
        <f t="shared" si="164"/>
        <v>58697.748391465182</v>
      </c>
      <c r="P370" s="32">
        <f t="shared" si="164"/>
        <v>58697.748391465182</v>
      </c>
      <c r="Q370" s="32">
        <f t="shared" si="164"/>
        <v>58697.748391465182</v>
      </c>
      <c r="R370" s="32">
        <f t="shared" si="164"/>
        <v>58697.748391465182</v>
      </c>
      <c r="S370" s="32">
        <f t="shared" si="164"/>
        <v>58697.748391465182</v>
      </c>
      <c r="T370" s="32">
        <f t="shared" si="164"/>
        <v>58697.748391465182</v>
      </c>
      <c r="U370" s="32">
        <f t="shared" si="164"/>
        <v>58697.748391465182</v>
      </c>
      <c r="V370" s="32">
        <f t="shared" si="164"/>
        <v>58697.748391465182</v>
      </c>
      <c r="W370" s="32">
        <f t="shared" si="164"/>
        <v>58697.748391465182</v>
      </c>
      <c r="X370" s="32">
        <f t="shared" si="164"/>
        <v>58697.748391465182</v>
      </c>
      <c r="Y370" s="32">
        <f t="shared" si="164"/>
        <v>58697.748391465182</v>
      </c>
      <c r="Z370" s="32">
        <f t="shared" si="164"/>
        <v>58697.748391465182</v>
      </c>
      <c r="AA370" s="32">
        <f t="shared" si="164"/>
        <v>58697.748391465182</v>
      </c>
      <c r="AB370" s="32">
        <f t="shared" si="164"/>
        <v>58697.748391465182</v>
      </c>
      <c r="AC370" s="32">
        <f t="shared" si="164"/>
        <v>58697.748391465182</v>
      </c>
      <c r="AD370" s="32">
        <f t="shared" si="164"/>
        <v>58697.748391465182</v>
      </c>
      <c r="AE370" s="32">
        <f t="shared" si="164"/>
        <v>58697.748391465182</v>
      </c>
    </row>
    <row r="371" spans="1:37" x14ac:dyDescent="0.2">
      <c r="C371" s="5" t="str">
        <f t="shared" si="163"/>
        <v>Sales Administrator</v>
      </c>
      <c r="E371" s="181">
        <v>44448.470894075057</v>
      </c>
      <c r="F371" s="1" t="s">
        <v>51</v>
      </c>
      <c r="I371" s="32">
        <f t="shared" si="164"/>
        <v>34225.322588437797</v>
      </c>
      <c r="J371" s="32">
        <f t="shared" si="164"/>
        <v>34225.322588437797</v>
      </c>
      <c r="K371" s="32">
        <f t="shared" si="164"/>
        <v>34225.322588437797</v>
      </c>
      <c r="L371" s="32">
        <f t="shared" si="164"/>
        <v>34225.322588437797</v>
      </c>
      <c r="M371" s="32">
        <f t="shared" si="164"/>
        <v>34225.322588437797</v>
      </c>
      <c r="N371" s="32">
        <f t="shared" si="164"/>
        <v>34225.322588437797</v>
      </c>
      <c r="O371" s="32">
        <f t="shared" si="164"/>
        <v>34225.322588437797</v>
      </c>
      <c r="P371" s="32">
        <f t="shared" si="164"/>
        <v>34225.322588437797</v>
      </c>
      <c r="Q371" s="32">
        <f t="shared" si="164"/>
        <v>34225.322588437797</v>
      </c>
      <c r="R371" s="32">
        <f t="shared" si="164"/>
        <v>34225.322588437797</v>
      </c>
      <c r="S371" s="32">
        <f t="shared" si="164"/>
        <v>34225.322588437797</v>
      </c>
      <c r="T371" s="32">
        <f t="shared" si="164"/>
        <v>34225.322588437797</v>
      </c>
      <c r="U371" s="32">
        <f t="shared" si="164"/>
        <v>34225.322588437797</v>
      </c>
      <c r="V371" s="32">
        <f t="shared" si="164"/>
        <v>34225.322588437797</v>
      </c>
      <c r="W371" s="32">
        <f t="shared" si="164"/>
        <v>34225.322588437797</v>
      </c>
      <c r="X371" s="32">
        <f t="shared" si="164"/>
        <v>34225.322588437797</v>
      </c>
      <c r="Y371" s="32">
        <f t="shared" si="164"/>
        <v>34225.322588437797</v>
      </c>
      <c r="Z371" s="32">
        <f t="shared" si="164"/>
        <v>34225.322588437797</v>
      </c>
      <c r="AA371" s="32">
        <f t="shared" si="164"/>
        <v>34225.322588437797</v>
      </c>
      <c r="AB371" s="32">
        <f t="shared" si="164"/>
        <v>34225.322588437797</v>
      </c>
      <c r="AC371" s="32">
        <f t="shared" si="164"/>
        <v>34225.322588437797</v>
      </c>
      <c r="AD371" s="32">
        <f t="shared" si="164"/>
        <v>34225.322588437797</v>
      </c>
      <c r="AE371" s="32">
        <f t="shared" si="164"/>
        <v>34225.322588437797</v>
      </c>
    </row>
    <row r="372" spans="1:37" x14ac:dyDescent="0.2">
      <c r="C372" s="5" t="str">
        <f t="shared" si="163"/>
        <v>Inside Sales</v>
      </c>
      <c r="E372" s="181">
        <v>70555.418643130251</v>
      </c>
      <c r="F372" s="1" t="s">
        <v>51</v>
      </c>
      <c r="I372" s="32">
        <f t="shared" si="164"/>
        <v>54327.672355210292</v>
      </c>
      <c r="J372" s="32">
        <f t="shared" si="164"/>
        <v>54327.672355210292</v>
      </c>
      <c r="K372" s="32">
        <f t="shared" si="164"/>
        <v>54327.672355210292</v>
      </c>
      <c r="L372" s="32">
        <f t="shared" si="164"/>
        <v>54327.672355210292</v>
      </c>
      <c r="M372" s="32">
        <f t="shared" si="164"/>
        <v>54327.672355210292</v>
      </c>
      <c r="N372" s="32">
        <f t="shared" si="164"/>
        <v>54327.672355210292</v>
      </c>
      <c r="O372" s="32">
        <f t="shared" si="164"/>
        <v>54327.672355210292</v>
      </c>
      <c r="P372" s="32">
        <f t="shared" si="164"/>
        <v>54327.672355210292</v>
      </c>
      <c r="Q372" s="32">
        <f t="shared" si="164"/>
        <v>54327.672355210292</v>
      </c>
      <c r="R372" s="32">
        <f t="shared" si="164"/>
        <v>54327.672355210292</v>
      </c>
      <c r="S372" s="32">
        <f t="shared" si="164"/>
        <v>54327.672355210292</v>
      </c>
      <c r="T372" s="32">
        <f t="shared" si="164"/>
        <v>54327.672355210292</v>
      </c>
      <c r="U372" s="32">
        <f t="shared" si="164"/>
        <v>54327.672355210292</v>
      </c>
      <c r="V372" s="32">
        <f t="shared" si="164"/>
        <v>54327.672355210292</v>
      </c>
      <c r="W372" s="32">
        <f t="shared" si="164"/>
        <v>54327.672355210292</v>
      </c>
      <c r="X372" s="32">
        <f t="shared" si="164"/>
        <v>54327.672355210292</v>
      </c>
      <c r="Y372" s="32">
        <f t="shared" si="164"/>
        <v>54327.672355210292</v>
      </c>
      <c r="Z372" s="32">
        <f t="shared" si="164"/>
        <v>54327.672355210292</v>
      </c>
      <c r="AA372" s="32">
        <f t="shared" si="164"/>
        <v>54327.672355210292</v>
      </c>
      <c r="AB372" s="32">
        <f t="shared" si="164"/>
        <v>54327.672355210292</v>
      </c>
      <c r="AC372" s="32">
        <f t="shared" si="164"/>
        <v>54327.672355210292</v>
      </c>
      <c r="AD372" s="32">
        <f t="shared" si="164"/>
        <v>54327.672355210292</v>
      </c>
      <c r="AE372" s="32">
        <f t="shared" si="164"/>
        <v>54327.672355210292</v>
      </c>
    </row>
    <row r="373" spans="1:37" x14ac:dyDescent="0.2">
      <c r="C373" s="5" t="str">
        <f t="shared" si="163"/>
        <v>Shipping Manager</v>
      </c>
      <c r="E373" s="181">
        <v>87581.688914253187</v>
      </c>
      <c r="F373" s="1" t="s">
        <v>51</v>
      </c>
      <c r="I373" s="32">
        <f t="shared" si="164"/>
        <v>67437.900463974962</v>
      </c>
      <c r="J373" s="32">
        <f t="shared" si="164"/>
        <v>67437.900463974962</v>
      </c>
      <c r="K373" s="32">
        <f t="shared" si="164"/>
        <v>67437.900463974962</v>
      </c>
      <c r="L373" s="32">
        <f t="shared" si="164"/>
        <v>67437.900463974962</v>
      </c>
      <c r="M373" s="32">
        <f t="shared" si="164"/>
        <v>67437.900463974962</v>
      </c>
      <c r="N373" s="32">
        <f t="shared" si="164"/>
        <v>67437.900463974962</v>
      </c>
      <c r="O373" s="32">
        <f t="shared" si="164"/>
        <v>67437.900463974962</v>
      </c>
      <c r="P373" s="32">
        <f t="shared" si="164"/>
        <v>67437.900463974962</v>
      </c>
      <c r="Q373" s="32">
        <f t="shared" si="164"/>
        <v>67437.900463974962</v>
      </c>
      <c r="R373" s="32">
        <f t="shared" si="164"/>
        <v>67437.900463974962</v>
      </c>
      <c r="S373" s="32">
        <f t="shared" si="164"/>
        <v>67437.900463974962</v>
      </c>
      <c r="T373" s="32">
        <f t="shared" si="164"/>
        <v>67437.900463974962</v>
      </c>
      <c r="U373" s="32">
        <f t="shared" si="164"/>
        <v>67437.900463974962</v>
      </c>
      <c r="V373" s="32">
        <f t="shared" si="164"/>
        <v>67437.900463974962</v>
      </c>
      <c r="W373" s="32">
        <f t="shared" si="164"/>
        <v>67437.900463974962</v>
      </c>
      <c r="X373" s="32">
        <f t="shared" si="164"/>
        <v>67437.900463974962</v>
      </c>
      <c r="Y373" s="32">
        <f t="shared" si="164"/>
        <v>67437.900463974962</v>
      </c>
      <c r="Z373" s="32">
        <f t="shared" si="164"/>
        <v>67437.900463974962</v>
      </c>
      <c r="AA373" s="32">
        <f t="shared" si="164"/>
        <v>67437.900463974962</v>
      </c>
      <c r="AB373" s="32">
        <f t="shared" si="164"/>
        <v>67437.900463974962</v>
      </c>
      <c r="AC373" s="32">
        <f t="shared" si="164"/>
        <v>67437.900463974962</v>
      </c>
      <c r="AD373" s="32">
        <f t="shared" si="164"/>
        <v>67437.900463974962</v>
      </c>
      <c r="AE373" s="32">
        <f t="shared" si="164"/>
        <v>67437.900463974962</v>
      </c>
    </row>
    <row r="374" spans="1:37" x14ac:dyDescent="0.2">
      <c r="A374" s="5"/>
      <c r="B374" s="5"/>
      <c r="C374" s="5"/>
      <c r="E374" s="163"/>
      <c r="F374" s="5"/>
      <c r="G374" s="5"/>
      <c r="H374" s="5"/>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G374" s="5"/>
      <c r="AH374" s="5"/>
      <c r="AI374" s="5"/>
      <c r="AJ374" s="5"/>
      <c r="AK374" s="5"/>
    </row>
    <row r="375" spans="1:37" x14ac:dyDescent="0.2">
      <c r="C375" s="5" t="s">
        <v>336</v>
      </c>
      <c r="E375" s="181">
        <v>105263.15789473684</v>
      </c>
      <c r="F375" s="1" t="s">
        <v>51</v>
      </c>
      <c r="I375" s="32">
        <f>$E375*I$14</f>
        <v>81052.631578947374</v>
      </c>
      <c r="J375" s="32">
        <f>$E375*J$14</f>
        <v>81052.631578947374</v>
      </c>
      <c r="K375" s="32">
        <f>$E375*K$14</f>
        <v>81052.631578947374</v>
      </c>
      <c r="L375" s="32">
        <f>$E375*L$14</f>
        <v>81052.631578947374</v>
      </c>
      <c r="M375" s="32">
        <f t="shared" ref="M375:AE375" si="165">$E375*M$14</f>
        <v>81052.631578947374</v>
      </c>
      <c r="N375" s="32">
        <f t="shared" si="165"/>
        <v>81052.631578947374</v>
      </c>
      <c r="O375" s="32">
        <f t="shared" si="165"/>
        <v>81052.631578947374</v>
      </c>
      <c r="P375" s="32">
        <f t="shared" si="165"/>
        <v>81052.631578947374</v>
      </c>
      <c r="Q375" s="32">
        <f t="shared" si="165"/>
        <v>81052.631578947374</v>
      </c>
      <c r="R375" s="32">
        <f t="shared" si="165"/>
        <v>81052.631578947374</v>
      </c>
      <c r="S375" s="32">
        <f t="shared" si="165"/>
        <v>81052.631578947374</v>
      </c>
      <c r="T375" s="32">
        <f t="shared" si="165"/>
        <v>81052.631578947374</v>
      </c>
      <c r="U375" s="32">
        <f t="shared" si="165"/>
        <v>81052.631578947374</v>
      </c>
      <c r="V375" s="32">
        <f t="shared" si="165"/>
        <v>81052.631578947374</v>
      </c>
      <c r="W375" s="32">
        <f t="shared" si="165"/>
        <v>81052.631578947374</v>
      </c>
      <c r="X375" s="32">
        <f t="shared" si="165"/>
        <v>81052.631578947374</v>
      </c>
      <c r="Y375" s="32">
        <f t="shared" si="165"/>
        <v>81052.631578947374</v>
      </c>
      <c r="Z375" s="32">
        <f t="shared" si="165"/>
        <v>81052.631578947374</v>
      </c>
      <c r="AA375" s="32">
        <f t="shared" si="165"/>
        <v>81052.631578947374</v>
      </c>
      <c r="AB375" s="32">
        <f t="shared" si="165"/>
        <v>81052.631578947374</v>
      </c>
      <c r="AC375" s="32">
        <f t="shared" si="165"/>
        <v>81052.631578947374</v>
      </c>
      <c r="AD375" s="32">
        <f t="shared" si="165"/>
        <v>81052.631578947374</v>
      </c>
      <c r="AE375" s="32">
        <f t="shared" si="165"/>
        <v>81052.631578947374</v>
      </c>
    </row>
    <row r="376" spans="1:37" x14ac:dyDescent="0.2">
      <c r="C376" s="20"/>
      <c r="D376" s="20"/>
    </row>
    <row r="377" spans="1:37" x14ac:dyDescent="0.2">
      <c r="B377" s="24">
        <f>B327+0.01</f>
        <v>3.4299999999999997</v>
      </c>
      <c r="C377" s="20" t="s">
        <v>439</v>
      </c>
      <c r="D377" s="20"/>
    </row>
    <row r="378" spans="1:37" x14ac:dyDescent="0.2">
      <c r="C378" s="20"/>
      <c r="D378" s="20"/>
    </row>
    <row r="379" spans="1:37" x14ac:dyDescent="0.2">
      <c r="C379" s="47" t="str">
        <f t="shared" ref="C379:C386" si="166">C329</f>
        <v>Melting</v>
      </c>
      <c r="D379" s="20"/>
    </row>
    <row r="380" spans="1:37" x14ac:dyDescent="0.2">
      <c r="C380" s="5" t="str">
        <f t="shared" si="166"/>
        <v>Manager of Melting/Casting Production</v>
      </c>
      <c r="D380" s="20"/>
      <c r="E380" s="236">
        <v>0.5</v>
      </c>
      <c r="F380" s="1" t="s">
        <v>51</v>
      </c>
      <c r="I380" s="32">
        <f t="shared" ref="I380" si="167">$E380*I330</f>
        <v>57754.368431389375</v>
      </c>
      <c r="J380" s="32">
        <f t="shared" ref="J380" si="168">$E380*J330</f>
        <v>57754.368431389375</v>
      </c>
      <c r="K380" s="32">
        <f t="shared" ref="K380:AE380" si="169">$E380*K330</f>
        <v>57754.368431389375</v>
      </c>
      <c r="L380" s="32">
        <f t="shared" si="169"/>
        <v>57754.368431389375</v>
      </c>
      <c r="M380" s="32">
        <f t="shared" si="169"/>
        <v>57754.368431389375</v>
      </c>
      <c r="N380" s="32">
        <f t="shared" si="169"/>
        <v>57754.368431389375</v>
      </c>
      <c r="O380" s="32">
        <f t="shared" si="169"/>
        <v>57754.368431389375</v>
      </c>
      <c r="P380" s="32">
        <f t="shared" si="169"/>
        <v>57754.368431389375</v>
      </c>
      <c r="Q380" s="32">
        <f t="shared" si="169"/>
        <v>57754.368431389375</v>
      </c>
      <c r="R380" s="32">
        <f t="shared" si="169"/>
        <v>57754.368431389375</v>
      </c>
      <c r="S380" s="32">
        <f t="shared" si="169"/>
        <v>57754.368431389375</v>
      </c>
      <c r="T380" s="32">
        <f t="shared" si="169"/>
        <v>57754.368431389375</v>
      </c>
      <c r="U380" s="32">
        <f t="shared" si="169"/>
        <v>57754.368431389375</v>
      </c>
      <c r="V380" s="32">
        <f t="shared" si="169"/>
        <v>57754.368431389375</v>
      </c>
      <c r="W380" s="32">
        <f t="shared" si="169"/>
        <v>57754.368431389375</v>
      </c>
      <c r="X380" s="32">
        <f t="shared" si="169"/>
        <v>57754.368431389375</v>
      </c>
      <c r="Y380" s="32">
        <f t="shared" si="169"/>
        <v>57754.368431389375</v>
      </c>
      <c r="Z380" s="32">
        <f t="shared" si="169"/>
        <v>57754.368431389375</v>
      </c>
      <c r="AA380" s="32">
        <f t="shared" si="169"/>
        <v>57754.368431389375</v>
      </c>
      <c r="AB380" s="32">
        <f t="shared" si="169"/>
        <v>57754.368431389375</v>
      </c>
      <c r="AC380" s="32">
        <f t="shared" si="169"/>
        <v>57754.368431389375</v>
      </c>
      <c r="AD380" s="32">
        <f t="shared" si="169"/>
        <v>57754.368431389375</v>
      </c>
      <c r="AE380" s="32">
        <f t="shared" si="169"/>
        <v>57754.368431389375</v>
      </c>
    </row>
    <row r="381" spans="1:37" x14ac:dyDescent="0.2">
      <c r="C381" s="5" t="str">
        <f t="shared" si="166"/>
        <v>Supervisor/team Leader of Melting &amp; Casting</v>
      </c>
      <c r="D381" s="20"/>
      <c r="E381" s="236">
        <v>0.25</v>
      </c>
      <c r="F381" s="1" t="s">
        <v>51</v>
      </c>
      <c r="I381" s="32">
        <f t="shared" ref="I381" si="170">$E381*I331</f>
        <v>15218.732878387502</v>
      </c>
      <c r="J381" s="32">
        <f t="shared" ref="J381" si="171">$E381*J331</f>
        <v>15218.732878387502</v>
      </c>
      <c r="K381" s="32">
        <f t="shared" ref="K381:AE381" si="172">$E381*K331</f>
        <v>15218.732878387502</v>
      </c>
      <c r="L381" s="32">
        <f t="shared" si="172"/>
        <v>15218.732878387502</v>
      </c>
      <c r="M381" s="32">
        <f t="shared" si="172"/>
        <v>15218.732878387502</v>
      </c>
      <c r="N381" s="32">
        <f t="shared" si="172"/>
        <v>15218.732878387502</v>
      </c>
      <c r="O381" s="32">
        <f t="shared" si="172"/>
        <v>15218.732878387502</v>
      </c>
      <c r="P381" s="32">
        <f t="shared" si="172"/>
        <v>15218.732878387502</v>
      </c>
      <c r="Q381" s="32">
        <f t="shared" si="172"/>
        <v>15218.732878387502</v>
      </c>
      <c r="R381" s="32">
        <f t="shared" si="172"/>
        <v>15218.732878387502</v>
      </c>
      <c r="S381" s="32">
        <f t="shared" si="172"/>
        <v>15218.732878387502</v>
      </c>
      <c r="T381" s="32">
        <f t="shared" si="172"/>
        <v>15218.732878387502</v>
      </c>
      <c r="U381" s="32">
        <f t="shared" si="172"/>
        <v>15218.732878387502</v>
      </c>
      <c r="V381" s="32">
        <f t="shared" si="172"/>
        <v>15218.732878387502</v>
      </c>
      <c r="W381" s="32">
        <f t="shared" si="172"/>
        <v>15218.732878387502</v>
      </c>
      <c r="X381" s="32">
        <f t="shared" si="172"/>
        <v>15218.732878387502</v>
      </c>
      <c r="Y381" s="32">
        <f t="shared" si="172"/>
        <v>15218.732878387502</v>
      </c>
      <c r="Z381" s="32">
        <f t="shared" si="172"/>
        <v>15218.732878387502</v>
      </c>
      <c r="AA381" s="32">
        <f t="shared" si="172"/>
        <v>15218.732878387502</v>
      </c>
      <c r="AB381" s="32">
        <f t="shared" si="172"/>
        <v>15218.732878387502</v>
      </c>
      <c r="AC381" s="32">
        <f t="shared" si="172"/>
        <v>15218.732878387502</v>
      </c>
      <c r="AD381" s="32">
        <f t="shared" si="172"/>
        <v>15218.732878387502</v>
      </c>
      <c r="AE381" s="32">
        <f t="shared" si="172"/>
        <v>15218.732878387502</v>
      </c>
    </row>
    <row r="382" spans="1:37" x14ac:dyDescent="0.2">
      <c r="C382" s="5" t="str">
        <f t="shared" si="166"/>
        <v>Senior Operator - EAF</v>
      </c>
      <c r="D382" s="20"/>
      <c r="E382" s="236">
        <v>0.25</v>
      </c>
      <c r="F382" s="1" t="s">
        <v>51</v>
      </c>
      <c r="I382" s="32">
        <f t="shared" ref="I382" si="173">$E382*I332</f>
        <v>11396.880070675126</v>
      </c>
      <c r="J382" s="32">
        <f t="shared" ref="J382" si="174">$E382*J332</f>
        <v>11396.880070675126</v>
      </c>
      <c r="K382" s="32">
        <f t="shared" ref="K382:AE382" si="175">$E382*K332</f>
        <v>11396.880070675126</v>
      </c>
      <c r="L382" s="32">
        <f t="shared" si="175"/>
        <v>11396.880070675126</v>
      </c>
      <c r="M382" s="32">
        <f t="shared" si="175"/>
        <v>11396.880070675126</v>
      </c>
      <c r="N382" s="32">
        <f t="shared" si="175"/>
        <v>11396.880070675126</v>
      </c>
      <c r="O382" s="32">
        <f t="shared" si="175"/>
        <v>11396.880070675126</v>
      </c>
      <c r="P382" s="32">
        <f t="shared" si="175"/>
        <v>11396.880070675126</v>
      </c>
      <c r="Q382" s="32">
        <f t="shared" si="175"/>
        <v>11396.880070675126</v>
      </c>
      <c r="R382" s="32">
        <f t="shared" si="175"/>
        <v>11396.880070675126</v>
      </c>
      <c r="S382" s="32">
        <f t="shared" si="175"/>
        <v>11396.880070675126</v>
      </c>
      <c r="T382" s="32">
        <f t="shared" si="175"/>
        <v>11396.880070675126</v>
      </c>
      <c r="U382" s="32">
        <f t="shared" si="175"/>
        <v>11396.880070675126</v>
      </c>
      <c r="V382" s="32">
        <f t="shared" si="175"/>
        <v>11396.880070675126</v>
      </c>
      <c r="W382" s="32">
        <f t="shared" si="175"/>
        <v>11396.880070675126</v>
      </c>
      <c r="X382" s="32">
        <f t="shared" si="175"/>
        <v>11396.880070675126</v>
      </c>
      <c r="Y382" s="32">
        <f t="shared" si="175"/>
        <v>11396.880070675126</v>
      </c>
      <c r="Z382" s="32">
        <f t="shared" si="175"/>
        <v>11396.880070675126</v>
      </c>
      <c r="AA382" s="32">
        <f t="shared" si="175"/>
        <v>11396.880070675126</v>
      </c>
      <c r="AB382" s="32">
        <f t="shared" si="175"/>
        <v>11396.880070675126</v>
      </c>
      <c r="AC382" s="32">
        <f t="shared" si="175"/>
        <v>11396.880070675126</v>
      </c>
      <c r="AD382" s="32">
        <f t="shared" si="175"/>
        <v>11396.880070675126</v>
      </c>
      <c r="AE382" s="32">
        <f t="shared" si="175"/>
        <v>11396.880070675126</v>
      </c>
    </row>
    <row r="383" spans="1:37" x14ac:dyDescent="0.2">
      <c r="C383" s="5" t="str">
        <f t="shared" si="166"/>
        <v>Operator - Ladle Crane</v>
      </c>
      <c r="D383" s="20"/>
      <c r="E383" s="236">
        <v>0.25</v>
      </c>
      <c r="F383" s="1" t="s">
        <v>51</v>
      </c>
      <c r="I383" s="32">
        <f t="shared" ref="I383" si="176">$E383*I333</f>
        <v>10304.361061611404</v>
      </c>
      <c r="J383" s="32">
        <f t="shared" ref="J383" si="177">$E383*J333</f>
        <v>10304.361061611404</v>
      </c>
      <c r="K383" s="32">
        <f t="shared" ref="K383:AE383" si="178">$E383*K333</f>
        <v>10304.361061611404</v>
      </c>
      <c r="L383" s="32">
        <f t="shared" si="178"/>
        <v>10304.361061611404</v>
      </c>
      <c r="M383" s="32">
        <f t="shared" si="178"/>
        <v>10304.361061611404</v>
      </c>
      <c r="N383" s="32">
        <f t="shared" si="178"/>
        <v>10304.361061611404</v>
      </c>
      <c r="O383" s="32">
        <f t="shared" si="178"/>
        <v>10304.361061611404</v>
      </c>
      <c r="P383" s="32">
        <f t="shared" si="178"/>
        <v>10304.361061611404</v>
      </c>
      <c r="Q383" s="32">
        <f t="shared" si="178"/>
        <v>10304.361061611404</v>
      </c>
      <c r="R383" s="32">
        <f t="shared" si="178"/>
        <v>10304.361061611404</v>
      </c>
      <c r="S383" s="32">
        <f t="shared" si="178"/>
        <v>10304.361061611404</v>
      </c>
      <c r="T383" s="32">
        <f t="shared" si="178"/>
        <v>10304.361061611404</v>
      </c>
      <c r="U383" s="32">
        <f t="shared" si="178"/>
        <v>10304.361061611404</v>
      </c>
      <c r="V383" s="32">
        <f t="shared" si="178"/>
        <v>10304.361061611404</v>
      </c>
      <c r="W383" s="32">
        <f t="shared" si="178"/>
        <v>10304.361061611404</v>
      </c>
      <c r="X383" s="32">
        <f t="shared" si="178"/>
        <v>10304.361061611404</v>
      </c>
      <c r="Y383" s="32">
        <f t="shared" si="178"/>
        <v>10304.361061611404</v>
      </c>
      <c r="Z383" s="32">
        <f t="shared" si="178"/>
        <v>10304.361061611404</v>
      </c>
      <c r="AA383" s="32">
        <f t="shared" si="178"/>
        <v>10304.361061611404</v>
      </c>
      <c r="AB383" s="32">
        <f t="shared" si="178"/>
        <v>10304.361061611404</v>
      </c>
      <c r="AC383" s="32">
        <f t="shared" si="178"/>
        <v>10304.361061611404</v>
      </c>
      <c r="AD383" s="32">
        <f t="shared" si="178"/>
        <v>10304.361061611404</v>
      </c>
      <c r="AE383" s="32">
        <f t="shared" si="178"/>
        <v>10304.361061611404</v>
      </c>
    </row>
    <row r="384" spans="1:37" x14ac:dyDescent="0.2">
      <c r="C384" s="5" t="str">
        <f t="shared" si="166"/>
        <v>Operator</v>
      </c>
      <c r="D384" s="20"/>
      <c r="E384" s="236">
        <v>0.25</v>
      </c>
      <c r="F384" s="1" t="s">
        <v>51</v>
      </c>
      <c r="I384" s="32">
        <f t="shared" ref="I384" si="179">$E384*I334</f>
        <v>9402.4993106469155</v>
      </c>
      <c r="J384" s="32">
        <f t="shared" ref="J384" si="180">$E384*J334</f>
        <v>9402.4993106469155</v>
      </c>
      <c r="K384" s="32">
        <f t="shared" ref="K384:AE384" si="181">$E384*K334</f>
        <v>9402.4993106469155</v>
      </c>
      <c r="L384" s="32">
        <f t="shared" si="181"/>
        <v>9402.4993106469155</v>
      </c>
      <c r="M384" s="32">
        <f t="shared" si="181"/>
        <v>9402.4993106469155</v>
      </c>
      <c r="N384" s="32">
        <f t="shared" si="181"/>
        <v>9402.4993106469155</v>
      </c>
      <c r="O384" s="32">
        <f t="shared" si="181"/>
        <v>9402.4993106469155</v>
      </c>
      <c r="P384" s="32">
        <f t="shared" si="181"/>
        <v>9402.4993106469155</v>
      </c>
      <c r="Q384" s="32">
        <f t="shared" si="181"/>
        <v>9402.4993106469155</v>
      </c>
      <c r="R384" s="32">
        <f t="shared" si="181"/>
        <v>9402.4993106469155</v>
      </c>
      <c r="S384" s="32">
        <f t="shared" si="181"/>
        <v>9402.4993106469155</v>
      </c>
      <c r="T384" s="32">
        <f t="shared" si="181"/>
        <v>9402.4993106469155</v>
      </c>
      <c r="U384" s="32">
        <f t="shared" si="181"/>
        <v>9402.4993106469155</v>
      </c>
      <c r="V384" s="32">
        <f t="shared" si="181"/>
        <v>9402.4993106469155</v>
      </c>
      <c r="W384" s="32">
        <f t="shared" si="181"/>
        <v>9402.4993106469155</v>
      </c>
      <c r="X384" s="32">
        <f t="shared" si="181"/>
        <v>9402.4993106469155</v>
      </c>
      <c r="Y384" s="32">
        <f t="shared" si="181"/>
        <v>9402.4993106469155</v>
      </c>
      <c r="Z384" s="32">
        <f t="shared" si="181"/>
        <v>9402.4993106469155</v>
      </c>
      <c r="AA384" s="32">
        <f t="shared" si="181"/>
        <v>9402.4993106469155</v>
      </c>
      <c r="AB384" s="32">
        <f t="shared" si="181"/>
        <v>9402.4993106469155</v>
      </c>
      <c r="AC384" s="32">
        <f t="shared" si="181"/>
        <v>9402.4993106469155</v>
      </c>
      <c r="AD384" s="32">
        <f t="shared" si="181"/>
        <v>9402.4993106469155</v>
      </c>
      <c r="AE384" s="32">
        <f t="shared" si="181"/>
        <v>9402.4993106469155</v>
      </c>
    </row>
    <row r="385" spans="3:31" x14ac:dyDescent="0.2">
      <c r="C385" s="5" t="str">
        <f t="shared" si="166"/>
        <v>Team Leader - Refractory</v>
      </c>
      <c r="D385" s="20"/>
      <c r="E385" s="236">
        <v>0.25</v>
      </c>
      <c r="F385" s="1" t="s">
        <v>51</v>
      </c>
      <c r="I385" s="32">
        <f t="shared" ref="I385" si="182">$E385*I335</f>
        <v>9751.2514070310972</v>
      </c>
      <c r="J385" s="32">
        <f t="shared" ref="J385" si="183">$E385*J335</f>
        <v>9751.2514070310972</v>
      </c>
      <c r="K385" s="32">
        <f t="shared" ref="K385:AE385" si="184">$E385*K335</f>
        <v>9751.2514070310972</v>
      </c>
      <c r="L385" s="32">
        <f t="shared" si="184"/>
        <v>9751.2514070310972</v>
      </c>
      <c r="M385" s="32">
        <f t="shared" si="184"/>
        <v>9751.2514070310972</v>
      </c>
      <c r="N385" s="32">
        <f t="shared" si="184"/>
        <v>9751.2514070310972</v>
      </c>
      <c r="O385" s="32">
        <f t="shared" si="184"/>
        <v>9751.2514070310972</v>
      </c>
      <c r="P385" s="32">
        <f t="shared" si="184"/>
        <v>9751.2514070310972</v>
      </c>
      <c r="Q385" s="32">
        <f t="shared" si="184"/>
        <v>9751.2514070310972</v>
      </c>
      <c r="R385" s="32">
        <f t="shared" si="184"/>
        <v>9751.2514070310972</v>
      </c>
      <c r="S385" s="32">
        <f t="shared" si="184"/>
        <v>9751.2514070310972</v>
      </c>
      <c r="T385" s="32">
        <f t="shared" si="184"/>
        <v>9751.2514070310972</v>
      </c>
      <c r="U385" s="32">
        <f t="shared" si="184"/>
        <v>9751.2514070310972</v>
      </c>
      <c r="V385" s="32">
        <f t="shared" si="184"/>
        <v>9751.2514070310972</v>
      </c>
      <c r="W385" s="32">
        <f t="shared" si="184"/>
        <v>9751.2514070310972</v>
      </c>
      <c r="X385" s="32">
        <f t="shared" si="184"/>
        <v>9751.2514070310972</v>
      </c>
      <c r="Y385" s="32">
        <f t="shared" si="184"/>
        <v>9751.2514070310972</v>
      </c>
      <c r="Z385" s="32">
        <f t="shared" si="184"/>
        <v>9751.2514070310972</v>
      </c>
      <c r="AA385" s="32">
        <f t="shared" si="184"/>
        <v>9751.2514070310972</v>
      </c>
      <c r="AB385" s="32">
        <f t="shared" si="184"/>
        <v>9751.2514070310972</v>
      </c>
      <c r="AC385" s="32">
        <f t="shared" si="184"/>
        <v>9751.2514070310972</v>
      </c>
      <c r="AD385" s="32">
        <f t="shared" si="184"/>
        <v>9751.2514070310972</v>
      </c>
      <c r="AE385" s="32">
        <f t="shared" si="184"/>
        <v>9751.2514070310972</v>
      </c>
    </row>
    <row r="386" spans="3:31" x14ac:dyDescent="0.2">
      <c r="C386" s="5" t="str">
        <f t="shared" si="166"/>
        <v>Operator - Refractory</v>
      </c>
      <c r="D386" s="20"/>
      <c r="E386" s="236">
        <v>0.25</v>
      </c>
      <c r="F386" s="1" t="s">
        <v>51</v>
      </c>
      <c r="I386" s="32">
        <f t="shared" ref="I386" si="185">$E386*I336</f>
        <v>8453.2254487079226</v>
      </c>
      <c r="J386" s="32">
        <f t="shared" ref="J386" si="186">$E386*J336</f>
        <v>8453.2254487079226</v>
      </c>
      <c r="K386" s="32">
        <f t="shared" ref="K386:AE386" si="187">$E386*K336</f>
        <v>8453.2254487079226</v>
      </c>
      <c r="L386" s="32">
        <f t="shared" si="187"/>
        <v>8453.2254487079226</v>
      </c>
      <c r="M386" s="32">
        <f t="shared" si="187"/>
        <v>8453.2254487079226</v>
      </c>
      <c r="N386" s="32">
        <f t="shared" si="187"/>
        <v>8453.2254487079226</v>
      </c>
      <c r="O386" s="32">
        <f t="shared" si="187"/>
        <v>8453.2254487079226</v>
      </c>
      <c r="P386" s="32">
        <f t="shared" si="187"/>
        <v>8453.2254487079226</v>
      </c>
      <c r="Q386" s="32">
        <f t="shared" si="187"/>
        <v>8453.2254487079226</v>
      </c>
      <c r="R386" s="32">
        <f t="shared" si="187"/>
        <v>8453.2254487079226</v>
      </c>
      <c r="S386" s="32">
        <f t="shared" si="187"/>
        <v>8453.2254487079226</v>
      </c>
      <c r="T386" s="32">
        <f t="shared" si="187"/>
        <v>8453.2254487079226</v>
      </c>
      <c r="U386" s="32">
        <f t="shared" si="187"/>
        <v>8453.2254487079226</v>
      </c>
      <c r="V386" s="32">
        <f t="shared" si="187"/>
        <v>8453.2254487079226</v>
      </c>
      <c r="W386" s="32">
        <f t="shared" si="187"/>
        <v>8453.2254487079226</v>
      </c>
      <c r="X386" s="32">
        <f t="shared" si="187"/>
        <v>8453.2254487079226</v>
      </c>
      <c r="Y386" s="32">
        <f t="shared" si="187"/>
        <v>8453.2254487079226</v>
      </c>
      <c r="Z386" s="32">
        <f t="shared" si="187"/>
        <v>8453.2254487079226</v>
      </c>
      <c r="AA386" s="32">
        <f t="shared" si="187"/>
        <v>8453.2254487079226</v>
      </c>
      <c r="AB386" s="32">
        <f t="shared" si="187"/>
        <v>8453.2254487079226</v>
      </c>
      <c r="AC386" s="32">
        <f t="shared" si="187"/>
        <v>8453.2254487079226</v>
      </c>
      <c r="AD386" s="32">
        <f t="shared" si="187"/>
        <v>8453.2254487079226</v>
      </c>
      <c r="AE386" s="32">
        <f t="shared" si="187"/>
        <v>8453.2254487079226</v>
      </c>
    </row>
    <row r="387" spans="3:31" x14ac:dyDescent="0.2">
      <c r="C387" s="20"/>
      <c r="D387" s="20"/>
    </row>
    <row r="388" spans="3:31" x14ac:dyDescent="0.2">
      <c r="C388" s="47" t="str">
        <f>C339</f>
        <v>Casting</v>
      </c>
      <c r="D388" s="20"/>
    </row>
    <row r="389" spans="3:31" x14ac:dyDescent="0.2">
      <c r="C389" s="5" t="str">
        <f>C340</f>
        <v xml:space="preserve">Senior Casting Operator </v>
      </c>
      <c r="D389" s="20"/>
      <c r="E389" s="236">
        <v>0.25</v>
      </c>
      <c r="F389" s="1" t="s">
        <v>51</v>
      </c>
      <c r="I389" s="32">
        <f t="shared" ref="I389" si="188">$E389*I340</f>
        <v>11455.037849577755</v>
      </c>
      <c r="J389" s="32">
        <f t="shared" ref="J389" si="189">$E389*J340</f>
        <v>11455.037849577755</v>
      </c>
      <c r="K389" s="32">
        <f t="shared" ref="K389:AE389" si="190">$E389*K340</f>
        <v>11455.037849577755</v>
      </c>
      <c r="L389" s="32">
        <f t="shared" si="190"/>
        <v>11455.037849577755</v>
      </c>
      <c r="M389" s="32">
        <f t="shared" si="190"/>
        <v>11455.037849577755</v>
      </c>
      <c r="N389" s="32">
        <f t="shared" si="190"/>
        <v>11455.037849577755</v>
      </c>
      <c r="O389" s="32">
        <f t="shared" si="190"/>
        <v>11455.037849577755</v>
      </c>
      <c r="P389" s="32">
        <f t="shared" si="190"/>
        <v>11455.037849577755</v>
      </c>
      <c r="Q389" s="32">
        <f t="shared" si="190"/>
        <v>11455.037849577755</v>
      </c>
      <c r="R389" s="32">
        <f t="shared" si="190"/>
        <v>11455.037849577755</v>
      </c>
      <c r="S389" s="32">
        <f t="shared" si="190"/>
        <v>11455.037849577755</v>
      </c>
      <c r="T389" s="32">
        <f t="shared" si="190"/>
        <v>11455.037849577755</v>
      </c>
      <c r="U389" s="32">
        <f t="shared" si="190"/>
        <v>11455.037849577755</v>
      </c>
      <c r="V389" s="32">
        <f t="shared" si="190"/>
        <v>11455.037849577755</v>
      </c>
      <c r="W389" s="32">
        <f t="shared" si="190"/>
        <v>11455.037849577755</v>
      </c>
      <c r="X389" s="32">
        <f t="shared" si="190"/>
        <v>11455.037849577755</v>
      </c>
      <c r="Y389" s="32">
        <f t="shared" si="190"/>
        <v>11455.037849577755</v>
      </c>
      <c r="Z389" s="32">
        <f t="shared" si="190"/>
        <v>11455.037849577755</v>
      </c>
      <c r="AA389" s="32">
        <f t="shared" si="190"/>
        <v>11455.037849577755</v>
      </c>
      <c r="AB389" s="32">
        <f t="shared" si="190"/>
        <v>11455.037849577755</v>
      </c>
      <c r="AC389" s="32">
        <f t="shared" si="190"/>
        <v>11455.037849577755</v>
      </c>
      <c r="AD389" s="32">
        <f t="shared" si="190"/>
        <v>11455.037849577755</v>
      </c>
      <c r="AE389" s="32">
        <f t="shared" si="190"/>
        <v>11455.037849577755</v>
      </c>
    </row>
    <row r="390" spans="3:31" x14ac:dyDescent="0.2">
      <c r="C390" s="5" t="str">
        <f>C341</f>
        <v>Operator</v>
      </c>
      <c r="D390" s="20"/>
      <c r="E390" s="236">
        <v>0.25</v>
      </c>
      <c r="F390" s="1" t="s">
        <v>51</v>
      </c>
      <c r="I390" s="32">
        <f t="shared" ref="I390" si="191">$E390*I341</f>
        <v>10112.939215582217</v>
      </c>
      <c r="J390" s="32">
        <f t="shared" ref="J390" si="192">$E390*J341</f>
        <v>10112.939215582217</v>
      </c>
      <c r="K390" s="32">
        <f t="shared" ref="K390:AE390" si="193">$E390*K341</f>
        <v>10112.939215582217</v>
      </c>
      <c r="L390" s="32">
        <f t="shared" si="193"/>
        <v>10112.939215582217</v>
      </c>
      <c r="M390" s="32">
        <f t="shared" si="193"/>
        <v>10112.939215582217</v>
      </c>
      <c r="N390" s="32">
        <f t="shared" si="193"/>
        <v>10112.939215582217</v>
      </c>
      <c r="O390" s="32">
        <f t="shared" si="193"/>
        <v>10112.939215582217</v>
      </c>
      <c r="P390" s="32">
        <f t="shared" si="193"/>
        <v>10112.939215582217</v>
      </c>
      <c r="Q390" s="32">
        <f t="shared" si="193"/>
        <v>10112.939215582217</v>
      </c>
      <c r="R390" s="32">
        <f t="shared" si="193"/>
        <v>10112.939215582217</v>
      </c>
      <c r="S390" s="32">
        <f t="shared" si="193"/>
        <v>10112.939215582217</v>
      </c>
      <c r="T390" s="32">
        <f t="shared" si="193"/>
        <v>10112.939215582217</v>
      </c>
      <c r="U390" s="32">
        <f t="shared" si="193"/>
        <v>10112.939215582217</v>
      </c>
      <c r="V390" s="32">
        <f t="shared" si="193"/>
        <v>10112.939215582217</v>
      </c>
      <c r="W390" s="32">
        <f t="shared" si="193"/>
        <v>10112.939215582217</v>
      </c>
      <c r="X390" s="32">
        <f t="shared" si="193"/>
        <v>10112.939215582217</v>
      </c>
      <c r="Y390" s="32">
        <f t="shared" si="193"/>
        <v>10112.939215582217</v>
      </c>
      <c r="Z390" s="32">
        <f t="shared" si="193"/>
        <v>10112.939215582217</v>
      </c>
      <c r="AA390" s="32">
        <f t="shared" si="193"/>
        <v>10112.939215582217</v>
      </c>
      <c r="AB390" s="32">
        <f t="shared" si="193"/>
        <v>10112.939215582217</v>
      </c>
      <c r="AC390" s="32">
        <f t="shared" si="193"/>
        <v>10112.939215582217</v>
      </c>
      <c r="AD390" s="32">
        <f t="shared" si="193"/>
        <v>10112.939215582217</v>
      </c>
      <c r="AE390" s="32">
        <f t="shared" si="193"/>
        <v>10112.939215582217</v>
      </c>
    </row>
    <row r="391" spans="3:31" x14ac:dyDescent="0.2">
      <c r="C391" s="5" t="str">
        <f>C342</f>
        <v>Operator - Casting bay</v>
      </c>
      <c r="D391" s="20"/>
      <c r="E391" s="236">
        <v>0.25</v>
      </c>
      <c r="F391" s="1" t="s">
        <v>51</v>
      </c>
      <c r="I391" s="32">
        <f t="shared" ref="I391" si="194">$E391*I342</f>
        <v>8150.8970630076728</v>
      </c>
      <c r="J391" s="32">
        <f t="shared" ref="J391" si="195">$E391*J342</f>
        <v>8150.8970630076728</v>
      </c>
      <c r="K391" s="32">
        <f t="shared" ref="K391:AE391" si="196">$E391*K342</f>
        <v>8150.8970630076728</v>
      </c>
      <c r="L391" s="32">
        <f t="shared" si="196"/>
        <v>8150.8970630076728</v>
      </c>
      <c r="M391" s="32">
        <f t="shared" si="196"/>
        <v>8150.8970630076728</v>
      </c>
      <c r="N391" s="32">
        <f t="shared" si="196"/>
        <v>8150.8970630076728</v>
      </c>
      <c r="O391" s="32">
        <f t="shared" si="196"/>
        <v>8150.8970630076728</v>
      </c>
      <c r="P391" s="32">
        <f t="shared" si="196"/>
        <v>8150.8970630076728</v>
      </c>
      <c r="Q391" s="32">
        <f t="shared" si="196"/>
        <v>8150.8970630076728</v>
      </c>
      <c r="R391" s="32">
        <f t="shared" si="196"/>
        <v>8150.8970630076728</v>
      </c>
      <c r="S391" s="32">
        <f t="shared" si="196"/>
        <v>8150.8970630076728</v>
      </c>
      <c r="T391" s="32">
        <f t="shared" si="196"/>
        <v>8150.8970630076728</v>
      </c>
      <c r="U391" s="32">
        <f t="shared" si="196"/>
        <v>8150.8970630076728</v>
      </c>
      <c r="V391" s="32">
        <f t="shared" si="196"/>
        <v>8150.8970630076728</v>
      </c>
      <c r="W391" s="32">
        <f t="shared" si="196"/>
        <v>8150.8970630076728</v>
      </c>
      <c r="X391" s="32">
        <f t="shared" si="196"/>
        <v>8150.8970630076728</v>
      </c>
      <c r="Y391" s="32">
        <f t="shared" si="196"/>
        <v>8150.8970630076728</v>
      </c>
      <c r="Z391" s="32">
        <f t="shared" si="196"/>
        <v>8150.8970630076728</v>
      </c>
      <c r="AA391" s="32">
        <f t="shared" si="196"/>
        <v>8150.8970630076728</v>
      </c>
      <c r="AB391" s="32">
        <f t="shared" si="196"/>
        <v>8150.8970630076728</v>
      </c>
      <c r="AC391" s="32">
        <f t="shared" si="196"/>
        <v>8150.8970630076728</v>
      </c>
      <c r="AD391" s="32">
        <f t="shared" si="196"/>
        <v>8150.8970630076728</v>
      </c>
      <c r="AE391" s="32">
        <f t="shared" si="196"/>
        <v>8150.8970630076728</v>
      </c>
    </row>
    <row r="392" spans="3:31" x14ac:dyDescent="0.2">
      <c r="C392" s="20"/>
      <c r="D392" s="20"/>
    </row>
    <row r="393" spans="3:31" x14ac:dyDescent="0.2">
      <c r="C393" s="47" t="str">
        <f>C344</f>
        <v>HYL</v>
      </c>
      <c r="D393" s="20"/>
    </row>
    <row r="394" spans="3:31" x14ac:dyDescent="0.2">
      <c r="C394" s="5" t="str">
        <f>C345</f>
        <v>Manager of HYL Production</v>
      </c>
      <c r="D394" s="20"/>
      <c r="E394" s="236">
        <v>0.5</v>
      </c>
      <c r="F394" s="1" t="s">
        <v>51</v>
      </c>
      <c r="I394" s="32">
        <f t="shared" ref="I394" si="197">$E394*I345</f>
        <v>51199.254377007041</v>
      </c>
      <c r="J394" s="32">
        <f t="shared" ref="J394" si="198">$E394*J345</f>
        <v>51199.254377007041</v>
      </c>
      <c r="K394" s="32">
        <f t="shared" ref="K394:AE394" si="199">$E394*K345</f>
        <v>51199.254377007041</v>
      </c>
      <c r="L394" s="32">
        <f t="shared" si="199"/>
        <v>51199.254377007041</v>
      </c>
      <c r="M394" s="32">
        <f t="shared" si="199"/>
        <v>51199.254377007041</v>
      </c>
      <c r="N394" s="32">
        <f t="shared" si="199"/>
        <v>51199.254377007041</v>
      </c>
      <c r="O394" s="32">
        <f t="shared" si="199"/>
        <v>51199.254377007041</v>
      </c>
      <c r="P394" s="32">
        <f t="shared" si="199"/>
        <v>51199.254377007041</v>
      </c>
      <c r="Q394" s="32">
        <f t="shared" si="199"/>
        <v>51199.254377007041</v>
      </c>
      <c r="R394" s="32">
        <f t="shared" si="199"/>
        <v>51199.254377007041</v>
      </c>
      <c r="S394" s="32">
        <f t="shared" si="199"/>
        <v>51199.254377007041</v>
      </c>
      <c r="T394" s="32">
        <f t="shared" si="199"/>
        <v>51199.254377007041</v>
      </c>
      <c r="U394" s="32">
        <f t="shared" si="199"/>
        <v>51199.254377007041</v>
      </c>
      <c r="V394" s="32">
        <f t="shared" si="199"/>
        <v>51199.254377007041</v>
      </c>
      <c r="W394" s="32">
        <f t="shared" si="199"/>
        <v>51199.254377007041</v>
      </c>
      <c r="X394" s="32">
        <f t="shared" si="199"/>
        <v>51199.254377007041</v>
      </c>
      <c r="Y394" s="32">
        <f t="shared" si="199"/>
        <v>51199.254377007041</v>
      </c>
      <c r="Z394" s="32">
        <f t="shared" si="199"/>
        <v>51199.254377007041</v>
      </c>
      <c r="AA394" s="32">
        <f t="shared" si="199"/>
        <v>51199.254377007041</v>
      </c>
      <c r="AB394" s="32">
        <f t="shared" si="199"/>
        <v>51199.254377007041</v>
      </c>
      <c r="AC394" s="32">
        <f t="shared" si="199"/>
        <v>51199.254377007041</v>
      </c>
      <c r="AD394" s="32">
        <f t="shared" si="199"/>
        <v>51199.254377007041</v>
      </c>
      <c r="AE394" s="32">
        <f t="shared" si="199"/>
        <v>51199.254377007041</v>
      </c>
    </row>
    <row r="395" spans="3:31" x14ac:dyDescent="0.2">
      <c r="C395" s="5" t="str">
        <f>C346</f>
        <v>Supervisor/Team Leader of HYL</v>
      </c>
      <c r="D395" s="20"/>
      <c r="E395" s="236">
        <v>0.25</v>
      </c>
      <c r="F395" s="1" t="s">
        <v>51</v>
      </c>
      <c r="I395" s="32">
        <f t="shared" ref="I395" si="200">$E395*I346</f>
        <v>13581.918088802573</v>
      </c>
      <c r="J395" s="32">
        <f t="shared" ref="J395" si="201">$E395*J346</f>
        <v>13581.918088802573</v>
      </c>
      <c r="K395" s="32">
        <f t="shared" ref="K395:AE395" si="202">$E395*K346</f>
        <v>13581.918088802573</v>
      </c>
      <c r="L395" s="32">
        <f t="shared" si="202"/>
        <v>13581.918088802573</v>
      </c>
      <c r="M395" s="32">
        <f t="shared" si="202"/>
        <v>13581.918088802573</v>
      </c>
      <c r="N395" s="32">
        <f t="shared" si="202"/>
        <v>13581.918088802573</v>
      </c>
      <c r="O395" s="32">
        <f t="shared" si="202"/>
        <v>13581.918088802573</v>
      </c>
      <c r="P395" s="32">
        <f t="shared" si="202"/>
        <v>13581.918088802573</v>
      </c>
      <c r="Q395" s="32">
        <f t="shared" si="202"/>
        <v>13581.918088802573</v>
      </c>
      <c r="R395" s="32">
        <f t="shared" si="202"/>
        <v>13581.918088802573</v>
      </c>
      <c r="S395" s="32">
        <f t="shared" si="202"/>
        <v>13581.918088802573</v>
      </c>
      <c r="T395" s="32">
        <f t="shared" si="202"/>
        <v>13581.918088802573</v>
      </c>
      <c r="U395" s="32">
        <f t="shared" si="202"/>
        <v>13581.918088802573</v>
      </c>
      <c r="V395" s="32">
        <f t="shared" si="202"/>
        <v>13581.918088802573</v>
      </c>
      <c r="W395" s="32">
        <f t="shared" si="202"/>
        <v>13581.918088802573</v>
      </c>
      <c r="X395" s="32">
        <f t="shared" si="202"/>
        <v>13581.918088802573</v>
      </c>
      <c r="Y395" s="32">
        <f t="shared" si="202"/>
        <v>13581.918088802573</v>
      </c>
      <c r="Z395" s="32">
        <f t="shared" si="202"/>
        <v>13581.918088802573</v>
      </c>
      <c r="AA395" s="32">
        <f t="shared" si="202"/>
        <v>13581.918088802573</v>
      </c>
      <c r="AB395" s="32">
        <f t="shared" si="202"/>
        <v>13581.918088802573</v>
      </c>
      <c r="AC395" s="32">
        <f t="shared" si="202"/>
        <v>13581.918088802573</v>
      </c>
      <c r="AD395" s="32">
        <f t="shared" si="202"/>
        <v>13581.918088802573</v>
      </c>
      <c r="AE395" s="32">
        <f t="shared" si="202"/>
        <v>13581.918088802573</v>
      </c>
    </row>
    <row r="396" spans="3:31" x14ac:dyDescent="0.2">
      <c r="C396" s="5" t="str">
        <f>C347</f>
        <v>Senior Operator - Mechanical</v>
      </c>
      <c r="D396" s="20"/>
      <c r="E396" s="236">
        <v>0.25</v>
      </c>
      <c r="F396" s="1" t="s">
        <v>51</v>
      </c>
      <c r="I396" s="32">
        <f t="shared" ref="I396" si="203">$E396*I347</f>
        <v>11396.880070675126</v>
      </c>
      <c r="J396" s="32">
        <f t="shared" ref="J396" si="204">$E396*J347</f>
        <v>11396.880070675126</v>
      </c>
      <c r="K396" s="32">
        <f t="shared" ref="K396:AE396" si="205">$E396*K347</f>
        <v>11396.880070675126</v>
      </c>
      <c r="L396" s="32">
        <f t="shared" si="205"/>
        <v>11396.880070675126</v>
      </c>
      <c r="M396" s="32">
        <f t="shared" si="205"/>
        <v>11396.880070675126</v>
      </c>
      <c r="N396" s="32">
        <f t="shared" si="205"/>
        <v>11396.880070675126</v>
      </c>
      <c r="O396" s="32">
        <f t="shared" si="205"/>
        <v>11396.880070675126</v>
      </c>
      <c r="P396" s="32">
        <f t="shared" si="205"/>
        <v>11396.880070675126</v>
      </c>
      <c r="Q396" s="32">
        <f t="shared" si="205"/>
        <v>11396.880070675126</v>
      </c>
      <c r="R396" s="32">
        <f t="shared" si="205"/>
        <v>11396.880070675126</v>
      </c>
      <c r="S396" s="32">
        <f t="shared" si="205"/>
        <v>11396.880070675126</v>
      </c>
      <c r="T396" s="32">
        <f t="shared" si="205"/>
        <v>11396.880070675126</v>
      </c>
      <c r="U396" s="32">
        <f t="shared" si="205"/>
        <v>11396.880070675126</v>
      </c>
      <c r="V396" s="32">
        <f t="shared" si="205"/>
        <v>11396.880070675126</v>
      </c>
      <c r="W396" s="32">
        <f t="shared" si="205"/>
        <v>11396.880070675126</v>
      </c>
      <c r="X396" s="32">
        <f t="shared" si="205"/>
        <v>11396.880070675126</v>
      </c>
      <c r="Y396" s="32">
        <f t="shared" si="205"/>
        <v>11396.880070675126</v>
      </c>
      <c r="Z396" s="32">
        <f t="shared" si="205"/>
        <v>11396.880070675126</v>
      </c>
      <c r="AA396" s="32">
        <f t="shared" si="205"/>
        <v>11396.880070675126</v>
      </c>
      <c r="AB396" s="32">
        <f t="shared" si="205"/>
        <v>11396.880070675126</v>
      </c>
      <c r="AC396" s="32">
        <f t="shared" si="205"/>
        <v>11396.880070675126</v>
      </c>
      <c r="AD396" s="32">
        <f t="shared" si="205"/>
        <v>11396.880070675126</v>
      </c>
      <c r="AE396" s="32">
        <f t="shared" si="205"/>
        <v>11396.880070675126</v>
      </c>
    </row>
    <row r="397" spans="3:31" x14ac:dyDescent="0.2">
      <c r="C397" s="5" t="str">
        <f>C348</f>
        <v>Operator</v>
      </c>
      <c r="D397" s="20"/>
      <c r="E397" s="236">
        <v>0.25</v>
      </c>
      <c r="F397" s="1" t="s">
        <v>51</v>
      </c>
      <c r="I397" s="32">
        <f t="shared" ref="I397" si="206">$E397*I348</f>
        <v>8150.8970630076728</v>
      </c>
      <c r="J397" s="32">
        <f t="shared" ref="J397" si="207">$E397*J348</f>
        <v>8150.8970630076728</v>
      </c>
      <c r="K397" s="32">
        <f t="shared" ref="K397:AE397" si="208">$E397*K348</f>
        <v>8150.8970630076728</v>
      </c>
      <c r="L397" s="32">
        <f t="shared" si="208"/>
        <v>8150.8970630076728</v>
      </c>
      <c r="M397" s="32">
        <f t="shared" si="208"/>
        <v>8150.8970630076728</v>
      </c>
      <c r="N397" s="32">
        <f t="shared" si="208"/>
        <v>8150.8970630076728</v>
      </c>
      <c r="O397" s="32">
        <f t="shared" si="208"/>
        <v>8150.8970630076728</v>
      </c>
      <c r="P397" s="32">
        <f t="shared" si="208"/>
        <v>8150.8970630076728</v>
      </c>
      <c r="Q397" s="32">
        <f t="shared" si="208"/>
        <v>8150.8970630076728</v>
      </c>
      <c r="R397" s="32">
        <f t="shared" si="208"/>
        <v>8150.8970630076728</v>
      </c>
      <c r="S397" s="32">
        <f t="shared" si="208"/>
        <v>8150.8970630076728</v>
      </c>
      <c r="T397" s="32">
        <f t="shared" si="208"/>
        <v>8150.8970630076728</v>
      </c>
      <c r="U397" s="32">
        <f t="shared" si="208"/>
        <v>8150.8970630076728</v>
      </c>
      <c r="V397" s="32">
        <f t="shared" si="208"/>
        <v>8150.8970630076728</v>
      </c>
      <c r="W397" s="32">
        <f t="shared" si="208"/>
        <v>8150.8970630076728</v>
      </c>
      <c r="X397" s="32">
        <f t="shared" si="208"/>
        <v>8150.8970630076728</v>
      </c>
      <c r="Y397" s="32">
        <f t="shared" si="208"/>
        <v>8150.8970630076728</v>
      </c>
      <c r="Z397" s="32">
        <f t="shared" si="208"/>
        <v>8150.8970630076728</v>
      </c>
      <c r="AA397" s="32">
        <f t="shared" si="208"/>
        <v>8150.8970630076728</v>
      </c>
      <c r="AB397" s="32">
        <f t="shared" si="208"/>
        <v>8150.8970630076728</v>
      </c>
      <c r="AC397" s="32">
        <f t="shared" si="208"/>
        <v>8150.8970630076728</v>
      </c>
      <c r="AD397" s="32">
        <f t="shared" si="208"/>
        <v>8150.8970630076728</v>
      </c>
      <c r="AE397" s="32">
        <f t="shared" si="208"/>
        <v>8150.8970630076728</v>
      </c>
    </row>
    <row r="398" spans="3:31" x14ac:dyDescent="0.2">
      <c r="C398" s="5"/>
      <c r="D398" s="20"/>
    </row>
    <row r="399" spans="3:31" x14ac:dyDescent="0.2">
      <c r="C399" s="47" t="str">
        <f>C350</f>
        <v>Cold Processing</v>
      </c>
      <c r="D399" s="20"/>
    </row>
    <row r="400" spans="3:31" x14ac:dyDescent="0.2">
      <c r="C400" s="5" t="str">
        <f>C351</f>
        <v>Manager of Cold Processing Production</v>
      </c>
      <c r="D400" s="20"/>
      <c r="E400" s="236">
        <v>0.5</v>
      </c>
      <c r="F400" s="1" t="s">
        <v>51</v>
      </c>
      <c r="I400" s="32">
        <f t="shared" ref="I400" si="209">$E400*I351</f>
        <v>51199.254377007041</v>
      </c>
      <c r="J400" s="32">
        <f t="shared" ref="J400" si="210">$E400*J351</f>
        <v>51199.254377007041</v>
      </c>
      <c r="K400" s="32">
        <f t="shared" ref="K400:AE400" si="211">$E400*K351</f>
        <v>51199.254377007041</v>
      </c>
      <c r="L400" s="32">
        <f t="shared" si="211"/>
        <v>51199.254377007041</v>
      </c>
      <c r="M400" s="32">
        <f t="shared" si="211"/>
        <v>51199.254377007041</v>
      </c>
      <c r="N400" s="32">
        <f t="shared" si="211"/>
        <v>51199.254377007041</v>
      </c>
      <c r="O400" s="32">
        <f t="shared" si="211"/>
        <v>51199.254377007041</v>
      </c>
      <c r="P400" s="32">
        <f t="shared" si="211"/>
        <v>51199.254377007041</v>
      </c>
      <c r="Q400" s="32">
        <f t="shared" si="211"/>
        <v>51199.254377007041</v>
      </c>
      <c r="R400" s="32">
        <f t="shared" si="211"/>
        <v>51199.254377007041</v>
      </c>
      <c r="S400" s="32">
        <f t="shared" si="211"/>
        <v>51199.254377007041</v>
      </c>
      <c r="T400" s="32">
        <f t="shared" si="211"/>
        <v>51199.254377007041</v>
      </c>
      <c r="U400" s="32">
        <f t="shared" si="211"/>
        <v>51199.254377007041</v>
      </c>
      <c r="V400" s="32">
        <f t="shared" si="211"/>
        <v>51199.254377007041</v>
      </c>
      <c r="W400" s="32">
        <f t="shared" si="211"/>
        <v>51199.254377007041</v>
      </c>
      <c r="X400" s="32">
        <f t="shared" si="211"/>
        <v>51199.254377007041</v>
      </c>
      <c r="Y400" s="32">
        <f t="shared" si="211"/>
        <v>51199.254377007041</v>
      </c>
      <c r="Z400" s="32">
        <f t="shared" si="211"/>
        <v>51199.254377007041</v>
      </c>
      <c r="AA400" s="32">
        <f t="shared" si="211"/>
        <v>51199.254377007041</v>
      </c>
      <c r="AB400" s="32">
        <f t="shared" si="211"/>
        <v>51199.254377007041</v>
      </c>
      <c r="AC400" s="32">
        <f t="shared" si="211"/>
        <v>51199.254377007041</v>
      </c>
      <c r="AD400" s="32">
        <f t="shared" si="211"/>
        <v>51199.254377007041</v>
      </c>
      <c r="AE400" s="32">
        <f t="shared" si="211"/>
        <v>51199.254377007041</v>
      </c>
    </row>
    <row r="401" spans="3:31" x14ac:dyDescent="0.2">
      <c r="C401" s="5" t="str">
        <f>C352</f>
        <v xml:space="preserve">Senior Operator </v>
      </c>
      <c r="D401" s="20"/>
      <c r="E401" s="236">
        <v>0.25</v>
      </c>
      <c r="F401" s="1" t="s">
        <v>51</v>
      </c>
      <c r="I401" s="32">
        <f t="shared" ref="I401" si="212">$E401*I352</f>
        <v>10304.361061611404</v>
      </c>
      <c r="J401" s="32">
        <f t="shared" ref="J401" si="213">$E401*J352</f>
        <v>10304.361061611404</v>
      </c>
      <c r="K401" s="32">
        <f t="shared" ref="K401:AE401" si="214">$E401*K352</f>
        <v>10304.361061611404</v>
      </c>
      <c r="L401" s="32">
        <f t="shared" si="214"/>
        <v>10304.361061611404</v>
      </c>
      <c r="M401" s="32">
        <f t="shared" si="214"/>
        <v>10304.361061611404</v>
      </c>
      <c r="N401" s="32">
        <f t="shared" si="214"/>
        <v>10304.361061611404</v>
      </c>
      <c r="O401" s="32">
        <f t="shared" si="214"/>
        <v>10304.361061611404</v>
      </c>
      <c r="P401" s="32">
        <f t="shared" si="214"/>
        <v>10304.361061611404</v>
      </c>
      <c r="Q401" s="32">
        <f t="shared" si="214"/>
        <v>10304.361061611404</v>
      </c>
      <c r="R401" s="32">
        <f t="shared" si="214"/>
        <v>10304.361061611404</v>
      </c>
      <c r="S401" s="32">
        <f t="shared" si="214"/>
        <v>10304.361061611404</v>
      </c>
      <c r="T401" s="32">
        <f t="shared" si="214"/>
        <v>10304.361061611404</v>
      </c>
      <c r="U401" s="32">
        <f t="shared" si="214"/>
        <v>10304.361061611404</v>
      </c>
      <c r="V401" s="32">
        <f t="shared" si="214"/>
        <v>10304.361061611404</v>
      </c>
      <c r="W401" s="32">
        <f t="shared" si="214"/>
        <v>10304.361061611404</v>
      </c>
      <c r="X401" s="32">
        <f t="shared" si="214"/>
        <v>10304.361061611404</v>
      </c>
      <c r="Y401" s="32">
        <f t="shared" si="214"/>
        <v>10304.361061611404</v>
      </c>
      <c r="Z401" s="32">
        <f t="shared" si="214"/>
        <v>10304.361061611404</v>
      </c>
      <c r="AA401" s="32">
        <f t="shared" si="214"/>
        <v>10304.361061611404</v>
      </c>
      <c r="AB401" s="32">
        <f t="shared" si="214"/>
        <v>10304.361061611404</v>
      </c>
      <c r="AC401" s="32">
        <f t="shared" si="214"/>
        <v>10304.361061611404</v>
      </c>
      <c r="AD401" s="32">
        <f t="shared" si="214"/>
        <v>10304.361061611404</v>
      </c>
      <c r="AE401" s="32">
        <f t="shared" si="214"/>
        <v>10304.361061611404</v>
      </c>
    </row>
    <row r="402" spans="3:31" x14ac:dyDescent="0.2">
      <c r="C402" s="5" t="str">
        <f>C353</f>
        <v>Operator</v>
      </c>
      <c r="D402" s="20"/>
      <c r="E402" s="236">
        <v>0.25</v>
      </c>
      <c r="F402" s="1" t="s">
        <v>51</v>
      </c>
      <c r="I402" s="32">
        <f t="shared" ref="I402" si="215">$E402*I353</f>
        <v>8514.9588815789466</v>
      </c>
      <c r="J402" s="32">
        <f t="shared" ref="J402" si="216">$E402*J353</f>
        <v>8514.9588815789466</v>
      </c>
      <c r="K402" s="32">
        <f t="shared" ref="K402:AE402" si="217">$E402*K353</f>
        <v>8514.9588815789466</v>
      </c>
      <c r="L402" s="32">
        <f t="shared" si="217"/>
        <v>8514.9588815789466</v>
      </c>
      <c r="M402" s="32">
        <f t="shared" si="217"/>
        <v>8514.9588815789466</v>
      </c>
      <c r="N402" s="32">
        <f t="shared" si="217"/>
        <v>8514.9588815789466</v>
      </c>
      <c r="O402" s="32">
        <f t="shared" si="217"/>
        <v>8514.9588815789466</v>
      </c>
      <c r="P402" s="32">
        <f t="shared" si="217"/>
        <v>8514.9588815789466</v>
      </c>
      <c r="Q402" s="32">
        <f t="shared" si="217"/>
        <v>8514.9588815789466</v>
      </c>
      <c r="R402" s="32">
        <f t="shared" si="217"/>
        <v>8514.9588815789466</v>
      </c>
      <c r="S402" s="32">
        <f t="shared" si="217"/>
        <v>8514.9588815789466</v>
      </c>
      <c r="T402" s="32">
        <f t="shared" si="217"/>
        <v>8514.9588815789466</v>
      </c>
      <c r="U402" s="32">
        <f t="shared" si="217"/>
        <v>8514.9588815789466</v>
      </c>
      <c r="V402" s="32">
        <f t="shared" si="217"/>
        <v>8514.9588815789466</v>
      </c>
      <c r="W402" s="32">
        <f t="shared" si="217"/>
        <v>8514.9588815789466</v>
      </c>
      <c r="X402" s="32">
        <f t="shared" si="217"/>
        <v>8514.9588815789466</v>
      </c>
      <c r="Y402" s="32">
        <f t="shared" si="217"/>
        <v>8514.9588815789466</v>
      </c>
      <c r="Z402" s="32">
        <f t="shared" si="217"/>
        <v>8514.9588815789466</v>
      </c>
      <c r="AA402" s="32">
        <f t="shared" si="217"/>
        <v>8514.9588815789466</v>
      </c>
      <c r="AB402" s="32">
        <f t="shared" si="217"/>
        <v>8514.9588815789466</v>
      </c>
      <c r="AC402" s="32">
        <f t="shared" si="217"/>
        <v>8514.9588815789466</v>
      </c>
      <c r="AD402" s="32">
        <f t="shared" si="217"/>
        <v>8514.9588815789466</v>
      </c>
      <c r="AE402" s="32">
        <f t="shared" si="217"/>
        <v>8514.9588815789466</v>
      </c>
    </row>
    <row r="403" spans="3:31" x14ac:dyDescent="0.2">
      <c r="C403" s="20"/>
      <c r="D403" s="20"/>
    </row>
    <row r="404" spans="3:31" x14ac:dyDescent="0.2">
      <c r="C404" s="47" t="str">
        <f t="shared" ref="C404:C411" si="218">C355</f>
        <v>Shared Personnel</v>
      </c>
      <c r="D404" s="20"/>
    </row>
    <row r="405" spans="3:31" x14ac:dyDescent="0.2">
      <c r="C405" s="5" t="str">
        <f t="shared" si="218"/>
        <v>Maintenance Manager</v>
      </c>
      <c r="D405" s="20"/>
      <c r="E405" s="236">
        <v>0.4</v>
      </c>
      <c r="F405" s="1" t="s">
        <v>51</v>
      </c>
      <c r="I405" s="32">
        <f t="shared" ref="I405" si="219">$E405*I356</f>
        <v>35715.312258099759</v>
      </c>
      <c r="J405" s="32">
        <f t="shared" ref="J405" si="220">$E405*J356</f>
        <v>35715.312258099759</v>
      </c>
      <c r="K405" s="32">
        <f t="shared" ref="K405:AE405" si="221">$E405*K356</f>
        <v>35715.312258099759</v>
      </c>
      <c r="L405" s="32">
        <f t="shared" si="221"/>
        <v>35715.312258099759</v>
      </c>
      <c r="M405" s="32">
        <f t="shared" si="221"/>
        <v>35715.312258099759</v>
      </c>
      <c r="N405" s="32">
        <f t="shared" si="221"/>
        <v>35715.312258099759</v>
      </c>
      <c r="O405" s="32">
        <f t="shared" si="221"/>
        <v>35715.312258099759</v>
      </c>
      <c r="P405" s="32">
        <f t="shared" si="221"/>
        <v>35715.312258099759</v>
      </c>
      <c r="Q405" s="32">
        <f t="shared" si="221"/>
        <v>35715.312258099759</v>
      </c>
      <c r="R405" s="32">
        <f t="shared" si="221"/>
        <v>35715.312258099759</v>
      </c>
      <c r="S405" s="32">
        <f t="shared" si="221"/>
        <v>35715.312258099759</v>
      </c>
      <c r="T405" s="32">
        <f t="shared" si="221"/>
        <v>35715.312258099759</v>
      </c>
      <c r="U405" s="32">
        <f t="shared" si="221"/>
        <v>35715.312258099759</v>
      </c>
      <c r="V405" s="32">
        <f t="shared" si="221"/>
        <v>35715.312258099759</v>
      </c>
      <c r="W405" s="32">
        <f t="shared" si="221"/>
        <v>35715.312258099759</v>
      </c>
      <c r="X405" s="32">
        <f t="shared" si="221"/>
        <v>35715.312258099759</v>
      </c>
      <c r="Y405" s="32">
        <f t="shared" si="221"/>
        <v>35715.312258099759</v>
      </c>
      <c r="Z405" s="32">
        <f t="shared" si="221"/>
        <v>35715.312258099759</v>
      </c>
      <c r="AA405" s="32">
        <f t="shared" si="221"/>
        <v>35715.312258099759</v>
      </c>
      <c r="AB405" s="32">
        <f t="shared" si="221"/>
        <v>35715.312258099759</v>
      </c>
      <c r="AC405" s="32">
        <f t="shared" si="221"/>
        <v>35715.312258099759</v>
      </c>
      <c r="AD405" s="32">
        <f t="shared" si="221"/>
        <v>35715.312258099759</v>
      </c>
      <c r="AE405" s="32">
        <f t="shared" si="221"/>
        <v>35715.312258099759</v>
      </c>
    </row>
    <row r="406" spans="3:31" x14ac:dyDescent="0.2">
      <c r="C406" s="5" t="str">
        <f t="shared" si="218"/>
        <v>Mechanical Engineer</v>
      </c>
      <c r="D406" s="20"/>
      <c r="E406" s="236">
        <v>0.25</v>
      </c>
      <c r="F406" s="1" t="s">
        <v>51</v>
      </c>
      <c r="I406" s="32">
        <f t="shared" ref="I406" si="222">$E406*I357</f>
        <v>18412.332630921384</v>
      </c>
      <c r="J406" s="32">
        <f t="shared" ref="J406" si="223">$E406*J357</f>
        <v>18412.332630921384</v>
      </c>
      <c r="K406" s="32">
        <f t="shared" ref="K406:AE406" si="224">$E406*K357</f>
        <v>18412.332630921384</v>
      </c>
      <c r="L406" s="32">
        <f t="shared" si="224"/>
        <v>18412.332630921384</v>
      </c>
      <c r="M406" s="32">
        <f t="shared" si="224"/>
        <v>18412.332630921384</v>
      </c>
      <c r="N406" s="32">
        <f t="shared" si="224"/>
        <v>18412.332630921384</v>
      </c>
      <c r="O406" s="32">
        <f t="shared" si="224"/>
        <v>18412.332630921384</v>
      </c>
      <c r="P406" s="32">
        <f t="shared" si="224"/>
        <v>18412.332630921384</v>
      </c>
      <c r="Q406" s="32">
        <f t="shared" si="224"/>
        <v>18412.332630921384</v>
      </c>
      <c r="R406" s="32">
        <f t="shared" si="224"/>
        <v>18412.332630921384</v>
      </c>
      <c r="S406" s="32">
        <f t="shared" si="224"/>
        <v>18412.332630921384</v>
      </c>
      <c r="T406" s="32">
        <f t="shared" si="224"/>
        <v>18412.332630921384</v>
      </c>
      <c r="U406" s="32">
        <f t="shared" si="224"/>
        <v>18412.332630921384</v>
      </c>
      <c r="V406" s="32">
        <f t="shared" si="224"/>
        <v>18412.332630921384</v>
      </c>
      <c r="W406" s="32">
        <f t="shared" si="224"/>
        <v>18412.332630921384</v>
      </c>
      <c r="X406" s="32">
        <f t="shared" si="224"/>
        <v>18412.332630921384</v>
      </c>
      <c r="Y406" s="32">
        <f t="shared" si="224"/>
        <v>18412.332630921384</v>
      </c>
      <c r="Z406" s="32">
        <f t="shared" si="224"/>
        <v>18412.332630921384</v>
      </c>
      <c r="AA406" s="32">
        <f t="shared" si="224"/>
        <v>18412.332630921384</v>
      </c>
      <c r="AB406" s="32">
        <f t="shared" si="224"/>
        <v>18412.332630921384</v>
      </c>
      <c r="AC406" s="32">
        <f t="shared" si="224"/>
        <v>18412.332630921384</v>
      </c>
      <c r="AD406" s="32">
        <f t="shared" si="224"/>
        <v>18412.332630921384</v>
      </c>
      <c r="AE406" s="32">
        <f t="shared" si="224"/>
        <v>18412.332630921384</v>
      </c>
    </row>
    <row r="407" spans="3:31" x14ac:dyDescent="0.2">
      <c r="C407" s="5" t="str">
        <f t="shared" si="218"/>
        <v>Electrical Engineer</v>
      </c>
      <c r="D407" s="20"/>
      <c r="E407" s="236">
        <v>0.25</v>
      </c>
      <c r="F407" s="1" t="s">
        <v>51</v>
      </c>
      <c r="I407" s="32">
        <f t="shared" ref="I407" si="225">$E407*I358</f>
        <v>18412.332630921384</v>
      </c>
      <c r="J407" s="32">
        <f t="shared" ref="J407" si="226">$E407*J358</f>
        <v>18412.332630921384</v>
      </c>
      <c r="K407" s="32">
        <f t="shared" ref="K407:AE407" si="227">$E407*K358</f>
        <v>18412.332630921384</v>
      </c>
      <c r="L407" s="32">
        <f t="shared" si="227"/>
        <v>18412.332630921384</v>
      </c>
      <c r="M407" s="32">
        <f t="shared" si="227"/>
        <v>18412.332630921384</v>
      </c>
      <c r="N407" s="32">
        <f t="shared" si="227"/>
        <v>18412.332630921384</v>
      </c>
      <c r="O407" s="32">
        <f t="shared" si="227"/>
        <v>18412.332630921384</v>
      </c>
      <c r="P407" s="32">
        <f t="shared" si="227"/>
        <v>18412.332630921384</v>
      </c>
      <c r="Q407" s="32">
        <f t="shared" si="227"/>
        <v>18412.332630921384</v>
      </c>
      <c r="R407" s="32">
        <f t="shared" si="227"/>
        <v>18412.332630921384</v>
      </c>
      <c r="S407" s="32">
        <f t="shared" si="227"/>
        <v>18412.332630921384</v>
      </c>
      <c r="T407" s="32">
        <f t="shared" si="227"/>
        <v>18412.332630921384</v>
      </c>
      <c r="U407" s="32">
        <f t="shared" si="227"/>
        <v>18412.332630921384</v>
      </c>
      <c r="V407" s="32">
        <f t="shared" si="227"/>
        <v>18412.332630921384</v>
      </c>
      <c r="W407" s="32">
        <f t="shared" si="227"/>
        <v>18412.332630921384</v>
      </c>
      <c r="X407" s="32">
        <f t="shared" si="227"/>
        <v>18412.332630921384</v>
      </c>
      <c r="Y407" s="32">
        <f t="shared" si="227"/>
        <v>18412.332630921384</v>
      </c>
      <c r="Z407" s="32">
        <f t="shared" si="227"/>
        <v>18412.332630921384</v>
      </c>
      <c r="AA407" s="32">
        <f t="shared" si="227"/>
        <v>18412.332630921384</v>
      </c>
      <c r="AB407" s="32">
        <f t="shared" si="227"/>
        <v>18412.332630921384</v>
      </c>
      <c r="AC407" s="32">
        <f t="shared" si="227"/>
        <v>18412.332630921384</v>
      </c>
      <c r="AD407" s="32">
        <f t="shared" si="227"/>
        <v>18412.332630921384</v>
      </c>
      <c r="AE407" s="32">
        <f t="shared" si="227"/>
        <v>18412.332630921384</v>
      </c>
    </row>
    <row r="408" spans="3:31" x14ac:dyDescent="0.2">
      <c r="C408" s="5" t="str">
        <f t="shared" si="218"/>
        <v>Information Systems Technician</v>
      </c>
      <c r="D408" s="20"/>
      <c r="E408" s="236">
        <v>0.25</v>
      </c>
      <c r="F408" s="1" t="s">
        <v>51</v>
      </c>
      <c r="I408" s="32">
        <f t="shared" ref="I408" si="228">$E408*I359</f>
        <v>13581.918088802573</v>
      </c>
      <c r="J408" s="32">
        <f t="shared" ref="J408" si="229">$E408*J359</f>
        <v>13581.918088802573</v>
      </c>
      <c r="K408" s="32">
        <f t="shared" ref="K408:AE408" si="230">$E408*K359</f>
        <v>13581.918088802573</v>
      </c>
      <c r="L408" s="32">
        <f t="shared" si="230"/>
        <v>13581.918088802573</v>
      </c>
      <c r="M408" s="32">
        <f t="shared" si="230"/>
        <v>13581.918088802573</v>
      </c>
      <c r="N408" s="32">
        <f t="shared" si="230"/>
        <v>13581.918088802573</v>
      </c>
      <c r="O408" s="32">
        <f t="shared" si="230"/>
        <v>13581.918088802573</v>
      </c>
      <c r="P408" s="32">
        <f t="shared" si="230"/>
        <v>13581.918088802573</v>
      </c>
      <c r="Q408" s="32">
        <f t="shared" si="230"/>
        <v>13581.918088802573</v>
      </c>
      <c r="R408" s="32">
        <f t="shared" si="230"/>
        <v>13581.918088802573</v>
      </c>
      <c r="S408" s="32">
        <f t="shared" si="230"/>
        <v>13581.918088802573</v>
      </c>
      <c r="T408" s="32">
        <f t="shared" si="230"/>
        <v>13581.918088802573</v>
      </c>
      <c r="U408" s="32">
        <f t="shared" si="230"/>
        <v>13581.918088802573</v>
      </c>
      <c r="V408" s="32">
        <f t="shared" si="230"/>
        <v>13581.918088802573</v>
      </c>
      <c r="W408" s="32">
        <f t="shared" si="230"/>
        <v>13581.918088802573</v>
      </c>
      <c r="X408" s="32">
        <f t="shared" si="230"/>
        <v>13581.918088802573</v>
      </c>
      <c r="Y408" s="32">
        <f t="shared" si="230"/>
        <v>13581.918088802573</v>
      </c>
      <c r="Z408" s="32">
        <f t="shared" si="230"/>
        <v>13581.918088802573</v>
      </c>
      <c r="AA408" s="32">
        <f t="shared" si="230"/>
        <v>13581.918088802573</v>
      </c>
      <c r="AB408" s="32">
        <f t="shared" si="230"/>
        <v>13581.918088802573</v>
      </c>
      <c r="AC408" s="32">
        <f t="shared" si="230"/>
        <v>13581.918088802573</v>
      </c>
      <c r="AD408" s="32">
        <f t="shared" si="230"/>
        <v>13581.918088802573</v>
      </c>
      <c r="AE408" s="32">
        <f t="shared" si="230"/>
        <v>13581.918088802573</v>
      </c>
    </row>
    <row r="409" spans="3:31" x14ac:dyDescent="0.2">
      <c r="C409" s="5" t="str">
        <f t="shared" si="218"/>
        <v>Craft Maintenance - Electrical</v>
      </c>
      <c r="D409" s="20"/>
      <c r="E409" s="236">
        <v>0.25</v>
      </c>
      <c r="F409" s="1" t="s">
        <v>51</v>
      </c>
      <c r="I409" s="32">
        <f t="shared" ref="I409" si="231">$E409*I360</f>
        <v>11396.880070675126</v>
      </c>
      <c r="J409" s="32">
        <f t="shared" ref="J409" si="232">$E409*J360</f>
        <v>11396.880070675126</v>
      </c>
      <c r="K409" s="32">
        <f t="shared" ref="K409:AE409" si="233">$E409*K360</f>
        <v>11396.880070675126</v>
      </c>
      <c r="L409" s="32">
        <f t="shared" si="233"/>
        <v>11396.880070675126</v>
      </c>
      <c r="M409" s="32">
        <f t="shared" si="233"/>
        <v>11396.880070675126</v>
      </c>
      <c r="N409" s="32">
        <f t="shared" si="233"/>
        <v>11396.880070675126</v>
      </c>
      <c r="O409" s="32">
        <f t="shared" si="233"/>
        <v>11396.880070675126</v>
      </c>
      <c r="P409" s="32">
        <f t="shared" si="233"/>
        <v>11396.880070675126</v>
      </c>
      <c r="Q409" s="32">
        <f t="shared" si="233"/>
        <v>11396.880070675126</v>
      </c>
      <c r="R409" s="32">
        <f t="shared" si="233"/>
        <v>11396.880070675126</v>
      </c>
      <c r="S409" s="32">
        <f t="shared" si="233"/>
        <v>11396.880070675126</v>
      </c>
      <c r="T409" s="32">
        <f t="shared" si="233"/>
        <v>11396.880070675126</v>
      </c>
      <c r="U409" s="32">
        <f t="shared" si="233"/>
        <v>11396.880070675126</v>
      </c>
      <c r="V409" s="32">
        <f t="shared" si="233"/>
        <v>11396.880070675126</v>
      </c>
      <c r="W409" s="32">
        <f t="shared" si="233"/>
        <v>11396.880070675126</v>
      </c>
      <c r="X409" s="32">
        <f t="shared" si="233"/>
        <v>11396.880070675126</v>
      </c>
      <c r="Y409" s="32">
        <f t="shared" si="233"/>
        <v>11396.880070675126</v>
      </c>
      <c r="Z409" s="32">
        <f t="shared" si="233"/>
        <v>11396.880070675126</v>
      </c>
      <c r="AA409" s="32">
        <f t="shared" si="233"/>
        <v>11396.880070675126</v>
      </c>
      <c r="AB409" s="32">
        <f t="shared" si="233"/>
        <v>11396.880070675126</v>
      </c>
      <c r="AC409" s="32">
        <f t="shared" si="233"/>
        <v>11396.880070675126</v>
      </c>
      <c r="AD409" s="32">
        <f t="shared" si="233"/>
        <v>11396.880070675126</v>
      </c>
      <c r="AE409" s="32">
        <f t="shared" si="233"/>
        <v>11396.880070675126</v>
      </c>
    </row>
    <row r="410" spans="3:31" x14ac:dyDescent="0.2">
      <c r="C410" s="5" t="str">
        <f t="shared" si="218"/>
        <v>Craft Maintenance - Mechanical</v>
      </c>
      <c r="D410" s="20"/>
      <c r="E410" s="236">
        <v>0.25</v>
      </c>
      <c r="F410" s="1" t="s">
        <v>51</v>
      </c>
      <c r="I410" s="32">
        <f t="shared" ref="I410" si="234">$E410*I361</f>
        <v>11396.880070675126</v>
      </c>
      <c r="J410" s="32">
        <f t="shared" ref="J410" si="235">$E410*J361</f>
        <v>11396.880070675126</v>
      </c>
      <c r="K410" s="32">
        <f t="shared" ref="K410:AE410" si="236">$E410*K361</f>
        <v>11396.880070675126</v>
      </c>
      <c r="L410" s="32">
        <f t="shared" si="236"/>
        <v>11396.880070675126</v>
      </c>
      <c r="M410" s="32">
        <f t="shared" si="236"/>
        <v>11396.880070675126</v>
      </c>
      <c r="N410" s="32">
        <f t="shared" si="236"/>
        <v>11396.880070675126</v>
      </c>
      <c r="O410" s="32">
        <f t="shared" si="236"/>
        <v>11396.880070675126</v>
      </c>
      <c r="P410" s="32">
        <f t="shared" si="236"/>
        <v>11396.880070675126</v>
      </c>
      <c r="Q410" s="32">
        <f t="shared" si="236"/>
        <v>11396.880070675126</v>
      </c>
      <c r="R410" s="32">
        <f t="shared" si="236"/>
        <v>11396.880070675126</v>
      </c>
      <c r="S410" s="32">
        <f t="shared" si="236"/>
        <v>11396.880070675126</v>
      </c>
      <c r="T410" s="32">
        <f t="shared" si="236"/>
        <v>11396.880070675126</v>
      </c>
      <c r="U410" s="32">
        <f t="shared" si="236"/>
        <v>11396.880070675126</v>
      </c>
      <c r="V410" s="32">
        <f t="shared" si="236"/>
        <v>11396.880070675126</v>
      </c>
      <c r="W410" s="32">
        <f t="shared" si="236"/>
        <v>11396.880070675126</v>
      </c>
      <c r="X410" s="32">
        <f t="shared" si="236"/>
        <v>11396.880070675126</v>
      </c>
      <c r="Y410" s="32">
        <f t="shared" si="236"/>
        <v>11396.880070675126</v>
      </c>
      <c r="Z410" s="32">
        <f t="shared" si="236"/>
        <v>11396.880070675126</v>
      </c>
      <c r="AA410" s="32">
        <f t="shared" si="236"/>
        <v>11396.880070675126</v>
      </c>
      <c r="AB410" s="32">
        <f t="shared" si="236"/>
        <v>11396.880070675126</v>
      </c>
      <c r="AC410" s="32">
        <f t="shared" si="236"/>
        <v>11396.880070675126</v>
      </c>
      <c r="AD410" s="32">
        <f t="shared" si="236"/>
        <v>11396.880070675126</v>
      </c>
      <c r="AE410" s="32">
        <f t="shared" si="236"/>
        <v>11396.880070675126</v>
      </c>
    </row>
    <row r="411" spans="3:31" x14ac:dyDescent="0.2">
      <c r="C411" s="5" t="str">
        <f t="shared" si="218"/>
        <v>Quality Control Engineer</v>
      </c>
      <c r="D411" s="20"/>
      <c r="E411" s="236">
        <v>0.25</v>
      </c>
      <c r="F411" s="1" t="s">
        <v>51</v>
      </c>
      <c r="I411" s="32">
        <f t="shared" ref="I411" si="237">$E411*I362</f>
        <v>10304.361061611404</v>
      </c>
      <c r="J411" s="32">
        <f t="shared" ref="J411" si="238">$E411*J362</f>
        <v>10304.361061611404</v>
      </c>
      <c r="K411" s="32">
        <f t="shared" ref="K411:AE411" si="239">$E411*K362</f>
        <v>10304.361061611404</v>
      </c>
      <c r="L411" s="32">
        <f t="shared" si="239"/>
        <v>10304.361061611404</v>
      </c>
      <c r="M411" s="32">
        <f t="shared" si="239"/>
        <v>10304.361061611404</v>
      </c>
      <c r="N411" s="32">
        <f t="shared" si="239"/>
        <v>10304.361061611404</v>
      </c>
      <c r="O411" s="32">
        <f t="shared" si="239"/>
        <v>10304.361061611404</v>
      </c>
      <c r="P411" s="32">
        <f t="shared" si="239"/>
        <v>10304.361061611404</v>
      </c>
      <c r="Q411" s="32">
        <f t="shared" si="239"/>
        <v>10304.361061611404</v>
      </c>
      <c r="R411" s="32">
        <f t="shared" si="239"/>
        <v>10304.361061611404</v>
      </c>
      <c r="S411" s="32">
        <f t="shared" si="239"/>
        <v>10304.361061611404</v>
      </c>
      <c r="T411" s="32">
        <f t="shared" si="239"/>
        <v>10304.361061611404</v>
      </c>
      <c r="U411" s="32">
        <f t="shared" si="239"/>
        <v>10304.361061611404</v>
      </c>
      <c r="V411" s="32">
        <f t="shared" si="239"/>
        <v>10304.361061611404</v>
      </c>
      <c r="W411" s="32">
        <f t="shared" si="239"/>
        <v>10304.361061611404</v>
      </c>
      <c r="X411" s="32">
        <f t="shared" si="239"/>
        <v>10304.361061611404</v>
      </c>
      <c r="Y411" s="32">
        <f t="shared" si="239"/>
        <v>10304.361061611404</v>
      </c>
      <c r="Z411" s="32">
        <f t="shared" si="239"/>
        <v>10304.361061611404</v>
      </c>
      <c r="AA411" s="32">
        <f t="shared" si="239"/>
        <v>10304.361061611404</v>
      </c>
      <c r="AB411" s="32">
        <f t="shared" si="239"/>
        <v>10304.361061611404</v>
      </c>
      <c r="AC411" s="32">
        <f t="shared" si="239"/>
        <v>10304.361061611404</v>
      </c>
      <c r="AD411" s="32">
        <f t="shared" si="239"/>
        <v>10304.361061611404</v>
      </c>
      <c r="AE411" s="32">
        <f t="shared" si="239"/>
        <v>10304.361061611404</v>
      </c>
    </row>
    <row r="412" spans="3:31" x14ac:dyDescent="0.2">
      <c r="C412" s="5"/>
      <c r="D412" s="20"/>
    </row>
    <row r="413" spans="3:31" x14ac:dyDescent="0.2">
      <c r="C413" s="47" t="str">
        <f t="shared" ref="C413:C422" si="240">C364</f>
        <v>Selling, General &amp; Administrative</v>
      </c>
      <c r="D413" s="20"/>
    </row>
    <row r="414" spans="3:31" x14ac:dyDescent="0.2">
      <c r="C414" s="5" t="str">
        <f t="shared" si="240"/>
        <v>CEO, CFO, COO</v>
      </c>
      <c r="D414" s="20"/>
      <c r="E414" s="236">
        <v>0.25</v>
      </c>
      <c r="F414" s="1" t="s">
        <v>51</v>
      </c>
      <c r="I414" s="32">
        <f t="shared" ref="I414" si="241">$E414*I365</f>
        <v>41058.523608009913</v>
      </c>
      <c r="J414" s="32">
        <f t="shared" ref="J414" si="242">$E414*J365</f>
        <v>41058.523608009913</v>
      </c>
      <c r="K414" s="32">
        <f t="shared" ref="K414:AE414" si="243">$E414*K365</f>
        <v>41058.523608009913</v>
      </c>
      <c r="L414" s="32">
        <f t="shared" si="243"/>
        <v>41058.523608009913</v>
      </c>
      <c r="M414" s="32">
        <f t="shared" si="243"/>
        <v>41058.523608009913</v>
      </c>
      <c r="N414" s="32">
        <f t="shared" si="243"/>
        <v>41058.523608009913</v>
      </c>
      <c r="O414" s="32">
        <f t="shared" si="243"/>
        <v>41058.523608009913</v>
      </c>
      <c r="P414" s="32">
        <f t="shared" si="243"/>
        <v>41058.523608009913</v>
      </c>
      <c r="Q414" s="32">
        <f t="shared" si="243"/>
        <v>41058.523608009913</v>
      </c>
      <c r="R414" s="32">
        <f t="shared" si="243"/>
        <v>41058.523608009913</v>
      </c>
      <c r="S414" s="32">
        <f t="shared" si="243"/>
        <v>41058.523608009913</v>
      </c>
      <c r="T414" s="32">
        <f t="shared" si="243"/>
        <v>41058.523608009913</v>
      </c>
      <c r="U414" s="32">
        <f t="shared" si="243"/>
        <v>41058.523608009913</v>
      </c>
      <c r="V414" s="32">
        <f t="shared" si="243"/>
        <v>41058.523608009913</v>
      </c>
      <c r="W414" s="32">
        <f t="shared" si="243"/>
        <v>41058.523608009913</v>
      </c>
      <c r="X414" s="32">
        <f t="shared" si="243"/>
        <v>41058.523608009913</v>
      </c>
      <c r="Y414" s="32">
        <f t="shared" si="243"/>
        <v>41058.523608009913</v>
      </c>
      <c r="Z414" s="32">
        <f t="shared" si="243"/>
        <v>41058.523608009913</v>
      </c>
      <c r="AA414" s="32">
        <f t="shared" si="243"/>
        <v>41058.523608009913</v>
      </c>
      <c r="AB414" s="32">
        <f t="shared" si="243"/>
        <v>41058.523608009913</v>
      </c>
      <c r="AC414" s="32">
        <f t="shared" si="243"/>
        <v>41058.523608009913</v>
      </c>
      <c r="AD414" s="32">
        <f t="shared" si="243"/>
        <v>41058.523608009913</v>
      </c>
      <c r="AE414" s="32">
        <f t="shared" si="243"/>
        <v>41058.523608009913</v>
      </c>
    </row>
    <row r="415" spans="3:31" x14ac:dyDescent="0.2">
      <c r="C415" s="5" t="str">
        <f t="shared" si="240"/>
        <v>Administrator</v>
      </c>
      <c r="D415" s="20"/>
      <c r="E415" s="236">
        <v>0.15</v>
      </c>
      <c r="F415" s="1" t="s">
        <v>51</v>
      </c>
      <c r="I415" s="32">
        <f t="shared" ref="I415" si="244">$E415*I366</f>
        <v>5133.798388265669</v>
      </c>
      <c r="J415" s="32">
        <f t="shared" ref="J415" si="245">$E415*J366</f>
        <v>5133.798388265669</v>
      </c>
      <c r="K415" s="32">
        <f t="shared" ref="K415:AE415" si="246">$E415*K366</f>
        <v>5133.798388265669</v>
      </c>
      <c r="L415" s="32">
        <f t="shared" si="246"/>
        <v>5133.798388265669</v>
      </c>
      <c r="M415" s="32">
        <f t="shared" si="246"/>
        <v>5133.798388265669</v>
      </c>
      <c r="N415" s="32">
        <f t="shared" si="246"/>
        <v>5133.798388265669</v>
      </c>
      <c r="O415" s="32">
        <f t="shared" si="246"/>
        <v>5133.798388265669</v>
      </c>
      <c r="P415" s="32">
        <f t="shared" si="246"/>
        <v>5133.798388265669</v>
      </c>
      <c r="Q415" s="32">
        <f t="shared" si="246"/>
        <v>5133.798388265669</v>
      </c>
      <c r="R415" s="32">
        <f t="shared" si="246"/>
        <v>5133.798388265669</v>
      </c>
      <c r="S415" s="32">
        <f t="shared" si="246"/>
        <v>5133.798388265669</v>
      </c>
      <c r="T415" s="32">
        <f t="shared" si="246"/>
        <v>5133.798388265669</v>
      </c>
      <c r="U415" s="32">
        <f t="shared" si="246"/>
        <v>5133.798388265669</v>
      </c>
      <c r="V415" s="32">
        <f t="shared" si="246"/>
        <v>5133.798388265669</v>
      </c>
      <c r="W415" s="32">
        <f t="shared" si="246"/>
        <v>5133.798388265669</v>
      </c>
      <c r="X415" s="32">
        <f t="shared" si="246"/>
        <v>5133.798388265669</v>
      </c>
      <c r="Y415" s="32">
        <f t="shared" si="246"/>
        <v>5133.798388265669</v>
      </c>
      <c r="Z415" s="32">
        <f t="shared" si="246"/>
        <v>5133.798388265669</v>
      </c>
      <c r="AA415" s="32">
        <f t="shared" si="246"/>
        <v>5133.798388265669</v>
      </c>
      <c r="AB415" s="32">
        <f t="shared" si="246"/>
        <v>5133.798388265669</v>
      </c>
      <c r="AC415" s="32">
        <f t="shared" si="246"/>
        <v>5133.798388265669</v>
      </c>
      <c r="AD415" s="32">
        <f t="shared" si="246"/>
        <v>5133.798388265669</v>
      </c>
      <c r="AE415" s="32">
        <f t="shared" si="246"/>
        <v>5133.798388265669</v>
      </c>
    </row>
    <row r="416" spans="3:31" x14ac:dyDescent="0.2">
      <c r="C416" s="5" t="str">
        <f t="shared" si="240"/>
        <v xml:space="preserve">Accounting </v>
      </c>
      <c r="D416" s="20"/>
      <c r="E416" s="236">
        <v>0.25</v>
      </c>
      <c r="F416" s="1" t="s">
        <v>51</v>
      </c>
      <c r="I416" s="32">
        <f t="shared" ref="I416" si="247">$E416*I367</f>
        <v>15766.956106930018</v>
      </c>
      <c r="J416" s="32">
        <f t="shared" ref="J416" si="248">$E416*J367</f>
        <v>15766.956106930018</v>
      </c>
      <c r="K416" s="32">
        <f t="shared" ref="K416:AE416" si="249">$E416*K367</f>
        <v>15766.956106930018</v>
      </c>
      <c r="L416" s="32">
        <f t="shared" si="249"/>
        <v>15766.956106930018</v>
      </c>
      <c r="M416" s="32">
        <f t="shared" si="249"/>
        <v>15766.956106930018</v>
      </c>
      <c r="N416" s="32">
        <f t="shared" si="249"/>
        <v>15766.956106930018</v>
      </c>
      <c r="O416" s="32">
        <f t="shared" si="249"/>
        <v>15766.956106930018</v>
      </c>
      <c r="P416" s="32">
        <f t="shared" si="249"/>
        <v>15766.956106930018</v>
      </c>
      <c r="Q416" s="32">
        <f t="shared" si="249"/>
        <v>15766.956106930018</v>
      </c>
      <c r="R416" s="32">
        <f t="shared" si="249"/>
        <v>15766.956106930018</v>
      </c>
      <c r="S416" s="32">
        <f t="shared" si="249"/>
        <v>15766.956106930018</v>
      </c>
      <c r="T416" s="32">
        <f t="shared" si="249"/>
        <v>15766.956106930018</v>
      </c>
      <c r="U416" s="32">
        <f t="shared" si="249"/>
        <v>15766.956106930018</v>
      </c>
      <c r="V416" s="32">
        <f t="shared" si="249"/>
        <v>15766.956106930018</v>
      </c>
      <c r="W416" s="32">
        <f t="shared" si="249"/>
        <v>15766.956106930018</v>
      </c>
      <c r="X416" s="32">
        <f t="shared" si="249"/>
        <v>15766.956106930018</v>
      </c>
      <c r="Y416" s="32">
        <f t="shared" si="249"/>
        <v>15766.956106930018</v>
      </c>
      <c r="Z416" s="32">
        <f t="shared" si="249"/>
        <v>15766.956106930018</v>
      </c>
      <c r="AA416" s="32">
        <f t="shared" si="249"/>
        <v>15766.956106930018</v>
      </c>
      <c r="AB416" s="32">
        <f t="shared" si="249"/>
        <v>15766.956106930018</v>
      </c>
      <c r="AC416" s="32">
        <f t="shared" si="249"/>
        <v>15766.956106930018</v>
      </c>
      <c r="AD416" s="32">
        <f t="shared" si="249"/>
        <v>15766.956106930018</v>
      </c>
      <c r="AE416" s="32">
        <f t="shared" si="249"/>
        <v>15766.956106930018</v>
      </c>
    </row>
    <row r="417" spans="2:31" x14ac:dyDescent="0.2">
      <c r="C417" s="5" t="str">
        <f t="shared" si="240"/>
        <v>Purchasing - Buyer</v>
      </c>
      <c r="D417" s="20"/>
      <c r="E417" s="236">
        <v>0.15</v>
      </c>
      <c r="F417" s="1" t="s">
        <v>51</v>
      </c>
      <c r="I417" s="32">
        <f t="shared" ref="I417" si="250">$E417*I368</f>
        <v>5920.4120747915485</v>
      </c>
      <c r="J417" s="32">
        <f t="shared" ref="J417" si="251">$E417*J368</f>
        <v>5920.4120747915485</v>
      </c>
      <c r="K417" s="32">
        <f t="shared" ref="K417:AE417" si="252">$E417*K368</f>
        <v>5920.4120747915485</v>
      </c>
      <c r="L417" s="32">
        <f t="shared" si="252"/>
        <v>5920.4120747915485</v>
      </c>
      <c r="M417" s="32">
        <f t="shared" si="252"/>
        <v>5920.4120747915485</v>
      </c>
      <c r="N417" s="32">
        <f t="shared" si="252"/>
        <v>5920.4120747915485</v>
      </c>
      <c r="O417" s="32">
        <f t="shared" si="252"/>
        <v>5920.4120747915485</v>
      </c>
      <c r="P417" s="32">
        <f t="shared" si="252"/>
        <v>5920.4120747915485</v>
      </c>
      <c r="Q417" s="32">
        <f t="shared" si="252"/>
        <v>5920.4120747915485</v>
      </c>
      <c r="R417" s="32">
        <f t="shared" si="252"/>
        <v>5920.4120747915485</v>
      </c>
      <c r="S417" s="32">
        <f t="shared" si="252"/>
        <v>5920.4120747915485</v>
      </c>
      <c r="T417" s="32">
        <f t="shared" si="252"/>
        <v>5920.4120747915485</v>
      </c>
      <c r="U417" s="32">
        <f t="shared" si="252"/>
        <v>5920.4120747915485</v>
      </c>
      <c r="V417" s="32">
        <f t="shared" si="252"/>
        <v>5920.4120747915485</v>
      </c>
      <c r="W417" s="32">
        <f t="shared" si="252"/>
        <v>5920.4120747915485</v>
      </c>
      <c r="X417" s="32">
        <f t="shared" si="252"/>
        <v>5920.4120747915485</v>
      </c>
      <c r="Y417" s="32">
        <f t="shared" si="252"/>
        <v>5920.4120747915485</v>
      </c>
      <c r="Z417" s="32">
        <f t="shared" si="252"/>
        <v>5920.4120747915485</v>
      </c>
      <c r="AA417" s="32">
        <f t="shared" si="252"/>
        <v>5920.4120747915485</v>
      </c>
      <c r="AB417" s="32">
        <f t="shared" si="252"/>
        <v>5920.4120747915485</v>
      </c>
      <c r="AC417" s="32">
        <f t="shared" si="252"/>
        <v>5920.4120747915485</v>
      </c>
      <c r="AD417" s="32">
        <f t="shared" si="252"/>
        <v>5920.4120747915485</v>
      </c>
      <c r="AE417" s="32">
        <f t="shared" si="252"/>
        <v>5920.4120747915485</v>
      </c>
    </row>
    <row r="418" spans="2:31" x14ac:dyDescent="0.2">
      <c r="C418" s="5" t="str">
        <f t="shared" si="240"/>
        <v>Purchasing - Receiving</v>
      </c>
      <c r="D418" s="20"/>
      <c r="E418" s="236">
        <v>0.15</v>
      </c>
      <c r="F418" s="1" t="s">
        <v>51</v>
      </c>
      <c r="I418" s="32">
        <f t="shared" ref="I418" si="253">$E418*I369</f>
        <v>5264.9006693533156</v>
      </c>
      <c r="J418" s="32">
        <f t="shared" ref="J418" si="254">$E418*J369</f>
        <v>5264.9006693533156</v>
      </c>
      <c r="K418" s="32">
        <f t="shared" ref="K418:AE418" si="255">$E418*K369</f>
        <v>5264.9006693533156</v>
      </c>
      <c r="L418" s="32">
        <f t="shared" si="255"/>
        <v>5264.9006693533156</v>
      </c>
      <c r="M418" s="32">
        <f t="shared" si="255"/>
        <v>5264.9006693533156</v>
      </c>
      <c r="N418" s="32">
        <f t="shared" si="255"/>
        <v>5264.9006693533156</v>
      </c>
      <c r="O418" s="32">
        <f t="shared" si="255"/>
        <v>5264.9006693533156</v>
      </c>
      <c r="P418" s="32">
        <f t="shared" si="255"/>
        <v>5264.9006693533156</v>
      </c>
      <c r="Q418" s="32">
        <f t="shared" si="255"/>
        <v>5264.9006693533156</v>
      </c>
      <c r="R418" s="32">
        <f t="shared" si="255"/>
        <v>5264.9006693533156</v>
      </c>
      <c r="S418" s="32">
        <f t="shared" si="255"/>
        <v>5264.9006693533156</v>
      </c>
      <c r="T418" s="32">
        <f t="shared" si="255"/>
        <v>5264.9006693533156</v>
      </c>
      <c r="U418" s="32">
        <f t="shared" si="255"/>
        <v>5264.9006693533156</v>
      </c>
      <c r="V418" s="32">
        <f t="shared" si="255"/>
        <v>5264.9006693533156</v>
      </c>
      <c r="W418" s="32">
        <f t="shared" si="255"/>
        <v>5264.9006693533156</v>
      </c>
      <c r="X418" s="32">
        <f t="shared" si="255"/>
        <v>5264.9006693533156</v>
      </c>
      <c r="Y418" s="32">
        <f t="shared" si="255"/>
        <v>5264.9006693533156</v>
      </c>
      <c r="Z418" s="32">
        <f t="shared" si="255"/>
        <v>5264.9006693533156</v>
      </c>
      <c r="AA418" s="32">
        <f t="shared" si="255"/>
        <v>5264.9006693533156</v>
      </c>
      <c r="AB418" s="32">
        <f t="shared" si="255"/>
        <v>5264.9006693533156</v>
      </c>
      <c r="AC418" s="32">
        <f t="shared" si="255"/>
        <v>5264.9006693533156</v>
      </c>
      <c r="AD418" s="32">
        <f t="shared" si="255"/>
        <v>5264.9006693533156</v>
      </c>
      <c r="AE418" s="32">
        <f t="shared" si="255"/>
        <v>5264.9006693533156</v>
      </c>
    </row>
    <row r="419" spans="2:31" x14ac:dyDescent="0.2">
      <c r="C419" s="5" t="str">
        <f t="shared" si="240"/>
        <v>Human Resources/Safety Manager/Training</v>
      </c>
      <c r="D419" s="20"/>
      <c r="E419" s="236">
        <v>0.25</v>
      </c>
      <c r="F419" s="1" t="s">
        <v>51</v>
      </c>
      <c r="I419" s="32">
        <f t="shared" ref="I419" si="256">$E419*I370</f>
        <v>14674.437097866296</v>
      </c>
      <c r="J419" s="32">
        <f t="shared" ref="J419" si="257">$E419*J370</f>
        <v>14674.437097866296</v>
      </c>
      <c r="K419" s="32">
        <f t="shared" ref="K419:AE419" si="258">$E419*K370</f>
        <v>14674.437097866296</v>
      </c>
      <c r="L419" s="32">
        <f t="shared" si="258"/>
        <v>14674.437097866296</v>
      </c>
      <c r="M419" s="32">
        <f t="shared" si="258"/>
        <v>14674.437097866296</v>
      </c>
      <c r="N419" s="32">
        <f t="shared" si="258"/>
        <v>14674.437097866296</v>
      </c>
      <c r="O419" s="32">
        <f t="shared" si="258"/>
        <v>14674.437097866296</v>
      </c>
      <c r="P419" s="32">
        <f t="shared" si="258"/>
        <v>14674.437097866296</v>
      </c>
      <c r="Q419" s="32">
        <f t="shared" si="258"/>
        <v>14674.437097866296</v>
      </c>
      <c r="R419" s="32">
        <f t="shared" si="258"/>
        <v>14674.437097866296</v>
      </c>
      <c r="S419" s="32">
        <f t="shared" si="258"/>
        <v>14674.437097866296</v>
      </c>
      <c r="T419" s="32">
        <f t="shared" si="258"/>
        <v>14674.437097866296</v>
      </c>
      <c r="U419" s="32">
        <f t="shared" si="258"/>
        <v>14674.437097866296</v>
      </c>
      <c r="V419" s="32">
        <f t="shared" si="258"/>
        <v>14674.437097866296</v>
      </c>
      <c r="W419" s="32">
        <f t="shared" si="258"/>
        <v>14674.437097866296</v>
      </c>
      <c r="X419" s="32">
        <f t="shared" si="258"/>
        <v>14674.437097866296</v>
      </c>
      <c r="Y419" s="32">
        <f t="shared" si="258"/>
        <v>14674.437097866296</v>
      </c>
      <c r="Z419" s="32">
        <f t="shared" si="258"/>
        <v>14674.437097866296</v>
      </c>
      <c r="AA419" s="32">
        <f t="shared" si="258"/>
        <v>14674.437097866296</v>
      </c>
      <c r="AB419" s="32">
        <f t="shared" si="258"/>
        <v>14674.437097866296</v>
      </c>
      <c r="AC419" s="32">
        <f t="shared" si="258"/>
        <v>14674.437097866296</v>
      </c>
      <c r="AD419" s="32">
        <f t="shared" si="258"/>
        <v>14674.437097866296</v>
      </c>
      <c r="AE419" s="32">
        <f t="shared" si="258"/>
        <v>14674.437097866296</v>
      </c>
    </row>
    <row r="420" spans="2:31" x14ac:dyDescent="0.2">
      <c r="C420" s="5" t="str">
        <f t="shared" si="240"/>
        <v>Sales Administrator</v>
      </c>
      <c r="D420" s="20"/>
      <c r="E420" s="236">
        <v>0.15</v>
      </c>
      <c r="F420" s="1" t="s">
        <v>51</v>
      </c>
      <c r="I420" s="32">
        <f t="shared" ref="I420" si="259">$E420*I371</f>
        <v>5133.798388265669</v>
      </c>
      <c r="J420" s="32">
        <f t="shared" ref="J420" si="260">$E420*J371</f>
        <v>5133.798388265669</v>
      </c>
      <c r="K420" s="32">
        <f t="shared" ref="K420:AE420" si="261">$E420*K371</f>
        <v>5133.798388265669</v>
      </c>
      <c r="L420" s="32">
        <f t="shared" si="261"/>
        <v>5133.798388265669</v>
      </c>
      <c r="M420" s="32">
        <f t="shared" si="261"/>
        <v>5133.798388265669</v>
      </c>
      <c r="N420" s="32">
        <f t="shared" si="261"/>
        <v>5133.798388265669</v>
      </c>
      <c r="O420" s="32">
        <f t="shared" si="261"/>
        <v>5133.798388265669</v>
      </c>
      <c r="P420" s="32">
        <f t="shared" si="261"/>
        <v>5133.798388265669</v>
      </c>
      <c r="Q420" s="32">
        <f t="shared" si="261"/>
        <v>5133.798388265669</v>
      </c>
      <c r="R420" s="32">
        <f t="shared" si="261"/>
        <v>5133.798388265669</v>
      </c>
      <c r="S420" s="32">
        <f t="shared" si="261"/>
        <v>5133.798388265669</v>
      </c>
      <c r="T420" s="32">
        <f t="shared" si="261"/>
        <v>5133.798388265669</v>
      </c>
      <c r="U420" s="32">
        <f t="shared" si="261"/>
        <v>5133.798388265669</v>
      </c>
      <c r="V420" s="32">
        <f t="shared" si="261"/>
        <v>5133.798388265669</v>
      </c>
      <c r="W420" s="32">
        <f t="shared" si="261"/>
        <v>5133.798388265669</v>
      </c>
      <c r="X420" s="32">
        <f t="shared" si="261"/>
        <v>5133.798388265669</v>
      </c>
      <c r="Y420" s="32">
        <f t="shared" si="261"/>
        <v>5133.798388265669</v>
      </c>
      <c r="Z420" s="32">
        <f t="shared" si="261"/>
        <v>5133.798388265669</v>
      </c>
      <c r="AA420" s="32">
        <f t="shared" si="261"/>
        <v>5133.798388265669</v>
      </c>
      <c r="AB420" s="32">
        <f t="shared" si="261"/>
        <v>5133.798388265669</v>
      </c>
      <c r="AC420" s="32">
        <f t="shared" si="261"/>
        <v>5133.798388265669</v>
      </c>
      <c r="AD420" s="32">
        <f t="shared" si="261"/>
        <v>5133.798388265669</v>
      </c>
      <c r="AE420" s="32">
        <f t="shared" si="261"/>
        <v>5133.798388265669</v>
      </c>
    </row>
    <row r="421" spans="2:31" x14ac:dyDescent="0.2">
      <c r="C421" s="5" t="str">
        <f t="shared" si="240"/>
        <v>Inside Sales</v>
      </c>
      <c r="D421" s="20"/>
      <c r="E421" s="236">
        <v>0.15</v>
      </c>
      <c r="F421" s="1" t="s">
        <v>51</v>
      </c>
      <c r="I421" s="32">
        <f t="shared" ref="I421" si="262">$E421*I372</f>
        <v>8149.1508532815433</v>
      </c>
      <c r="J421" s="32">
        <f t="shared" ref="J421" si="263">$E421*J372</f>
        <v>8149.1508532815433</v>
      </c>
      <c r="K421" s="32">
        <f t="shared" ref="K421:AE421" si="264">$E421*K372</f>
        <v>8149.1508532815433</v>
      </c>
      <c r="L421" s="32">
        <f t="shared" si="264"/>
        <v>8149.1508532815433</v>
      </c>
      <c r="M421" s="32">
        <f t="shared" si="264"/>
        <v>8149.1508532815433</v>
      </c>
      <c r="N421" s="32">
        <f t="shared" si="264"/>
        <v>8149.1508532815433</v>
      </c>
      <c r="O421" s="32">
        <f t="shared" si="264"/>
        <v>8149.1508532815433</v>
      </c>
      <c r="P421" s="32">
        <f t="shared" si="264"/>
        <v>8149.1508532815433</v>
      </c>
      <c r="Q421" s="32">
        <f t="shared" si="264"/>
        <v>8149.1508532815433</v>
      </c>
      <c r="R421" s="32">
        <f t="shared" si="264"/>
        <v>8149.1508532815433</v>
      </c>
      <c r="S421" s="32">
        <f t="shared" si="264"/>
        <v>8149.1508532815433</v>
      </c>
      <c r="T421" s="32">
        <f t="shared" si="264"/>
        <v>8149.1508532815433</v>
      </c>
      <c r="U421" s="32">
        <f t="shared" si="264"/>
        <v>8149.1508532815433</v>
      </c>
      <c r="V421" s="32">
        <f t="shared" si="264"/>
        <v>8149.1508532815433</v>
      </c>
      <c r="W421" s="32">
        <f t="shared" si="264"/>
        <v>8149.1508532815433</v>
      </c>
      <c r="X421" s="32">
        <f t="shared" si="264"/>
        <v>8149.1508532815433</v>
      </c>
      <c r="Y421" s="32">
        <f t="shared" si="264"/>
        <v>8149.1508532815433</v>
      </c>
      <c r="Z421" s="32">
        <f t="shared" si="264"/>
        <v>8149.1508532815433</v>
      </c>
      <c r="AA421" s="32">
        <f t="shared" si="264"/>
        <v>8149.1508532815433</v>
      </c>
      <c r="AB421" s="32">
        <f t="shared" si="264"/>
        <v>8149.1508532815433</v>
      </c>
      <c r="AC421" s="32">
        <f t="shared" si="264"/>
        <v>8149.1508532815433</v>
      </c>
      <c r="AD421" s="32">
        <f t="shared" si="264"/>
        <v>8149.1508532815433</v>
      </c>
      <c r="AE421" s="32">
        <f t="shared" si="264"/>
        <v>8149.1508532815433</v>
      </c>
    </row>
    <row r="422" spans="2:31" x14ac:dyDescent="0.2">
      <c r="C422" s="5" t="str">
        <f t="shared" si="240"/>
        <v>Shipping Manager</v>
      </c>
      <c r="D422" s="20"/>
      <c r="E422" s="236">
        <v>0.15</v>
      </c>
      <c r="F422" s="1" t="s">
        <v>51</v>
      </c>
      <c r="I422" s="32">
        <f t="shared" ref="I422" si="265">$E422*I373</f>
        <v>10115.685069596244</v>
      </c>
      <c r="J422" s="32">
        <f t="shared" ref="J422" si="266">$E422*J373</f>
        <v>10115.685069596244</v>
      </c>
      <c r="K422" s="32">
        <f t="shared" ref="K422:AE422" si="267">$E422*K373</f>
        <v>10115.685069596244</v>
      </c>
      <c r="L422" s="32">
        <f t="shared" si="267"/>
        <v>10115.685069596244</v>
      </c>
      <c r="M422" s="32">
        <f t="shared" si="267"/>
        <v>10115.685069596244</v>
      </c>
      <c r="N422" s="32">
        <f t="shared" si="267"/>
        <v>10115.685069596244</v>
      </c>
      <c r="O422" s="32">
        <f t="shared" si="267"/>
        <v>10115.685069596244</v>
      </c>
      <c r="P422" s="32">
        <f t="shared" si="267"/>
        <v>10115.685069596244</v>
      </c>
      <c r="Q422" s="32">
        <f t="shared" si="267"/>
        <v>10115.685069596244</v>
      </c>
      <c r="R422" s="32">
        <f t="shared" si="267"/>
        <v>10115.685069596244</v>
      </c>
      <c r="S422" s="32">
        <f t="shared" si="267"/>
        <v>10115.685069596244</v>
      </c>
      <c r="T422" s="32">
        <f t="shared" si="267"/>
        <v>10115.685069596244</v>
      </c>
      <c r="U422" s="32">
        <f t="shared" si="267"/>
        <v>10115.685069596244</v>
      </c>
      <c r="V422" s="32">
        <f t="shared" si="267"/>
        <v>10115.685069596244</v>
      </c>
      <c r="W422" s="32">
        <f t="shared" si="267"/>
        <v>10115.685069596244</v>
      </c>
      <c r="X422" s="32">
        <f t="shared" si="267"/>
        <v>10115.685069596244</v>
      </c>
      <c r="Y422" s="32">
        <f t="shared" si="267"/>
        <v>10115.685069596244</v>
      </c>
      <c r="Z422" s="32">
        <f t="shared" si="267"/>
        <v>10115.685069596244</v>
      </c>
      <c r="AA422" s="32">
        <f t="shared" si="267"/>
        <v>10115.685069596244</v>
      </c>
      <c r="AB422" s="32">
        <f t="shared" si="267"/>
        <v>10115.685069596244</v>
      </c>
      <c r="AC422" s="32">
        <f t="shared" si="267"/>
        <v>10115.685069596244</v>
      </c>
      <c r="AD422" s="32">
        <f t="shared" si="267"/>
        <v>10115.685069596244</v>
      </c>
      <c r="AE422" s="32">
        <f t="shared" si="267"/>
        <v>10115.685069596244</v>
      </c>
    </row>
    <row r="423" spans="2:31" x14ac:dyDescent="0.2">
      <c r="C423" s="20"/>
      <c r="D423" s="20"/>
    </row>
    <row r="424" spans="2:31" x14ac:dyDescent="0.2">
      <c r="C424" s="5" t="str">
        <f>C375</f>
        <v>Contingency</v>
      </c>
      <c r="D424" s="20"/>
      <c r="E424" s="236">
        <v>0.15</v>
      </c>
      <c r="F424" s="1" t="s">
        <v>51</v>
      </c>
      <c r="I424" s="32">
        <f t="shared" ref="I424" si="268">$E424*I375</f>
        <v>12157.894736842105</v>
      </c>
      <c r="J424" s="32">
        <f t="shared" ref="J424" si="269">$E424*J375</f>
        <v>12157.894736842105</v>
      </c>
      <c r="K424" s="32">
        <f t="shared" ref="K424:AE424" si="270">$E424*K375</f>
        <v>12157.894736842105</v>
      </c>
      <c r="L424" s="32">
        <f t="shared" si="270"/>
        <v>12157.894736842105</v>
      </c>
      <c r="M424" s="32">
        <f t="shared" si="270"/>
        <v>12157.894736842105</v>
      </c>
      <c r="N424" s="32">
        <f t="shared" si="270"/>
        <v>12157.894736842105</v>
      </c>
      <c r="O424" s="32">
        <f t="shared" si="270"/>
        <v>12157.894736842105</v>
      </c>
      <c r="P424" s="32">
        <f t="shared" si="270"/>
        <v>12157.894736842105</v>
      </c>
      <c r="Q424" s="32">
        <f t="shared" si="270"/>
        <v>12157.894736842105</v>
      </c>
      <c r="R424" s="32">
        <f t="shared" si="270"/>
        <v>12157.894736842105</v>
      </c>
      <c r="S424" s="32">
        <f t="shared" si="270"/>
        <v>12157.894736842105</v>
      </c>
      <c r="T424" s="32">
        <f t="shared" si="270"/>
        <v>12157.894736842105</v>
      </c>
      <c r="U424" s="32">
        <f t="shared" si="270"/>
        <v>12157.894736842105</v>
      </c>
      <c r="V424" s="32">
        <f t="shared" si="270"/>
        <v>12157.894736842105</v>
      </c>
      <c r="W424" s="32">
        <f t="shared" si="270"/>
        <v>12157.894736842105</v>
      </c>
      <c r="X424" s="32">
        <f t="shared" si="270"/>
        <v>12157.894736842105</v>
      </c>
      <c r="Y424" s="32">
        <f t="shared" si="270"/>
        <v>12157.894736842105</v>
      </c>
      <c r="Z424" s="32">
        <f t="shared" si="270"/>
        <v>12157.894736842105</v>
      </c>
      <c r="AA424" s="32">
        <f t="shared" si="270"/>
        <v>12157.894736842105</v>
      </c>
      <c r="AB424" s="32">
        <f t="shared" si="270"/>
        <v>12157.894736842105</v>
      </c>
      <c r="AC424" s="32">
        <f t="shared" si="270"/>
        <v>12157.894736842105</v>
      </c>
      <c r="AD424" s="32">
        <f t="shared" si="270"/>
        <v>12157.894736842105</v>
      </c>
      <c r="AE424" s="32">
        <f t="shared" si="270"/>
        <v>12157.894736842105</v>
      </c>
    </row>
    <row r="425" spans="2:31" x14ac:dyDescent="0.2">
      <c r="C425" s="20"/>
      <c r="D425" s="20"/>
    </row>
    <row r="426" spans="2:31" x14ac:dyDescent="0.2">
      <c r="B426" s="24">
        <f>B377+0.01</f>
        <v>3.4399999999999995</v>
      </c>
      <c r="C426" s="20" t="s">
        <v>440</v>
      </c>
      <c r="D426" s="20"/>
    </row>
    <row r="427" spans="2:31" x14ac:dyDescent="0.2">
      <c r="C427" s="20"/>
      <c r="D427" s="20"/>
    </row>
    <row r="428" spans="2:31" x14ac:dyDescent="0.2">
      <c r="C428" s="47" t="str">
        <f t="shared" ref="C428:C435" si="271">C379</f>
        <v>Melting</v>
      </c>
      <c r="D428" s="20"/>
    </row>
    <row r="429" spans="2:31" x14ac:dyDescent="0.2">
      <c r="C429" s="5" t="str">
        <f t="shared" si="271"/>
        <v>Manager of Melting/Casting Production</v>
      </c>
      <c r="D429" s="20"/>
      <c r="F429" s="1" t="s">
        <v>51</v>
      </c>
      <c r="I429" s="49">
        <f t="shared" ref="I429" si="272">I330+I380</f>
        <v>173263.10529416811</v>
      </c>
      <c r="J429" s="49">
        <f t="shared" ref="J429" si="273">J330+J380</f>
        <v>173263.10529416811</v>
      </c>
      <c r="K429" s="49">
        <f t="shared" ref="K429:AE429" si="274">K330+K380</f>
        <v>173263.10529416811</v>
      </c>
      <c r="L429" s="49">
        <f t="shared" si="274"/>
        <v>173263.10529416811</v>
      </c>
      <c r="M429" s="49">
        <f t="shared" si="274"/>
        <v>173263.10529416811</v>
      </c>
      <c r="N429" s="49">
        <f t="shared" si="274"/>
        <v>173263.10529416811</v>
      </c>
      <c r="O429" s="49">
        <f t="shared" si="274"/>
        <v>173263.10529416811</v>
      </c>
      <c r="P429" s="49">
        <f t="shared" si="274"/>
        <v>173263.10529416811</v>
      </c>
      <c r="Q429" s="49">
        <f t="shared" si="274"/>
        <v>173263.10529416811</v>
      </c>
      <c r="R429" s="49">
        <f t="shared" si="274"/>
        <v>173263.10529416811</v>
      </c>
      <c r="S429" s="49">
        <f t="shared" si="274"/>
        <v>173263.10529416811</v>
      </c>
      <c r="T429" s="49">
        <f t="shared" si="274"/>
        <v>173263.10529416811</v>
      </c>
      <c r="U429" s="49">
        <f t="shared" si="274"/>
        <v>173263.10529416811</v>
      </c>
      <c r="V429" s="49">
        <f t="shared" si="274"/>
        <v>173263.10529416811</v>
      </c>
      <c r="W429" s="49">
        <f t="shared" si="274"/>
        <v>173263.10529416811</v>
      </c>
      <c r="X429" s="49">
        <f t="shared" si="274"/>
        <v>173263.10529416811</v>
      </c>
      <c r="Y429" s="49">
        <f t="shared" si="274"/>
        <v>173263.10529416811</v>
      </c>
      <c r="Z429" s="49">
        <f t="shared" si="274"/>
        <v>173263.10529416811</v>
      </c>
      <c r="AA429" s="49">
        <f t="shared" si="274"/>
        <v>173263.10529416811</v>
      </c>
      <c r="AB429" s="49">
        <f t="shared" si="274"/>
        <v>173263.10529416811</v>
      </c>
      <c r="AC429" s="49">
        <f t="shared" si="274"/>
        <v>173263.10529416811</v>
      </c>
      <c r="AD429" s="49">
        <f t="shared" si="274"/>
        <v>173263.10529416811</v>
      </c>
      <c r="AE429" s="49">
        <f t="shared" si="274"/>
        <v>173263.10529416811</v>
      </c>
    </row>
    <row r="430" spans="2:31" x14ac:dyDescent="0.2">
      <c r="C430" s="5" t="str">
        <f t="shared" si="271"/>
        <v>Supervisor/team Leader of Melting &amp; Casting</v>
      </c>
      <c r="D430" s="20"/>
      <c r="F430" s="1" t="s">
        <v>51</v>
      </c>
      <c r="I430" s="49">
        <f t="shared" ref="I430" si="275">I331+I381</f>
        <v>76093.664391937506</v>
      </c>
      <c r="J430" s="49">
        <f t="shared" ref="J430" si="276">J331+J381</f>
        <v>76093.664391937506</v>
      </c>
      <c r="K430" s="49">
        <f t="shared" ref="K430:AE430" si="277">K331+K381</f>
        <v>76093.664391937506</v>
      </c>
      <c r="L430" s="49">
        <f t="shared" si="277"/>
        <v>76093.664391937506</v>
      </c>
      <c r="M430" s="49">
        <f t="shared" si="277"/>
        <v>76093.664391937506</v>
      </c>
      <c r="N430" s="49">
        <f t="shared" si="277"/>
        <v>76093.664391937506</v>
      </c>
      <c r="O430" s="49">
        <f t="shared" si="277"/>
        <v>76093.664391937506</v>
      </c>
      <c r="P430" s="49">
        <f t="shared" si="277"/>
        <v>76093.664391937506</v>
      </c>
      <c r="Q430" s="49">
        <f t="shared" si="277"/>
        <v>76093.664391937506</v>
      </c>
      <c r="R430" s="49">
        <f t="shared" si="277"/>
        <v>76093.664391937506</v>
      </c>
      <c r="S430" s="49">
        <f t="shared" si="277"/>
        <v>76093.664391937506</v>
      </c>
      <c r="T430" s="49">
        <f t="shared" si="277"/>
        <v>76093.664391937506</v>
      </c>
      <c r="U430" s="49">
        <f t="shared" si="277"/>
        <v>76093.664391937506</v>
      </c>
      <c r="V430" s="49">
        <f t="shared" si="277"/>
        <v>76093.664391937506</v>
      </c>
      <c r="W430" s="49">
        <f t="shared" si="277"/>
        <v>76093.664391937506</v>
      </c>
      <c r="X430" s="49">
        <f t="shared" si="277"/>
        <v>76093.664391937506</v>
      </c>
      <c r="Y430" s="49">
        <f t="shared" si="277"/>
        <v>76093.664391937506</v>
      </c>
      <c r="Z430" s="49">
        <f t="shared" si="277"/>
        <v>76093.664391937506</v>
      </c>
      <c r="AA430" s="49">
        <f t="shared" si="277"/>
        <v>76093.664391937506</v>
      </c>
      <c r="AB430" s="49">
        <f t="shared" si="277"/>
        <v>76093.664391937506</v>
      </c>
      <c r="AC430" s="49">
        <f t="shared" si="277"/>
        <v>76093.664391937506</v>
      </c>
      <c r="AD430" s="49">
        <f t="shared" si="277"/>
        <v>76093.664391937506</v>
      </c>
      <c r="AE430" s="49">
        <f t="shared" si="277"/>
        <v>76093.664391937506</v>
      </c>
    </row>
    <row r="431" spans="2:31" x14ac:dyDescent="0.2">
      <c r="C431" s="5" t="str">
        <f t="shared" si="271"/>
        <v>Senior Operator - EAF</v>
      </c>
      <c r="D431" s="20"/>
      <c r="F431" s="1" t="s">
        <v>51</v>
      </c>
      <c r="I431" s="49">
        <f t="shared" ref="I431" si="278">I332+I382</f>
        <v>56984.400353375633</v>
      </c>
      <c r="J431" s="49">
        <f t="shared" ref="J431" si="279">J332+J382</f>
        <v>56984.400353375633</v>
      </c>
      <c r="K431" s="49">
        <f t="shared" ref="K431:AE431" si="280">K332+K382</f>
        <v>56984.400353375633</v>
      </c>
      <c r="L431" s="49">
        <f t="shared" si="280"/>
        <v>56984.400353375633</v>
      </c>
      <c r="M431" s="49">
        <f t="shared" si="280"/>
        <v>56984.400353375633</v>
      </c>
      <c r="N431" s="49">
        <f t="shared" si="280"/>
        <v>56984.400353375633</v>
      </c>
      <c r="O431" s="49">
        <f t="shared" si="280"/>
        <v>56984.400353375633</v>
      </c>
      <c r="P431" s="49">
        <f t="shared" si="280"/>
        <v>56984.400353375633</v>
      </c>
      <c r="Q431" s="49">
        <f t="shared" si="280"/>
        <v>56984.400353375633</v>
      </c>
      <c r="R431" s="49">
        <f t="shared" si="280"/>
        <v>56984.400353375633</v>
      </c>
      <c r="S431" s="49">
        <f t="shared" si="280"/>
        <v>56984.400353375633</v>
      </c>
      <c r="T431" s="49">
        <f t="shared" si="280"/>
        <v>56984.400353375633</v>
      </c>
      <c r="U431" s="49">
        <f t="shared" si="280"/>
        <v>56984.400353375633</v>
      </c>
      <c r="V431" s="49">
        <f t="shared" si="280"/>
        <v>56984.400353375633</v>
      </c>
      <c r="W431" s="49">
        <f t="shared" si="280"/>
        <v>56984.400353375633</v>
      </c>
      <c r="X431" s="49">
        <f t="shared" si="280"/>
        <v>56984.400353375633</v>
      </c>
      <c r="Y431" s="49">
        <f t="shared" si="280"/>
        <v>56984.400353375633</v>
      </c>
      <c r="Z431" s="49">
        <f t="shared" si="280"/>
        <v>56984.400353375633</v>
      </c>
      <c r="AA431" s="49">
        <f t="shared" si="280"/>
        <v>56984.400353375633</v>
      </c>
      <c r="AB431" s="49">
        <f t="shared" si="280"/>
        <v>56984.400353375633</v>
      </c>
      <c r="AC431" s="49">
        <f t="shared" si="280"/>
        <v>56984.400353375633</v>
      </c>
      <c r="AD431" s="49">
        <f t="shared" si="280"/>
        <v>56984.400353375633</v>
      </c>
      <c r="AE431" s="49">
        <f t="shared" si="280"/>
        <v>56984.400353375633</v>
      </c>
    </row>
    <row r="432" spans="2:31" x14ac:dyDescent="0.2">
      <c r="C432" s="5" t="str">
        <f t="shared" si="271"/>
        <v>Operator - Ladle Crane</v>
      </c>
      <c r="D432" s="20"/>
      <c r="F432" s="1" t="s">
        <v>51</v>
      </c>
      <c r="I432" s="49">
        <f t="shared" ref="I432" si="281">I333+I383</f>
        <v>51521.805308057017</v>
      </c>
      <c r="J432" s="49">
        <f t="shared" ref="J432" si="282">J333+J383</f>
        <v>51521.805308057017</v>
      </c>
      <c r="K432" s="49">
        <f t="shared" ref="K432:AE432" si="283">K333+K383</f>
        <v>51521.805308057017</v>
      </c>
      <c r="L432" s="49">
        <f t="shared" si="283"/>
        <v>51521.805308057017</v>
      </c>
      <c r="M432" s="49">
        <f t="shared" si="283"/>
        <v>51521.805308057017</v>
      </c>
      <c r="N432" s="49">
        <f t="shared" si="283"/>
        <v>51521.805308057017</v>
      </c>
      <c r="O432" s="49">
        <f t="shared" si="283"/>
        <v>51521.805308057017</v>
      </c>
      <c r="P432" s="49">
        <f t="shared" si="283"/>
        <v>51521.805308057017</v>
      </c>
      <c r="Q432" s="49">
        <f t="shared" si="283"/>
        <v>51521.805308057017</v>
      </c>
      <c r="R432" s="49">
        <f t="shared" si="283"/>
        <v>51521.805308057017</v>
      </c>
      <c r="S432" s="49">
        <f t="shared" si="283"/>
        <v>51521.805308057017</v>
      </c>
      <c r="T432" s="49">
        <f t="shared" si="283"/>
        <v>51521.805308057017</v>
      </c>
      <c r="U432" s="49">
        <f t="shared" si="283"/>
        <v>51521.805308057017</v>
      </c>
      <c r="V432" s="49">
        <f t="shared" si="283"/>
        <v>51521.805308057017</v>
      </c>
      <c r="W432" s="49">
        <f t="shared" si="283"/>
        <v>51521.805308057017</v>
      </c>
      <c r="X432" s="49">
        <f t="shared" si="283"/>
        <v>51521.805308057017</v>
      </c>
      <c r="Y432" s="49">
        <f t="shared" si="283"/>
        <v>51521.805308057017</v>
      </c>
      <c r="Z432" s="49">
        <f t="shared" si="283"/>
        <v>51521.805308057017</v>
      </c>
      <c r="AA432" s="49">
        <f t="shared" si="283"/>
        <v>51521.805308057017</v>
      </c>
      <c r="AB432" s="49">
        <f t="shared" si="283"/>
        <v>51521.805308057017</v>
      </c>
      <c r="AC432" s="49">
        <f t="shared" si="283"/>
        <v>51521.805308057017</v>
      </c>
      <c r="AD432" s="49">
        <f t="shared" si="283"/>
        <v>51521.805308057017</v>
      </c>
      <c r="AE432" s="49">
        <f t="shared" si="283"/>
        <v>51521.805308057017</v>
      </c>
    </row>
    <row r="433" spans="3:31" x14ac:dyDescent="0.2">
      <c r="C433" s="5" t="str">
        <f t="shared" si="271"/>
        <v>Operator</v>
      </c>
      <c r="D433" s="20"/>
      <c r="F433" s="1" t="s">
        <v>51</v>
      </c>
      <c r="I433" s="49">
        <f t="shared" ref="I433" si="284">I334+I384</f>
        <v>47012.496553234581</v>
      </c>
      <c r="J433" s="49">
        <f t="shared" ref="J433" si="285">J334+J384</f>
        <v>47012.496553234581</v>
      </c>
      <c r="K433" s="49">
        <f t="shared" ref="K433:AE433" si="286">K334+K384</f>
        <v>47012.496553234581</v>
      </c>
      <c r="L433" s="49">
        <f t="shared" si="286"/>
        <v>47012.496553234581</v>
      </c>
      <c r="M433" s="49">
        <f t="shared" si="286"/>
        <v>47012.496553234581</v>
      </c>
      <c r="N433" s="49">
        <f t="shared" si="286"/>
        <v>47012.496553234581</v>
      </c>
      <c r="O433" s="49">
        <f t="shared" si="286"/>
        <v>47012.496553234581</v>
      </c>
      <c r="P433" s="49">
        <f t="shared" si="286"/>
        <v>47012.496553234581</v>
      </c>
      <c r="Q433" s="49">
        <f t="shared" si="286"/>
        <v>47012.496553234581</v>
      </c>
      <c r="R433" s="49">
        <f t="shared" si="286"/>
        <v>47012.496553234581</v>
      </c>
      <c r="S433" s="49">
        <f t="shared" si="286"/>
        <v>47012.496553234581</v>
      </c>
      <c r="T433" s="49">
        <f t="shared" si="286"/>
        <v>47012.496553234581</v>
      </c>
      <c r="U433" s="49">
        <f t="shared" si="286"/>
        <v>47012.496553234581</v>
      </c>
      <c r="V433" s="49">
        <f t="shared" si="286"/>
        <v>47012.496553234581</v>
      </c>
      <c r="W433" s="49">
        <f t="shared" si="286"/>
        <v>47012.496553234581</v>
      </c>
      <c r="X433" s="49">
        <f t="shared" si="286"/>
        <v>47012.496553234581</v>
      </c>
      <c r="Y433" s="49">
        <f t="shared" si="286"/>
        <v>47012.496553234581</v>
      </c>
      <c r="Z433" s="49">
        <f t="shared" si="286"/>
        <v>47012.496553234581</v>
      </c>
      <c r="AA433" s="49">
        <f t="shared" si="286"/>
        <v>47012.496553234581</v>
      </c>
      <c r="AB433" s="49">
        <f t="shared" si="286"/>
        <v>47012.496553234581</v>
      </c>
      <c r="AC433" s="49">
        <f t="shared" si="286"/>
        <v>47012.496553234581</v>
      </c>
      <c r="AD433" s="49">
        <f t="shared" si="286"/>
        <v>47012.496553234581</v>
      </c>
      <c r="AE433" s="49">
        <f t="shared" si="286"/>
        <v>47012.496553234581</v>
      </c>
    </row>
    <row r="434" spans="3:31" x14ac:dyDescent="0.2">
      <c r="C434" s="5" t="str">
        <f t="shared" si="271"/>
        <v>Team Leader - Refractory</v>
      </c>
      <c r="D434" s="20"/>
      <c r="F434" s="1" t="s">
        <v>51</v>
      </c>
      <c r="I434" s="49">
        <f t="shared" ref="I434" si="287">I335+I385</f>
        <v>48756.25703515549</v>
      </c>
      <c r="J434" s="49">
        <f t="shared" ref="J434" si="288">J335+J385</f>
        <v>48756.25703515549</v>
      </c>
      <c r="K434" s="49">
        <f t="shared" ref="K434:AE434" si="289">K335+K385</f>
        <v>48756.25703515549</v>
      </c>
      <c r="L434" s="49">
        <f t="shared" si="289"/>
        <v>48756.25703515549</v>
      </c>
      <c r="M434" s="49">
        <f t="shared" si="289"/>
        <v>48756.25703515549</v>
      </c>
      <c r="N434" s="49">
        <f t="shared" si="289"/>
        <v>48756.25703515549</v>
      </c>
      <c r="O434" s="49">
        <f t="shared" si="289"/>
        <v>48756.25703515549</v>
      </c>
      <c r="P434" s="49">
        <f t="shared" si="289"/>
        <v>48756.25703515549</v>
      </c>
      <c r="Q434" s="49">
        <f t="shared" si="289"/>
        <v>48756.25703515549</v>
      </c>
      <c r="R434" s="49">
        <f t="shared" si="289"/>
        <v>48756.25703515549</v>
      </c>
      <c r="S434" s="49">
        <f t="shared" si="289"/>
        <v>48756.25703515549</v>
      </c>
      <c r="T434" s="49">
        <f t="shared" si="289"/>
        <v>48756.25703515549</v>
      </c>
      <c r="U434" s="49">
        <f t="shared" si="289"/>
        <v>48756.25703515549</v>
      </c>
      <c r="V434" s="49">
        <f t="shared" si="289"/>
        <v>48756.25703515549</v>
      </c>
      <c r="W434" s="49">
        <f t="shared" si="289"/>
        <v>48756.25703515549</v>
      </c>
      <c r="X434" s="49">
        <f t="shared" si="289"/>
        <v>48756.25703515549</v>
      </c>
      <c r="Y434" s="49">
        <f t="shared" si="289"/>
        <v>48756.25703515549</v>
      </c>
      <c r="Z434" s="49">
        <f t="shared" si="289"/>
        <v>48756.25703515549</v>
      </c>
      <c r="AA434" s="49">
        <f t="shared" si="289"/>
        <v>48756.25703515549</v>
      </c>
      <c r="AB434" s="49">
        <f t="shared" si="289"/>
        <v>48756.25703515549</v>
      </c>
      <c r="AC434" s="49">
        <f t="shared" si="289"/>
        <v>48756.25703515549</v>
      </c>
      <c r="AD434" s="49">
        <f t="shared" si="289"/>
        <v>48756.25703515549</v>
      </c>
      <c r="AE434" s="49">
        <f t="shared" si="289"/>
        <v>48756.25703515549</v>
      </c>
    </row>
    <row r="435" spans="3:31" x14ac:dyDescent="0.2">
      <c r="C435" s="5" t="str">
        <f t="shared" si="271"/>
        <v>Operator - Refractory</v>
      </c>
      <c r="D435" s="20"/>
      <c r="F435" s="1" t="s">
        <v>51</v>
      </c>
      <c r="I435" s="49">
        <f t="shared" ref="I435" si="290">I336+I386</f>
        <v>42266.127243539609</v>
      </c>
      <c r="J435" s="49">
        <f t="shared" ref="J435" si="291">J336+J386</f>
        <v>42266.127243539609</v>
      </c>
      <c r="K435" s="49">
        <f t="shared" ref="K435:AE435" si="292">K336+K386</f>
        <v>42266.127243539609</v>
      </c>
      <c r="L435" s="49">
        <f t="shared" si="292"/>
        <v>42266.127243539609</v>
      </c>
      <c r="M435" s="49">
        <f t="shared" si="292"/>
        <v>42266.127243539609</v>
      </c>
      <c r="N435" s="49">
        <f t="shared" si="292"/>
        <v>42266.127243539609</v>
      </c>
      <c r="O435" s="49">
        <f t="shared" si="292"/>
        <v>42266.127243539609</v>
      </c>
      <c r="P435" s="49">
        <f t="shared" si="292"/>
        <v>42266.127243539609</v>
      </c>
      <c r="Q435" s="49">
        <f t="shared" si="292"/>
        <v>42266.127243539609</v>
      </c>
      <c r="R435" s="49">
        <f t="shared" si="292"/>
        <v>42266.127243539609</v>
      </c>
      <c r="S435" s="49">
        <f t="shared" si="292"/>
        <v>42266.127243539609</v>
      </c>
      <c r="T435" s="49">
        <f t="shared" si="292"/>
        <v>42266.127243539609</v>
      </c>
      <c r="U435" s="49">
        <f t="shared" si="292"/>
        <v>42266.127243539609</v>
      </c>
      <c r="V435" s="49">
        <f t="shared" si="292"/>
        <v>42266.127243539609</v>
      </c>
      <c r="W435" s="49">
        <f t="shared" si="292"/>
        <v>42266.127243539609</v>
      </c>
      <c r="X435" s="49">
        <f t="shared" si="292"/>
        <v>42266.127243539609</v>
      </c>
      <c r="Y435" s="49">
        <f t="shared" si="292"/>
        <v>42266.127243539609</v>
      </c>
      <c r="Z435" s="49">
        <f t="shared" si="292"/>
        <v>42266.127243539609</v>
      </c>
      <c r="AA435" s="49">
        <f t="shared" si="292"/>
        <v>42266.127243539609</v>
      </c>
      <c r="AB435" s="49">
        <f t="shared" si="292"/>
        <v>42266.127243539609</v>
      </c>
      <c r="AC435" s="49">
        <f t="shared" si="292"/>
        <v>42266.127243539609</v>
      </c>
      <c r="AD435" s="49">
        <f t="shared" si="292"/>
        <v>42266.127243539609</v>
      </c>
      <c r="AE435" s="49">
        <f t="shared" si="292"/>
        <v>42266.127243539609</v>
      </c>
    </row>
    <row r="436" spans="3:31" x14ac:dyDescent="0.2">
      <c r="C436" s="5"/>
      <c r="D436" s="20"/>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3:31" x14ac:dyDescent="0.2">
      <c r="C437" s="47" t="str">
        <f>C388</f>
        <v>Casting</v>
      </c>
      <c r="D437" s="20"/>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3:31" x14ac:dyDescent="0.2">
      <c r="C438" s="5" t="str">
        <f>C389</f>
        <v xml:space="preserve">Senior Casting Operator </v>
      </c>
      <c r="D438" s="20"/>
      <c r="F438" s="1" t="s">
        <v>51</v>
      </c>
      <c r="I438" s="49">
        <f t="shared" ref="I438" si="293">I340+I389</f>
        <v>57275.189247888775</v>
      </c>
      <c r="J438" s="49">
        <f t="shared" ref="J438" si="294">J340+J389</f>
        <v>57275.189247888775</v>
      </c>
      <c r="K438" s="49">
        <f t="shared" ref="K438:AE438" si="295">K340+K389</f>
        <v>57275.189247888775</v>
      </c>
      <c r="L438" s="49">
        <f t="shared" si="295"/>
        <v>57275.189247888775</v>
      </c>
      <c r="M438" s="49">
        <f t="shared" si="295"/>
        <v>57275.189247888775</v>
      </c>
      <c r="N438" s="49">
        <f t="shared" si="295"/>
        <v>57275.189247888775</v>
      </c>
      <c r="O438" s="49">
        <f t="shared" si="295"/>
        <v>57275.189247888775</v>
      </c>
      <c r="P438" s="49">
        <f t="shared" si="295"/>
        <v>57275.189247888775</v>
      </c>
      <c r="Q438" s="49">
        <f t="shared" si="295"/>
        <v>57275.189247888775</v>
      </c>
      <c r="R438" s="49">
        <f t="shared" si="295"/>
        <v>57275.189247888775</v>
      </c>
      <c r="S438" s="49">
        <f t="shared" si="295"/>
        <v>57275.189247888775</v>
      </c>
      <c r="T438" s="49">
        <f t="shared" si="295"/>
        <v>57275.189247888775</v>
      </c>
      <c r="U438" s="49">
        <f t="shared" si="295"/>
        <v>57275.189247888775</v>
      </c>
      <c r="V438" s="49">
        <f t="shared" si="295"/>
        <v>57275.189247888775</v>
      </c>
      <c r="W438" s="49">
        <f t="shared" si="295"/>
        <v>57275.189247888775</v>
      </c>
      <c r="X438" s="49">
        <f t="shared" si="295"/>
        <v>57275.189247888775</v>
      </c>
      <c r="Y438" s="49">
        <f t="shared" si="295"/>
        <v>57275.189247888775</v>
      </c>
      <c r="Z438" s="49">
        <f t="shared" si="295"/>
        <v>57275.189247888775</v>
      </c>
      <c r="AA438" s="49">
        <f t="shared" si="295"/>
        <v>57275.189247888775</v>
      </c>
      <c r="AB438" s="49">
        <f t="shared" si="295"/>
        <v>57275.189247888775</v>
      </c>
      <c r="AC438" s="49">
        <f t="shared" si="295"/>
        <v>57275.189247888775</v>
      </c>
      <c r="AD438" s="49">
        <f t="shared" si="295"/>
        <v>57275.189247888775</v>
      </c>
      <c r="AE438" s="49">
        <f t="shared" si="295"/>
        <v>57275.189247888775</v>
      </c>
    </row>
    <row r="439" spans="3:31" x14ac:dyDescent="0.2">
      <c r="C439" s="5" t="str">
        <f>C390</f>
        <v>Operator</v>
      </c>
      <c r="D439" s="20"/>
      <c r="F439" s="1" t="s">
        <v>51</v>
      </c>
      <c r="I439" s="49">
        <f t="shared" ref="I439" si="296">I341+I390</f>
        <v>50564.696077911081</v>
      </c>
      <c r="J439" s="49">
        <f t="shared" ref="J439" si="297">J341+J390</f>
        <v>50564.696077911081</v>
      </c>
      <c r="K439" s="49">
        <f t="shared" ref="K439:AE439" si="298">K341+K390</f>
        <v>50564.696077911081</v>
      </c>
      <c r="L439" s="49">
        <f t="shared" si="298"/>
        <v>50564.696077911081</v>
      </c>
      <c r="M439" s="49">
        <f t="shared" si="298"/>
        <v>50564.696077911081</v>
      </c>
      <c r="N439" s="49">
        <f t="shared" si="298"/>
        <v>50564.696077911081</v>
      </c>
      <c r="O439" s="49">
        <f t="shared" si="298"/>
        <v>50564.696077911081</v>
      </c>
      <c r="P439" s="49">
        <f t="shared" si="298"/>
        <v>50564.696077911081</v>
      </c>
      <c r="Q439" s="49">
        <f t="shared" si="298"/>
        <v>50564.696077911081</v>
      </c>
      <c r="R439" s="49">
        <f t="shared" si="298"/>
        <v>50564.696077911081</v>
      </c>
      <c r="S439" s="49">
        <f t="shared" si="298"/>
        <v>50564.696077911081</v>
      </c>
      <c r="T439" s="49">
        <f t="shared" si="298"/>
        <v>50564.696077911081</v>
      </c>
      <c r="U439" s="49">
        <f t="shared" si="298"/>
        <v>50564.696077911081</v>
      </c>
      <c r="V439" s="49">
        <f t="shared" si="298"/>
        <v>50564.696077911081</v>
      </c>
      <c r="W439" s="49">
        <f t="shared" si="298"/>
        <v>50564.696077911081</v>
      </c>
      <c r="X439" s="49">
        <f t="shared" si="298"/>
        <v>50564.696077911081</v>
      </c>
      <c r="Y439" s="49">
        <f t="shared" si="298"/>
        <v>50564.696077911081</v>
      </c>
      <c r="Z439" s="49">
        <f t="shared" si="298"/>
        <v>50564.696077911081</v>
      </c>
      <c r="AA439" s="49">
        <f t="shared" si="298"/>
        <v>50564.696077911081</v>
      </c>
      <c r="AB439" s="49">
        <f t="shared" si="298"/>
        <v>50564.696077911081</v>
      </c>
      <c r="AC439" s="49">
        <f t="shared" si="298"/>
        <v>50564.696077911081</v>
      </c>
      <c r="AD439" s="49">
        <f t="shared" si="298"/>
        <v>50564.696077911081</v>
      </c>
      <c r="AE439" s="49">
        <f t="shared" si="298"/>
        <v>50564.696077911081</v>
      </c>
    </row>
    <row r="440" spans="3:31" x14ac:dyDescent="0.2">
      <c r="C440" s="5" t="str">
        <f>C391</f>
        <v>Operator - Casting bay</v>
      </c>
      <c r="D440" s="20"/>
      <c r="F440" s="1" t="s">
        <v>51</v>
      </c>
      <c r="I440" s="49">
        <f t="shared" ref="I440" si="299">I342+I391</f>
        <v>40754.485315038364</v>
      </c>
      <c r="J440" s="49">
        <f t="shared" ref="J440" si="300">J342+J391</f>
        <v>40754.485315038364</v>
      </c>
      <c r="K440" s="49">
        <f t="shared" ref="K440:AE440" si="301">K342+K391</f>
        <v>40754.485315038364</v>
      </c>
      <c r="L440" s="49">
        <f t="shared" si="301"/>
        <v>40754.485315038364</v>
      </c>
      <c r="M440" s="49">
        <f t="shared" si="301"/>
        <v>40754.485315038364</v>
      </c>
      <c r="N440" s="49">
        <f t="shared" si="301"/>
        <v>40754.485315038364</v>
      </c>
      <c r="O440" s="49">
        <f t="shared" si="301"/>
        <v>40754.485315038364</v>
      </c>
      <c r="P440" s="49">
        <f t="shared" si="301"/>
        <v>40754.485315038364</v>
      </c>
      <c r="Q440" s="49">
        <f t="shared" si="301"/>
        <v>40754.485315038364</v>
      </c>
      <c r="R440" s="49">
        <f t="shared" si="301"/>
        <v>40754.485315038364</v>
      </c>
      <c r="S440" s="49">
        <f t="shared" si="301"/>
        <v>40754.485315038364</v>
      </c>
      <c r="T440" s="49">
        <f t="shared" si="301"/>
        <v>40754.485315038364</v>
      </c>
      <c r="U440" s="49">
        <f t="shared" si="301"/>
        <v>40754.485315038364</v>
      </c>
      <c r="V440" s="49">
        <f t="shared" si="301"/>
        <v>40754.485315038364</v>
      </c>
      <c r="W440" s="49">
        <f t="shared" si="301"/>
        <v>40754.485315038364</v>
      </c>
      <c r="X440" s="49">
        <f t="shared" si="301"/>
        <v>40754.485315038364</v>
      </c>
      <c r="Y440" s="49">
        <f t="shared" si="301"/>
        <v>40754.485315038364</v>
      </c>
      <c r="Z440" s="49">
        <f t="shared" si="301"/>
        <v>40754.485315038364</v>
      </c>
      <c r="AA440" s="49">
        <f t="shared" si="301"/>
        <v>40754.485315038364</v>
      </c>
      <c r="AB440" s="49">
        <f t="shared" si="301"/>
        <v>40754.485315038364</v>
      </c>
      <c r="AC440" s="49">
        <f t="shared" si="301"/>
        <v>40754.485315038364</v>
      </c>
      <c r="AD440" s="49">
        <f t="shared" si="301"/>
        <v>40754.485315038364</v>
      </c>
      <c r="AE440" s="49">
        <f t="shared" si="301"/>
        <v>40754.485315038364</v>
      </c>
    </row>
    <row r="441" spans="3:31" x14ac:dyDescent="0.2">
      <c r="C441" s="5"/>
      <c r="D441" s="20"/>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3:31" x14ac:dyDescent="0.2">
      <c r="C442" s="47" t="str">
        <f>C393</f>
        <v>HYL</v>
      </c>
      <c r="D442" s="20"/>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3:31" x14ac:dyDescent="0.2">
      <c r="C443" s="5" t="str">
        <f>C394</f>
        <v>Manager of HYL Production</v>
      </c>
      <c r="D443" s="20"/>
      <c r="F443" s="1" t="s">
        <v>51</v>
      </c>
      <c r="I443" s="49">
        <f t="shared" ref="I443" si="302">I345+I394</f>
        <v>153597.76313102111</v>
      </c>
      <c r="J443" s="49">
        <f t="shared" ref="J443" si="303">J345+J394</f>
        <v>153597.76313102111</v>
      </c>
      <c r="K443" s="49">
        <f t="shared" ref="K443:AE443" si="304">K345+K394</f>
        <v>153597.76313102111</v>
      </c>
      <c r="L443" s="49">
        <f t="shared" si="304"/>
        <v>153597.76313102111</v>
      </c>
      <c r="M443" s="49">
        <f t="shared" si="304"/>
        <v>153597.76313102111</v>
      </c>
      <c r="N443" s="49">
        <f t="shared" si="304"/>
        <v>153597.76313102111</v>
      </c>
      <c r="O443" s="49">
        <f t="shared" si="304"/>
        <v>153597.76313102111</v>
      </c>
      <c r="P443" s="49">
        <f t="shared" si="304"/>
        <v>153597.76313102111</v>
      </c>
      <c r="Q443" s="49">
        <f t="shared" si="304"/>
        <v>153597.76313102111</v>
      </c>
      <c r="R443" s="49">
        <f t="shared" si="304"/>
        <v>153597.76313102111</v>
      </c>
      <c r="S443" s="49">
        <f t="shared" si="304"/>
        <v>153597.76313102111</v>
      </c>
      <c r="T443" s="49">
        <f t="shared" si="304"/>
        <v>153597.76313102111</v>
      </c>
      <c r="U443" s="49">
        <f t="shared" si="304"/>
        <v>153597.76313102111</v>
      </c>
      <c r="V443" s="49">
        <f t="shared" si="304"/>
        <v>153597.76313102111</v>
      </c>
      <c r="W443" s="49">
        <f t="shared" si="304"/>
        <v>153597.76313102111</v>
      </c>
      <c r="X443" s="49">
        <f t="shared" si="304"/>
        <v>153597.76313102111</v>
      </c>
      <c r="Y443" s="49">
        <f t="shared" si="304"/>
        <v>153597.76313102111</v>
      </c>
      <c r="Z443" s="49">
        <f t="shared" si="304"/>
        <v>153597.76313102111</v>
      </c>
      <c r="AA443" s="49">
        <f t="shared" si="304"/>
        <v>153597.76313102111</v>
      </c>
      <c r="AB443" s="49">
        <f t="shared" si="304"/>
        <v>153597.76313102111</v>
      </c>
      <c r="AC443" s="49">
        <f t="shared" si="304"/>
        <v>153597.76313102111</v>
      </c>
      <c r="AD443" s="49">
        <f t="shared" si="304"/>
        <v>153597.76313102111</v>
      </c>
      <c r="AE443" s="49">
        <f t="shared" si="304"/>
        <v>153597.76313102111</v>
      </c>
    </row>
    <row r="444" spans="3:31" x14ac:dyDescent="0.2">
      <c r="C444" s="5" t="str">
        <f>C395</f>
        <v>Supervisor/Team Leader of HYL</v>
      </c>
      <c r="D444" s="20"/>
      <c r="F444" s="1" t="s">
        <v>51</v>
      </c>
      <c r="I444" s="49">
        <f t="shared" ref="I444" si="305">I346+I395</f>
        <v>67909.590444012865</v>
      </c>
      <c r="J444" s="49">
        <f t="shared" ref="J444" si="306">J346+J395</f>
        <v>67909.590444012865</v>
      </c>
      <c r="K444" s="49">
        <f t="shared" ref="K444:AE444" si="307">K346+K395</f>
        <v>67909.590444012865</v>
      </c>
      <c r="L444" s="49">
        <f t="shared" si="307"/>
        <v>67909.590444012865</v>
      </c>
      <c r="M444" s="49">
        <f t="shared" si="307"/>
        <v>67909.590444012865</v>
      </c>
      <c r="N444" s="49">
        <f t="shared" si="307"/>
        <v>67909.590444012865</v>
      </c>
      <c r="O444" s="49">
        <f t="shared" si="307"/>
        <v>67909.590444012865</v>
      </c>
      <c r="P444" s="49">
        <f t="shared" si="307"/>
        <v>67909.590444012865</v>
      </c>
      <c r="Q444" s="49">
        <f t="shared" si="307"/>
        <v>67909.590444012865</v>
      </c>
      <c r="R444" s="49">
        <f t="shared" si="307"/>
        <v>67909.590444012865</v>
      </c>
      <c r="S444" s="49">
        <f t="shared" si="307"/>
        <v>67909.590444012865</v>
      </c>
      <c r="T444" s="49">
        <f t="shared" si="307"/>
        <v>67909.590444012865</v>
      </c>
      <c r="U444" s="49">
        <f t="shared" si="307"/>
        <v>67909.590444012865</v>
      </c>
      <c r="V444" s="49">
        <f t="shared" si="307"/>
        <v>67909.590444012865</v>
      </c>
      <c r="W444" s="49">
        <f t="shared" si="307"/>
        <v>67909.590444012865</v>
      </c>
      <c r="X444" s="49">
        <f t="shared" si="307"/>
        <v>67909.590444012865</v>
      </c>
      <c r="Y444" s="49">
        <f t="shared" si="307"/>
        <v>67909.590444012865</v>
      </c>
      <c r="Z444" s="49">
        <f t="shared" si="307"/>
        <v>67909.590444012865</v>
      </c>
      <c r="AA444" s="49">
        <f t="shared" si="307"/>
        <v>67909.590444012865</v>
      </c>
      <c r="AB444" s="49">
        <f t="shared" si="307"/>
        <v>67909.590444012865</v>
      </c>
      <c r="AC444" s="49">
        <f t="shared" si="307"/>
        <v>67909.590444012865</v>
      </c>
      <c r="AD444" s="49">
        <f t="shared" si="307"/>
        <v>67909.590444012865</v>
      </c>
      <c r="AE444" s="49">
        <f t="shared" si="307"/>
        <v>67909.590444012865</v>
      </c>
    </row>
    <row r="445" spans="3:31" x14ac:dyDescent="0.2">
      <c r="C445" s="5" t="str">
        <f>C396</f>
        <v>Senior Operator - Mechanical</v>
      </c>
      <c r="D445" s="20"/>
      <c r="F445" s="1" t="s">
        <v>51</v>
      </c>
      <c r="I445" s="49">
        <f t="shared" ref="I445" si="308">I347+I396</f>
        <v>56984.400353375633</v>
      </c>
      <c r="J445" s="49">
        <f t="shared" ref="J445" si="309">J347+J396</f>
        <v>56984.400353375633</v>
      </c>
      <c r="K445" s="49">
        <f t="shared" ref="K445:AE445" si="310">K347+K396</f>
        <v>56984.400353375633</v>
      </c>
      <c r="L445" s="49">
        <f t="shared" si="310"/>
        <v>56984.400353375633</v>
      </c>
      <c r="M445" s="49">
        <f t="shared" si="310"/>
        <v>56984.400353375633</v>
      </c>
      <c r="N445" s="49">
        <f t="shared" si="310"/>
        <v>56984.400353375633</v>
      </c>
      <c r="O445" s="49">
        <f t="shared" si="310"/>
        <v>56984.400353375633</v>
      </c>
      <c r="P445" s="49">
        <f t="shared" si="310"/>
        <v>56984.400353375633</v>
      </c>
      <c r="Q445" s="49">
        <f t="shared" si="310"/>
        <v>56984.400353375633</v>
      </c>
      <c r="R445" s="49">
        <f t="shared" si="310"/>
        <v>56984.400353375633</v>
      </c>
      <c r="S445" s="49">
        <f t="shared" si="310"/>
        <v>56984.400353375633</v>
      </c>
      <c r="T445" s="49">
        <f t="shared" si="310"/>
        <v>56984.400353375633</v>
      </c>
      <c r="U445" s="49">
        <f t="shared" si="310"/>
        <v>56984.400353375633</v>
      </c>
      <c r="V445" s="49">
        <f t="shared" si="310"/>
        <v>56984.400353375633</v>
      </c>
      <c r="W445" s="49">
        <f t="shared" si="310"/>
        <v>56984.400353375633</v>
      </c>
      <c r="X445" s="49">
        <f t="shared" si="310"/>
        <v>56984.400353375633</v>
      </c>
      <c r="Y445" s="49">
        <f t="shared" si="310"/>
        <v>56984.400353375633</v>
      </c>
      <c r="Z445" s="49">
        <f t="shared" si="310"/>
        <v>56984.400353375633</v>
      </c>
      <c r="AA445" s="49">
        <f t="shared" si="310"/>
        <v>56984.400353375633</v>
      </c>
      <c r="AB445" s="49">
        <f t="shared" si="310"/>
        <v>56984.400353375633</v>
      </c>
      <c r="AC445" s="49">
        <f t="shared" si="310"/>
        <v>56984.400353375633</v>
      </c>
      <c r="AD445" s="49">
        <f t="shared" si="310"/>
        <v>56984.400353375633</v>
      </c>
      <c r="AE445" s="49">
        <f t="shared" si="310"/>
        <v>56984.400353375633</v>
      </c>
    </row>
    <row r="446" spans="3:31" x14ac:dyDescent="0.2">
      <c r="C446" s="5" t="str">
        <f>C397</f>
        <v>Operator</v>
      </c>
      <c r="D446" s="20"/>
      <c r="F446" s="1" t="s">
        <v>51</v>
      </c>
      <c r="I446" s="49">
        <f t="shared" ref="I446" si="311">I348+I397</f>
        <v>40754.485315038364</v>
      </c>
      <c r="J446" s="49">
        <f t="shared" ref="J446" si="312">J348+J397</f>
        <v>40754.485315038364</v>
      </c>
      <c r="K446" s="49">
        <f t="shared" ref="K446:AE446" si="313">K348+K397</f>
        <v>40754.485315038364</v>
      </c>
      <c r="L446" s="49">
        <f t="shared" si="313"/>
        <v>40754.485315038364</v>
      </c>
      <c r="M446" s="49">
        <f t="shared" si="313"/>
        <v>40754.485315038364</v>
      </c>
      <c r="N446" s="49">
        <f t="shared" si="313"/>
        <v>40754.485315038364</v>
      </c>
      <c r="O446" s="49">
        <f t="shared" si="313"/>
        <v>40754.485315038364</v>
      </c>
      <c r="P446" s="49">
        <f t="shared" si="313"/>
        <v>40754.485315038364</v>
      </c>
      <c r="Q446" s="49">
        <f t="shared" si="313"/>
        <v>40754.485315038364</v>
      </c>
      <c r="R446" s="49">
        <f t="shared" si="313"/>
        <v>40754.485315038364</v>
      </c>
      <c r="S446" s="49">
        <f t="shared" si="313"/>
        <v>40754.485315038364</v>
      </c>
      <c r="T446" s="49">
        <f t="shared" si="313"/>
        <v>40754.485315038364</v>
      </c>
      <c r="U446" s="49">
        <f t="shared" si="313"/>
        <v>40754.485315038364</v>
      </c>
      <c r="V446" s="49">
        <f t="shared" si="313"/>
        <v>40754.485315038364</v>
      </c>
      <c r="W446" s="49">
        <f t="shared" si="313"/>
        <v>40754.485315038364</v>
      </c>
      <c r="X446" s="49">
        <f t="shared" si="313"/>
        <v>40754.485315038364</v>
      </c>
      <c r="Y446" s="49">
        <f t="shared" si="313"/>
        <v>40754.485315038364</v>
      </c>
      <c r="Z446" s="49">
        <f t="shared" si="313"/>
        <v>40754.485315038364</v>
      </c>
      <c r="AA446" s="49">
        <f t="shared" si="313"/>
        <v>40754.485315038364</v>
      </c>
      <c r="AB446" s="49">
        <f t="shared" si="313"/>
        <v>40754.485315038364</v>
      </c>
      <c r="AC446" s="49">
        <f t="shared" si="313"/>
        <v>40754.485315038364</v>
      </c>
      <c r="AD446" s="49">
        <f t="shared" si="313"/>
        <v>40754.485315038364</v>
      </c>
      <c r="AE446" s="49">
        <f t="shared" si="313"/>
        <v>40754.485315038364</v>
      </c>
    </row>
    <row r="447" spans="3:31" x14ac:dyDescent="0.2">
      <c r="C447" s="5"/>
      <c r="D447" s="20"/>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3:31" x14ac:dyDescent="0.2">
      <c r="C448" s="47" t="str">
        <f>C399</f>
        <v>Cold Processing</v>
      </c>
      <c r="D448" s="20"/>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3:31" x14ac:dyDescent="0.2">
      <c r="C449" s="5" t="str">
        <f>C400</f>
        <v>Manager of Cold Processing Production</v>
      </c>
      <c r="D449" s="20"/>
      <c r="F449" s="1" t="s">
        <v>51</v>
      </c>
      <c r="I449" s="49">
        <f t="shared" ref="I449" si="314">I351+I400</f>
        <v>153597.76313102111</v>
      </c>
      <c r="J449" s="49">
        <f t="shared" ref="J449" si="315">J351+J400</f>
        <v>153597.76313102111</v>
      </c>
      <c r="K449" s="49">
        <f t="shared" ref="K449:AE449" si="316">K351+K400</f>
        <v>153597.76313102111</v>
      </c>
      <c r="L449" s="49">
        <f t="shared" si="316"/>
        <v>153597.76313102111</v>
      </c>
      <c r="M449" s="49">
        <f t="shared" si="316"/>
        <v>153597.76313102111</v>
      </c>
      <c r="N449" s="49">
        <f t="shared" si="316"/>
        <v>153597.76313102111</v>
      </c>
      <c r="O449" s="49">
        <f t="shared" si="316"/>
        <v>153597.76313102111</v>
      </c>
      <c r="P449" s="49">
        <f t="shared" si="316"/>
        <v>153597.76313102111</v>
      </c>
      <c r="Q449" s="49">
        <f t="shared" si="316"/>
        <v>153597.76313102111</v>
      </c>
      <c r="R449" s="49">
        <f t="shared" si="316"/>
        <v>153597.76313102111</v>
      </c>
      <c r="S449" s="49">
        <f t="shared" si="316"/>
        <v>153597.76313102111</v>
      </c>
      <c r="T449" s="49">
        <f t="shared" si="316"/>
        <v>153597.76313102111</v>
      </c>
      <c r="U449" s="49">
        <f t="shared" si="316"/>
        <v>153597.76313102111</v>
      </c>
      <c r="V449" s="49">
        <f t="shared" si="316"/>
        <v>153597.76313102111</v>
      </c>
      <c r="W449" s="49">
        <f t="shared" si="316"/>
        <v>153597.76313102111</v>
      </c>
      <c r="X449" s="49">
        <f t="shared" si="316"/>
        <v>153597.76313102111</v>
      </c>
      <c r="Y449" s="49">
        <f t="shared" si="316"/>
        <v>153597.76313102111</v>
      </c>
      <c r="Z449" s="49">
        <f t="shared" si="316"/>
        <v>153597.76313102111</v>
      </c>
      <c r="AA449" s="49">
        <f t="shared" si="316"/>
        <v>153597.76313102111</v>
      </c>
      <c r="AB449" s="49">
        <f t="shared" si="316"/>
        <v>153597.76313102111</v>
      </c>
      <c r="AC449" s="49">
        <f t="shared" si="316"/>
        <v>153597.76313102111</v>
      </c>
      <c r="AD449" s="49">
        <f t="shared" si="316"/>
        <v>153597.76313102111</v>
      </c>
      <c r="AE449" s="49">
        <f t="shared" si="316"/>
        <v>153597.76313102111</v>
      </c>
    </row>
    <row r="450" spans="3:31" x14ac:dyDescent="0.2">
      <c r="C450" s="5" t="str">
        <f>C401</f>
        <v xml:space="preserve">Senior Operator </v>
      </c>
      <c r="D450" s="20"/>
      <c r="F450" s="1" t="s">
        <v>51</v>
      </c>
      <c r="I450" s="49">
        <f t="shared" ref="I450" si="317">I352+I401</f>
        <v>51521.805308057017</v>
      </c>
      <c r="J450" s="49">
        <f t="shared" ref="J450" si="318">J352+J401</f>
        <v>51521.805308057017</v>
      </c>
      <c r="K450" s="49">
        <f t="shared" ref="K450:AE450" si="319">K352+K401</f>
        <v>51521.805308057017</v>
      </c>
      <c r="L450" s="49">
        <f t="shared" si="319"/>
        <v>51521.805308057017</v>
      </c>
      <c r="M450" s="49">
        <f t="shared" si="319"/>
        <v>51521.805308057017</v>
      </c>
      <c r="N450" s="49">
        <f t="shared" si="319"/>
        <v>51521.805308057017</v>
      </c>
      <c r="O450" s="49">
        <f t="shared" si="319"/>
        <v>51521.805308057017</v>
      </c>
      <c r="P450" s="49">
        <f t="shared" si="319"/>
        <v>51521.805308057017</v>
      </c>
      <c r="Q450" s="49">
        <f t="shared" si="319"/>
        <v>51521.805308057017</v>
      </c>
      <c r="R450" s="49">
        <f t="shared" si="319"/>
        <v>51521.805308057017</v>
      </c>
      <c r="S450" s="49">
        <f t="shared" si="319"/>
        <v>51521.805308057017</v>
      </c>
      <c r="T450" s="49">
        <f t="shared" si="319"/>
        <v>51521.805308057017</v>
      </c>
      <c r="U450" s="49">
        <f t="shared" si="319"/>
        <v>51521.805308057017</v>
      </c>
      <c r="V450" s="49">
        <f t="shared" si="319"/>
        <v>51521.805308057017</v>
      </c>
      <c r="W450" s="49">
        <f t="shared" si="319"/>
        <v>51521.805308057017</v>
      </c>
      <c r="X450" s="49">
        <f t="shared" si="319"/>
        <v>51521.805308057017</v>
      </c>
      <c r="Y450" s="49">
        <f t="shared" si="319"/>
        <v>51521.805308057017</v>
      </c>
      <c r="Z450" s="49">
        <f t="shared" si="319"/>
        <v>51521.805308057017</v>
      </c>
      <c r="AA450" s="49">
        <f t="shared" si="319"/>
        <v>51521.805308057017</v>
      </c>
      <c r="AB450" s="49">
        <f t="shared" si="319"/>
        <v>51521.805308057017</v>
      </c>
      <c r="AC450" s="49">
        <f t="shared" si="319"/>
        <v>51521.805308057017</v>
      </c>
      <c r="AD450" s="49">
        <f t="shared" si="319"/>
        <v>51521.805308057017</v>
      </c>
      <c r="AE450" s="49">
        <f t="shared" si="319"/>
        <v>51521.805308057017</v>
      </c>
    </row>
    <row r="451" spans="3:31" x14ac:dyDescent="0.2">
      <c r="C451" s="5" t="str">
        <f>C402</f>
        <v>Operator</v>
      </c>
      <c r="D451" s="20"/>
      <c r="F451" s="1" t="s">
        <v>51</v>
      </c>
      <c r="I451" s="49">
        <f t="shared" ref="I451" si="320">I353+I402</f>
        <v>42574.794407894733</v>
      </c>
      <c r="J451" s="49">
        <f t="shared" ref="J451" si="321">J353+J402</f>
        <v>42574.794407894733</v>
      </c>
      <c r="K451" s="49">
        <f t="shared" ref="K451:AE451" si="322">K353+K402</f>
        <v>42574.794407894733</v>
      </c>
      <c r="L451" s="49">
        <f t="shared" si="322"/>
        <v>42574.794407894733</v>
      </c>
      <c r="M451" s="49">
        <f t="shared" si="322"/>
        <v>42574.794407894733</v>
      </c>
      <c r="N451" s="49">
        <f t="shared" si="322"/>
        <v>42574.794407894733</v>
      </c>
      <c r="O451" s="49">
        <f t="shared" si="322"/>
        <v>42574.794407894733</v>
      </c>
      <c r="P451" s="49">
        <f t="shared" si="322"/>
        <v>42574.794407894733</v>
      </c>
      <c r="Q451" s="49">
        <f t="shared" si="322"/>
        <v>42574.794407894733</v>
      </c>
      <c r="R451" s="49">
        <f t="shared" si="322"/>
        <v>42574.794407894733</v>
      </c>
      <c r="S451" s="49">
        <f t="shared" si="322"/>
        <v>42574.794407894733</v>
      </c>
      <c r="T451" s="49">
        <f t="shared" si="322"/>
        <v>42574.794407894733</v>
      </c>
      <c r="U451" s="49">
        <f t="shared" si="322"/>
        <v>42574.794407894733</v>
      </c>
      <c r="V451" s="49">
        <f t="shared" si="322"/>
        <v>42574.794407894733</v>
      </c>
      <c r="W451" s="49">
        <f t="shared" si="322"/>
        <v>42574.794407894733</v>
      </c>
      <c r="X451" s="49">
        <f t="shared" si="322"/>
        <v>42574.794407894733</v>
      </c>
      <c r="Y451" s="49">
        <f t="shared" si="322"/>
        <v>42574.794407894733</v>
      </c>
      <c r="Z451" s="49">
        <f t="shared" si="322"/>
        <v>42574.794407894733</v>
      </c>
      <c r="AA451" s="49">
        <f t="shared" si="322"/>
        <v>42574.794407894733</v>
      </c>
      <c r="AB451" s="49">
        <f t="shared" si="322"/>
        <v>42574.794407894733</v>
      </c>
      <c r="AC451" s="49">
        <f t="shared" si="322"/>
        <v>42574.794407894733</v>
      </c>
      <c r="AD451" s="49">
        <f t="shared" si="322"/>
        <v>42574.794407894733</v>
      </c>
      <c r="AE451" s="49">
        <f t="shared" si="322"/>
        <v>42574.794407894733</v>
      </c>
    </row>
    <row r="452" spans="3:31" x14ac:dyDescent="0.2">
      <c r="C452" s="5"/>
      <c r="D452" s="20"/>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3:31" x14ac:dyDescent="0.2">
      <c r="C453" s="47" t="str">
        <f t="shared" ref="C453:C460" si="323">C404</f>
        <v>Shared Personnel</v>
      </c>
      <c r="D453" s="20"/>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3:31" x14ac:dyDescent="0.2">
      <c r="C454" s="5" t="str">
        <f t="shared" si="323"/>
        <v>Maintenance Manager</v>
      </c>
      <c r="D454" s="20"/>
      <c r="F454" s="1" t="s">
        <v>51</v>
      </c>
      <c r="I454" s="49">
        <f t="shared" ref="I454" si="324">I356+I405</f>
        <v>125003.59290334916</v>
      </c>
      <c r="J454" s="49">
        <f t="shared" ref="J454" si="325">J356+J405</f>
        <v>125003.59290334916</v>
      </c>
      <c r="K454" s="49">
        <f t="shared" ref="K454:AE454" si="326">K356+K405</f>
        <v>125003.59290334916</v>
      </c>
      <c r="L454" s="49">
        <f t="shared" si="326"/>
        <v>125003.59290334916</v>
      </c>
      <c r="M454" s="49">
        <f t="shared" si="326"/>
        <v>125003.59290334916</v>
      </c>
      <c r="N454" s="49">
        <f t="shared" si="326"/>
        <v>125003.59290334916</v>
      </c>
      <c r="O454" s="49">
        <f t="shared" si="326"/>
        <v>125003.59290334916</v>
      </c>
      <c r="P454" s="49">
        <f t="shared" si="326"/>
        <v>125003.59290334916</v>
      </c>
      <c r="Q454" s="49">
        <f t="shared" si="326"/>
        <v>125003.59290334916</v>
      </c>
      <c r="R454" s="49">
        <f t="shared" si="326"/>
        <v>125003.59290334916</v>
      </c>
      <c r="S454" s="49">
        <f t="shared" si="326"/>
        <v>125003.59290334916</v>
      </c>
      <c r="T454" s="49">
        <f t="shared" si="326"/>
        <v>125003.59290334916</v>
      </c>
      <c r="U454" s="49">
        <f t="shared" si="326"/>
        <v>125003.59290334916</v>
      </c>
      <c r="V454" s="49">
        <f t="shared" si="326"/>
        <v>125003.59290334916</v>
      </c>
      <c r="W454" s="49">
        <f t="shared" si="326"/>
        <v>125003.59290334916</v>
      </c>
      <c r="X454" s="49">
        <f t="shared" si="326"/>
        <v>125003.59290334916</v>
      </c>
      <c r="Y454" s="49">
        <f t="shared" si="326"/>
        <v>125003.59290334916</v>
      </c>
      <c r="Z454" s="49">
        <f t="shared" si="326"/>
        <v>125003.59290334916</v>
      </c>
      <c r="AA454" s="49">
        <f t="shared" si="326"/>
        <v>125003.59290334916</v>
      </c>
      <c r="AB454" s="49">
        <f t="shared" si="326"/>
        <v>125003.59290334916</v>
      </c>
      <c r="AC454" s="49">
        <f t="shared" si="326"/>
        <v>125003.59290334916</v>
      </c>
      <c r="AD454" s="49">
        <f t="shared" si="326"/>
        <v>125003.59290334916</v>
      </c>
      <c r="AE454" s="49">
        <f t="shared" si="326"/>
        <v>125003.59290334916</v>
      </c>
    </row>
    <row r="455" spans="3:31" x14ac:dyDescent="0.2">
      <c r="C455" s="5" t="str">
        <f t="shared" si="323"/>
        <v>Mechanical Engineer</v>
      </c>
      <c r="D455" s="20"/>
      <c r="F455" s="1" t="s">
        <v>51</v>
      </c>
      <c r="I455" s="49">
        <f t="shared" ref="I455" si="327">I357+I406</f>
        <v>92061.663154606926</v>
      </c>
      <c r="J455" s="49">
        <f t="shared" ref="J455" si="328">J357+J406</f>
        <v>92061.663154606926</v>
      </c>
      <c r="K455" s="49">
        <f t="shared" ref="K455:AE455" si="329">K357+K406</f>
        <v>92061.663154606926</v>
      </c>
      <c r="L455" s="49">
        <f t="shared" si="329"/>
        <v>92061.663154606926</v>
      </c>
      <c r="M455" s="49">
        <f t="shared" si="329"/>
        <v>92061.663154606926</v>
      </c>
      <c r="N455" s="49">
        <f t="shared" si="329"/>
        <v>92061.663154606926</v>
      </c>
      <c r="O455" s="49">
        <f t="shared" si="329"/>
        <v>92061.663154606926</v>
      </c>
      <c r="P455" s="49">
        <f t="shared" si="329"/>
        <v>92061.663154606926</v>
      </c>
      <c r="Q455" s="49">
        <f t="shared" si="329"/>
        <v>92061.663154606926</v>
      </c>
      <c r="R455" s="49">
        <f t="shared" si="329"/>
        <v>92061.663154606926</v>
      </c>
      <c r="S455" s="49">
        <f t="shared" si="329"/>
        <v>92061.663154606926</v>
      </c>
      <c r="T455" s="49">
        <f t="shared" si="329"/>
        <v>92061.663154606926</v>
      </c>
      <c r="U455" s="49">
        <f t="shared" si="329"/>
        <v>92061.663154606926</v>
      </c>
      <c r="V455" s="49">
        <f t="shared" si="329"/>
        <v>92061.663154606926</v>
      </c>
      <c r="W455" s="49">
        <f t="shared" si="329"/>
        <v>92061.663154606926</v>
      </c>
      <c r="X455" s="49">
        <f t="shared" si="329"/>
        <v>92061.663154606926</v>
      </c>
      <c r="Y455" s="49">
        <f t="shared" si="329"/>
        <v>92061.663154606926</v>
      </c>
      <c r="Z455" s="49">
        <f t="shared" si="329"/>
        <v>92061.663154606926</v>
      </c>
      <c r="AA455" s="49">
        <f t="shared" si="329"/>
        <v>92061.663154606926</v>
      </c>
      <c r="AB455" s="49">
        <f t="shared" si="329"/>
        <v>92061.663154606926</v>
      </c>
      <c r="AC455" s="49">
        <f t="shared" si="329"/>
        <v>92061.663154606926</v>
      </c>
      <c r="AD455" s="49">
        <f t="shared" si="329"/>
        <v>92061.663154606926</v>
      </c>
      <c r="AE455" s="49">
        <f t="shared" si="329"/>
        <v>92061.663154606926</v>
      </c>
    </row>
    <row r="456" spans="3:31" x14ac:dyDescent="0.2">
      <c r="C456" s="5" t="str">
        <f t="shared" si="323"/>
        <v>Electrical Engineer</v>
      </c>
      <c r="D456" s="20"/>
      <c r="F456" s="1" t="s">
        <v>51</v>
      </c>
      <c r="I456" s="49">
        <f t="shared" ref="I456" si="330">I358+I407</f>
        <v>92061.663154606926</v>
      </c>
      <c r="J456" s="49">
        <f t="shared" ref="J456" si="331">J358+J407</f>
        <v>92061.663154606926</v>
      </c>
      <c r="K456" s="49">
        <f t="shared" ref="K456:AE456" si="332">K358+K407</f>
        <v>92061.663154606926</v>
      </c>
      <c r="L456" s="49">
        <f t="shared" si="332"/>
        <v>92061.663154606926</v>
      </c>
      <c r="M456" s="49">
        <f t="shared" si="332"/>
        <v>92061.663154606926</v>
      </c>
      <c r="N456" s="49">
        <f t="shared" si="332"/>
        <v>92061.663154606926</v>
      </c>
      <c r="O456" s="49">
        <f t="shared" si="332"/>
        <v>92061.663154606926</v>
      </c>
      <c r="P456" s="49">
        <f t="shared" si="332"/>
        <v>92061.663154606926</v>
      </c>
      <c r="Q456" s="49">
        <f t="shared" si="332"/>
        <v>92061.663154606926</v>
      </c>
      <c r="R456" s="49">
        <f t="shared" si="332"/>
        <v>92061.663154606926</v>
      </c>
      <c r="S456" s="49">
        <f t="shared" si="332"/>
        <v>92061.663154606926</v>
      </c>
      <c r="T456" s="49">
        <f t="shared" si="332"/>
        <v>92061.663154606926</v>
      </c>
      <c r="U456" s="49">
        <f t="shared" si="332"/>
        <v>92061.663154606926</v>
      </c>
      <c r="V456" s="49">
        <f t="shared" si="332"/>
        <v>92061.663154606926</v>
      </c>
      <c r="W456" s="49">
        <f t="shared" si="332"/>
        <v>92061.663154606926</v>
      </c>
      <c r="X456" s="49">
        <f t="shared" si="332"/>
        <v>92061.663154606926</v>
      </c>
      <c r="Y456" s="49">
        <f t="shared" si="332"/>
        <v>92061.663154606926</v>
      </c>
      <c r="Z456" s="49">
        <f t="shared" si="332"/>
        <v>92061.663154606926</v>
      </c>
      <c r="AA456" s="49">
        <f t="shared" si="332"/>
        <v>92061.663154606926</v>
      </c>
      <c r="AB456" s="49">
        <f t="shared" si="332"/>
        <v>92061.663154606926</v>
      </c>
      <c r="AC456" s="49">
        <f t="shared" si="332"/>
        <v>92061.663154606926</v>
      </c>
      <c r="AD456" s="49">
        <f t="shared" si="332"/>
        <v>92061.663154606926</v>
      </c>
      <c r="AE456" s="49">
        <f t="shared" si="332"/>
        <v>92061.663154606926</v>
      </c>
    </row>
    <row r="457" spans="3:31" x14ac:dyDescent="0.2">
      <c r="C457" s="5" t="str">
        <f t="shared" si="323"/>
        <v>Information Systems Technician</v>
      </c>
      <c r="D457" s="20"/>
      <c r="F457" s="1" t="s">
        <v>51</v>
      </c>
      <c r="I457" s="49">
        <f t="shared" ref="I457" si="333">I359+I408</f>
        <v>67909.590444012865</v>
      </c>
      <c r="J457" s="49">
        <f t="shared" ref="J457" si="334">J359+J408</f>
        <v>67909.590444012865</v>
      </c>
      <c r="K457" s="49">
        <f t="shared" ref="K457:AE457" si="335">K359+K408</f>
        <v>67909.590444012865</v>
      </c>
      <c r="L457" s="49">
        <f t="shared" si="335"/>
        <v>67909.590444012865</v>
      </c>
      <c r="M457" s="49">
        <f t="shared" si="335"/>
        <v>67909.590444012865</v>
      </c>
      <c r="N457" s="49">
        <f t="shared" si="335"/>
        <v>67909.590444012865</v>
      </c>
      <c r="O457" s="49">
        <f t="shared" si="335"/>
        <v>67909.590444012865</v>
      </c>
      <c r="P457" s="49">
        <f t="shared" si="335"/>
        <v>67909.590444012865</v>
      </c>
      <c r="Q457" s="49">
        <f t="shared" si="335"/>
        <v>67909.590444012865</v>
      </c>
      <c r="R457" s="49">
        <f t="shared" si="335"/>
        <v>67909.590444012865</v>
      </c>
      <c r="S457" s="49">
        <f t="shared" si="335"/>
        <v>67909.590444012865</v>
      </c>
      <c r="T457" s="49">
        <f t="shared" si="335"/>
        <v>67909.590444012865</v>
      </c>
      <c r="U457" s="49">
        <f t="shared" si="335"/>
        <v>67909.590444012865</v>
      </c>
      <c r="V457" s="49">
        <f t="shared" si="335"/>
        <v>67909.590444012865</v>
      </c>
      <c r="W457" s="49">
        <f t="shared" si="335"/>
        <v>67909.590444012865</v>
      </c>
      <c r="X457" s="49">
        <f t="shared" si="335"/>
        <v>67909.590444012865</v>
      </c>
      <c r="Y457" s="49">
        <f t="shared" si="335"/>
        <v>67909.590444012865</v>
      </c>
      <c r="Z457" s="49">
        <f t="shared" si="335"/>
        <v>67909.590444012865</v>
      </c>
      <c r="AA457" s="49">
        <f t="shared" si="335"/>
        <v>67909.590444012865</v>
      </c>
      <c r="AB457" s="49">
        <f t="shared" si="335"/>
        <v>67909.590444012865</v>
      </c>
      <c r="AC457" s="49">
        <f t="shared" si="335"/>
        <v>67909.590444012865</v>
      </c>
      <c r="AD457" s="49">
        <f t="shared" si="335"/>
        <v>67909.590444012865</v>
      </c>
      <c r="AE457" s="49">
        <f t="shared" si="335"/>
        <v>67909.590444012865</v>
      </c>
    </row>
    <row r="458" spans="3:31" x14ac:dyDescent="0.2">
      <c r="C458" s="5" t="str">
        <f t="shared" si="323"/>
        <v>Craft Maintenance - Electrical</v>
      </c>
      <c r="D458" s="20"/>
      <c r="F458" s="1" t="s">
        <v>51</v>
      </c>
      <c r="I458" s="49">
        <f t="shared" ref="I458" si="336">I360+I409</f>
        <v>56984.400353375633</v>
      </c>
      <c r="J458" s="49">
        <f t="shared" ref="J458" si="337">J360+J409</f>
        <v>56984.400353375633</v>
      </c>
      <c r="K458" s="49">
        <f t="shared" ref="K458:AE458" si="338">K360+K409</f>
        <v>56984.400353375633</v>
      </c>
      <c r="L458" s="49">
        <f t="shared" si="338"/>
        <v>56984.400353375633</v>
      </c>
      <c r="M458" s="49">
        <f t="shared" si="338"/>
        <v>56984.400353375633</v>
      </c>
      <c r="N458" s="49">
        <f t="shared" si="338"/>
        <v>56984.400353375633</v>
      </c>
      <c r="O458" s="49">
        <f t="shared" si="338"/>
        <v>56984.400353375633</v>
      </c>
      <c r="P458" s="49">
        <f t="shared" si="338"/>
        <v>56984.400353375633</v>
      </c>
      <c r="Q458" s="49">
        <f t="shared" si="338"/>
        <v>56984.400353375633</v>
      </c>
      <c r="R458" s="49">
        <f t="shared" si="338"/>
        <v>56984.400353375633</v>
      </c>
      <c r="S458" s="49">
        <f t="shared" si="338"/>
        <v>56984.400353375633</v>
      </c>
      <c r="T458" s="49">
        <f t="shared" si="338"/>
        <v>56984.400353375633</v>
      </c>
      <c r="U458" s="49">
        <f t="shared" si="338"/>
        <v>56984.400353375633</v>
      </c>
      <c r="V458" s="49">
        <f t="shared" si="338"/>
        <v>56984.400353375633</v>
      </c>
      <c r="W458" s="49">
        <f t="shared" si="338"/>
        <v>56984.400353375633</v>
      </c>
      <c r="X458" s="49">
        <f t="shared" si="338"/>
        <v>56984.400353375633</v>
      </c>
      <c r="Y458" s="49">
        <f t="shared" si="338"/>
        <v>56984.400353375633</v>
      </c>
      <c r="Z458" s="49">
        <f t="shared" si="338"/>
        <v>56984.400353375633</v>
      </c>
      <c r="AA458" s="49">
        <f t="shared" si="338"/>
        <v>56984.400353375633</v>
      </c>
      <c r="AB458" s="49">
        <f t="shared" si="338"/>
        <v>56984.400353375633</v>
      </c>
      <c r="AC458" s="49">
        <f t="shared" si="338"/>
        <v>56984.400353375633</v>
      </c>
      <c r="AD458" s="49">
        <f t="shared" si="338"/>
        <v>56984.400353375633</v>
      </c>
      <c r="AE458" s="49">
        <f t="shared" si="338"/>
        <v>56984.400353375633</v>
      </c>
    </row>
    <row r="459" spans="3:31" x14ac:dyDescent="0.2">
      <c r="C459" s="5" t="str">
        <f t="shared" si="323"/>
        <v>Craft Maintenance - Mechanical</v>
      </c>
      <c r="D459" s="20"/>
      <c r="F459" s="1" t="s">
        <v>51</v>
      </c>
      <c r="I459" s="49">
        <f t="shared" ref="I459" si="339">I361+I410</f>
        <v>56984.400353375633</v>
      </c>
      <c r="J459" s="49">
        <f t="shared" ref="J459" si="340">J361+J410</f>
        <v>56984.400353375633</v>
      </c>
      <c r="K459" s="49">
        <f t="shared" ref="K459:AE459" si="341">K361+K410</f>
        <v>56984.400353375633</v>
      </c>
      <c r="L459" s="49">
        <f t="shared" si="341"/>
        <v>56984.400353375633</v>
      </c>
      <c r="M459" s="49">
        <f t="shared" si="341"/>
        <v>56984.400353375633</v>
      </c>
      <c r="N459" s="49">
        <f t="shared" si="341"/>
        <v>56984.400353375633</v>
      </c>
      <c r="O459" s="49">
        <f t="shared" si="341"/>
        <v>56984.400353375633</v>
      </c>
      <c r="P459" s="49">
        <f t="shared" si="341"/>
        <v>56984.400353375633</v>
      </c>
      <c r="Q459" s="49">
        <f t="shared" si="341"/>
        <v>56984.400353375633</v>
      </c>
      <c r="R459" s="49">
        <f t="shared" si="341"/>
        <v>56984.400353375633</v>
      </c>
      <c r="S459" s="49">
        <f t="shared" si="341"/>
        <v>56984.400353375633</v>
      </c>
      <c r="T459" s="49">
        <f t="shared" si="341"/>
        <v>56984.400353375633</v>
      </c>
      <c r="U459" s="49">
        <f t="shared" si="341"/>
        <v>56984.400353375633</v>
      </c>
      <c r="V459" s="49">
        <f t="shared" si="341"/>
        <v>56984.400353375633</v>
      </c>
      <c r="W459" s="49">
        <f t="shared" si="341"/>
        <v>56984.400353375633</v>
      </c>
      <c r="X459" s="49">
        <f t="shared" si="341"/>
        <v>56984.400353375633</v>
      </c>
      <c r="Y459" s="49">
        <f t="shared" si="341"/>
        <v>56984.400353375633</v>
      </c>
      <c r="Z459" s="49">
        <f t="shared" si="341"/>
        <v>56984.400353375633</v>
      </c>
      <c r="AA459" s="49">
        <f t="shared" si="341"/>
        <v>56984.400353375633</v>
      </c>
      <c r="AB459" s="49">
        <f t="shared" si="341"/>
        <v>56984.400353375633</v>
      </c>
      <c r="AC459" s="49">
        <f t="shared" si="341"/>
        <v>56984.400353375633</v>
      </c>
      <c r="AD459" s="49">
        <f t="shared" si="341"/>
        <v>56984.400353375633</v>
      </c>
      <c r="AE459" s="49">
        <f t="shared" si="341"/>
        <v>56984.400353375633</v>
      </c>
    </row>
    <row r="460" spans="3:31" x14ac:dyDescent="0.2">
      <c r="C460" s="5" t="str">
        <f t="shared" si="323"/>
        <v>Quality Control Engineer</v>
      </c>
      <c r="D460" s="20"/>
      <c r="F460" s="1" t="s">
        <v>51</v>
      </c>
      <c r="I460" s="49">
        <f t="shared" ref="I460" si="342">I362+I411</f>
        <v>51521.805308057017</v>
      </c>
      <c r="J460" s="49">
        <f t="shared" ref="J460" si="343">J362+J411</f>
        <v>51521.805308057017</v>
      </c>
      <c r="K460" s="49">
        <f t="shared" ref="K460:AE460" si="344">K362+K411</f>
        <v>51521.805308057017</v>
      </c>
      <c r="L460" s="49">
        <f t="shared" si="344"/>
        <v>51521.805308057017</v>
      </c>
      <c r="M460" s="49">
        <f t="shared" si="344"/>
        <v>51521.805308057017</v>
      </c>
      <c r="N460" s="49">
        <f t="shared" si="344"/>
        <v>51521.805308057017</v>
      </c>
      <c r="O460" s="49">
        <f t="shared" si="344"/>
        <v>51521.805308057017</v>
      </c>
      <c r="P460" s="49">
        <f t="shared" si="344"/>
        <v>51521.805308057017</v>
      </c>
      <c r="Q460" s="49">
        <f t="shared" si="344"/>
        <v>51521.805308057017</v>
      </c>
      <c r="R460" s="49">
        <f t="shared" si="344"/>
        <v>51521.805308057017</v>
      </c>
      <c r="S460" s="49">
        <f t="shared" si="344"/>
        <v>51521.805308057017</v>
      </c>
      <c r="T460" s="49">
        <f t="shared" si="344"/>
        <v>51521.805308057017</v>
      </c>
      <c r="U460" s="49">
        <f t="shared" si="344"/>
        <v>51521.805308057017</v>
      </c>
      <c r="V460" s="49">
        <f t="shared" si="344"/>
        <v>51521.805308057017</v>
      </c>
      <c r="W460" s="49">
        <f t="shared" si="344"/>
        <v>51521.805308057017</v>
      </c>
      <c r="X460" s="49">
        <f t="shared" si="344"/>
        <v>51521.805308057017</v>
      </c>
      <c r="Y460" s="49">
        <f t="shared" si="344"/>
        <v>51521.805308057017</v>
      </c>
      <c r="Z460" s="49">
        <f t="shared" si="344"/>
        <v>51521.805308057017</v>
      </c>
      <c r="AA460" s="49">
        <f t="shared" si="344"/>
        <v>51521.805308057017</v>
      </c>
      <c r="AB460" s="49">
        <f t="shared" si="344"/>
        <v>51521.805308057017</v>
      </c>
      <c r="AC460" s="49">
        <f t="shared" si="344"/>
        <v>51521.805308057017</v>
      </c>
      <c r="AD460" s="49">
        <f t="shared" si="344"/>
        <v>51521.805308057017</v>
      </c>
      <c r="AE460" s="49">
        <f t="shared" si="344"/>
        <v>51521.805308057017</v>
      </c>
    </row>
    <row r="461" spans="3:31" x14ac:dyDescent="0.2">
      <c r="C461" s="5"/>
      <c r="D461" s="20"/>
      <c r="L461" s="49"/>
      <c r="M461" s="49"/>
      <c r="N461" s="49"/>
      <c r="O461" s="49"/>
      <c r="P461" s="49"/>
      <c r="Q461" s="49"/>
      <c r="R461" s="49"/>
      <c r="S461" s="49"/>
      <c r="T461" s="49"/>
      <c r="U461" s="49"/>
      <c r="V461" s="49"/>
      <c r="W461" s="49"/>
      <c r="X461" s="49"/>
      <c r="Y461" s="49"/>
      <c r="Z461" s="49"/>
      <c r="AA461" s="49"/>
      <c r="AB461" s="49"/>
      <c r="AC461" s="49"/>
      <c r="AD461" s="49"/>
      <c r="AE461" s="49"/>
    </row>
    <row r="462" spans="3:31" x14ac:dyDescent="0.2">
      <c r="C462" s="47" t="str">
        <f t="shared" ref="C462:C471" si="345">C413</f>
        <v>Selling, General &amp; Administrative</v>
      </c>
      <c r="D462" s="20"/>
      <c r="L462" s="49"/>
      <c r="M462" s="49"/>
      <c r="N462" s="49"/>
      <c r="O462" s="49"/>
      <c r="P462" s="49"/>
      <c r="Q462" s="49"/>
      <c r="R462" s="49"/>
      <c r="S462" s="49"/>
      <c r="T462" s="49"/>
      <c r="U462" s="49"/>
      <c r="V462" s="49"/>
      <c r="W462" s="49"/>
      <c r="X462" s="49"/>
      <c r="Y462" s="49"/>
      <c r="Z462" s="49"/>
      <c r="AA462" s="49"/>
      <c r="AB462" s="49"/>
      <c r="AC462" s="49"/>
      <c r="AD462" s="49"/>
      <c r="AE462" s="49"/>
    </row>
    <row r="463" spans="3:31" x14ac:dyDescent="0.2">
      <c r="C463" s="5" t="str">
        <f t="shared" si="345"/>
        <v>CEO, CFO, COO</v>
      </c>
      <c r="D463" s="20"/>
      <c r="F463" s="1" t="s">
        <v>51</v>
      </c>
      <c r="I463" s="49">
        <f t="shared" ref="I463" si="346">I365+I414</f>
        <v>205292.61804004957</v>
      </c>
      <c r="J463" s="49">
        <f t="shared" ref="J463" si="347">J365+J414</f>
        <v>205292.61804004957</v>
      </c>
      <c r="K463" s="49">
        <f t="shared" ref="K463:AE463" si="348">K365+K414</f>
        <v>205292.61804004957</v>
      </c>
      <c r="L463" s="49">
        <f t="shared" si="348"/>
        <v>205292.61804004957</v>
      </c>
      <c r="M463" s="49">
        <f t="shared" si="348"/>
        <v>205292.61804004957</v>
      </c>
      <c r="N463" s="49">
        <f t="shared" si="348"/>
        <v>205292.61804004957</v>
      </c>
      <c r="O463" s="49">
        <f t="shared" si="348"/>
        <v>205292.61804004957</v>
      </c>
      <c r="P463" s="49">
        <f t="shared" si="348"/>
        <v>205292.61804004957</v>
      </c>
      <c r="Q463" s="49">
        <f t="shared" si="348"/>
        <v>205292.61804004957</v>
      </c>
      <c r="R463" s="49">
        <f t="shared" si="348"/>
        <v>205292.61804004957</v>
      </c>
      <c r="S463" s="49">
        <f t="shared" si="348"/>
        <v>205292.61804004957</v>
      </c>
      <c r="T463" s="49">
        <f t="shared" si="348"/>
        <v>205292.61804004957</v>
      </c>
      <c r="U463" s="49">
        <f t="shared" si="348"/>
        <v>205292.61804004957</v>
      </c>
      <c r="V463" s="49">
        <f t="shared" si="348"/>
        <v>205292.61804004957</v>
      </c>
      <c r="W463" s="49">
        <f t="shared" si="348"/>
        <v>205292.61804004957</v>
      </c>
      <c r="X463" s="49">
        <f t="shared" si="348"/>
        <v>205292.61804004957</v>
      </c>
      <c r="Y463" s="49">
        <f t="shared" si="348"/>
        <v>205292.61804004957</v>
      </c>
      <c r="Z463" s="49">
        <f t="shared" si="348"/>
        <v>205292.61804004957</v>
      </c>
      <c r="AA463" s="49">
        <f t="shared" si="348"/>
        <v>205292.61804004957</v>
      </c>
      <c r="AB463" s="49">
        <f t="shared" si="348"/>
        <v>205292.61804004957</v>
      </c>
      <c r="AC463" s="49">
        <f t="shared" si="348"/>
        <v>205292.61804004957</v>
      </c>
      <c r="AD463" s="49">
        <f t="shared" si="348"/>
        <v>205292.61804004957</v>
      </c>
      <c r="AE463" s="49">
        <f t="shared" si="348"/>
        <v>205292.61804004957</v>
      </c>
    </row>
    <row r="464" spans="3:31" x14ac:dyDescent="0.2">
      <c r="C464" s="5" t="str">
        <f t="shared" si="345"/>
        <v>Administrator</v>
      </c>
      <c r="D464" s="20"/>
      <c r="F464" s="1" t="s">
        <v>51</v>
      </c>
      <c r="I464" s="49">
        <f t="shared" ref="I464" si="349">I366+I415</f>
        <v>39359.120976703467</v>
      </c>
      <c r="J464" s="49">
        <f t="shared" ref="J464" si="350">J366+J415</f>
        <v>39359.120976703467</v>
      </c>
      <c r="K464" s="49">
        <f t="shared" ref="K464:AE464" si="351">K366+K415</f>
        <v>39359.120976703467</v>
      </c>
      <c r="L464" s="49">
        <f t="shared" si="351"/>
        <v>39359.120976703467</v>
      </c>
      <c r="M464" s="49">
        <f t="shared" si="351"/>
        <v>39359.120976703467</v>
      </c>
      <c r="N464" s="49">
        <f t="shared" si="351"/>
        <v>39359.120976703467</v>
      </c>
      <c r="O464" s="49">
        <f t="shared" si="351"/>
        <v>39359.120976703467</v>
      </c>
      <c r="P464" s="49">
        <f t="shared" si="351"/>
        <v>39359.120976703467</v>
      </c>
      <c r="Q464" s="49">
        <f t="shared" si="351"/>
        <v>39359.120976703467</v>
      </c>
      <c r="R464" s="49">
        <f t="shared" si="351"/>
        <v>39359.120976703467</v>
      </c>
      <c r="S464" s="49">
        <f t="shared" si="351"/>
        <v>39359.120976703467</v>
      </c>
      <c r="T464" s="49">
        <f t="shared" si="351"/>
        <v>39359.120976703467</v>
      </c>
      <c r="U464" s="49">
        <f t="shared" si="351"/>
        <v>39359.120976703467</v>
      </c>
      <c r="V464" s="49">
        <f t="shared" si="351"/>
        <v>39359.120976703467</v>
      </c>
      <c r="W464" s="49">
        <f t="shared" si="351"/>
        <v>39359.120976703467</v>
      </c>
      <c r="X464" s="49">
        <f t="shared" si="351"/>
        <v>39359.120976703467</v>
      </c>
      <c r="Y464" s="49">
        <f t="shared" si="351"/>
        <v>39359.120976703467</v>
      </c>
      <c r="Z464" s="49">
        <f t="shared" si="351"/>
        <v>39359.120976703467</v>
      </c>
      <c r="AA464" s="49">
        <f t="shared" si="351"/>
        <v>39359.120976703467</v>
      </c>
      <c r="AB464" s="49">
        <f t="shared" si="351"/>
        <v>39359.120976703467</v>
      </c>
      <c r="AC464" s="49">
        <f t="shared" si="351"/>
        <v>39359.120976703467</v>
      </c>
      <c r="AD464" s="49">
        <f t="shared" si="351"/>
        <v>39359.120976703467</v>
      </c>
      <c r="AE464" s="49">
        <f t="shared" si="351"/>
        <v>39359.120976703467</v>
      </c>
    </row>
    <row r="465" spans="2:32" x14ac:dyDescent="0.2">
      <c r="C465" s="5" t="str">
        <f t="shared" si="345"/>
        <v xml:space="preserve">Accounting </v>
      </c>
      <c r="D465" s="20"/>
      <c r="F465" s="1" t="s">
        <v>51</v>
      </c>
      <c r="I465" s="49">
        <f t="shared" ref="I465" si="352">I367+I416</f>
        <v>78834.780534650083</v>
      </c>
      <c r="J465" s="49">
        <f t="shared" ref="J465" si="353">J367+J416</f>
        <v>78834.780534650083</v>
      </c>
      <c r="K465" s="49">
        <f t="shared" ref="K465:AE465" si="354">K367+K416</f>
        <v>78834.780534650083</v>
      </c>
      <c r="L465" s="49">
        <f t="shared" si="354"/>
        <v>78834.780534650083</v>
      </c>
      <c r="M465" s="49">
        <f t="shared" si="354"/>
        <v>78834.780534650083</v>
      </c>
      <c r="N465" s="49">
        <f t="shared" si="354"/>
        <v>78834.780534650083</v>
      </c>
      <c r="O465" s="49">
        <f t="shared" si="354"/>
        <v>78834.780534650083</v>
      </c>
      <c r="P465" s="49">
        <f t="shared" si="354"/>
        <v>78834.780534650083</v>
      </c>
      <c r="Q465" s="49">
        <f t="shared" si="354"/>
        <v>78834.780534650083</v>
      </c>
      <c r="R465" s="49">
        <f t="shared" si="354"/>
        <v>78834.780534650083</v>
      </c>
      <c r="S465" s="49">
        <f t="shared" si="354"/>
        <v>78834.780534650083</v>
      </c>
      <c r="T465" s="49">
        <f t="shared" si="354"/>
        <v>78834.780534650083</v>
      </c>
      <c r="U465" s="49">
        <f t="shared" si="354"/>
        <v>78834.780534650083</v>
      </c>
      <c r="V465" s="49">
        <f t="shared" si="354"/>
        <v>78834.780534650083</v>
      </c>
      <c r="W465" s="49">
        <f t="shared" si="354"/>
        <v>78834.780534650083</v>
      </c>
      <c r="X465" s="49">
        <f t="shared" si="354"/>
        <v>78834.780534650083</v>
      </c>
      <c r="Y465" s="49">
        <f t="shared" si="354"/>
        <v>78834.780534650083</v>
      </c>
      <c r="Z465" s="49">
        <f t="shared" si="354"/>
        <v>78834.780534650083</v>
      </c>
      <c r="AA465" s="49">
        <f t="shared" si="354"/>
        <v>78834.780534650083</v>
      </c>
      <c r="AB465" s="49">
        <f t="shared" si="354"/>
        <v>78834.780534650083</v>
      </c>
      <c r="AC465" s="49">
        <f t="shared" si="354"/>
        <v>78834.780534650083</v>
      </c>
      <c r="AD465" s="49">
        <f t="shared" si="354"/>
        <v>78834.780534650083</v>
      </c>
      <c r="AE465" s="49">
        <f t="shared" si="354"/>
        <v>78834.780534650083</v>
      </c>
    </row>
    <row r="466" spans="2:32" x14ac:dyDescent="0.2">
      <c r="C466" s="5" t="str">
        <f t="shared" si="345"/>
        <v>Purchasing - Buyer</v>
      </c>
      <c r="D466" s="20"/>
      <c r="F466" s="1" t="s">
        <v>51</v>
      </c>
      <c r="I466" s="49">
        <f t="shared" ref="I466" si="355">I368+I417</f>
        <v>45389.825906735212</v>
      </c>
      <c r="J466" s="49">
        <f t="shared" ref="J466" si="356">J368+J417</f>
        <v>45389.825906735212</v>
      </c>
      <c r="K466" s="49">
        <f t="shared" ref="K466:AE466" si="357">K368+K417</f>
        <v>45389.825906735212</v>
      </c>
      <c r="L466" s="49">
        <f t="shared" si="357"/>
        <v>45389.825906735212</v>
      </c>
      <c r="M466" s="49">
        <f t="shared" si="357"/>
        <v>45389.825906735212</v>
      </c>
      <c r="N466" s="49">
        <f t="shared" si="357"/>
        <v>45389.825906735212</v>
      </c>
      <c r="O466" s="49">
        <f t="shared" si="357"/>
        <v>45389.825906735212</v>
      </c>
      <c r="P466" s="49">
        <f t="shared" si="357"/>
        <v>45389.825906735212</v>
      </c>
      <c r="Q466" s="49">
        <f t="shared" si="357"/>
        <v>45389.825906735212</v>
      </c>
      <c r="R466" s="49">
        <f t="shared" si="357"/>
        <v>45389.825906735212</v>
      </c>
      <c r="S466" s="49">
        <f t="shared" si="357"/>
        <v>45389.825906735212</v>
      </c>
      <c r="T466" s="49">
        <f t="shared" si="357"/>
        <v>45389.825906735212</v>
      </c>
      <c r="U466" s="49">
        <f t="shared" si="357"/>
        <v>45389.825906735212</v>
      </c>
      <c r="V466" s="49">
        <f t="shared" si="357"/>
        <v>45389.825906735212</v>
      </c>
      <c r="W466" s="49">
        <f t="shared" si="357"/>
        <v>45389.825906735212</v>
      </c>
      <c r="X466" s="49">
        <f t="shared" si="357"/>
        <v>45389.825906735212</v>
      </c>
      <c r="Y466" s="49">
        <f t="shared" si="357"/>
        <v>45389.825906735212</v>
      </c>
      <c r="Z466" s="49">
        <f t="shared" si="357"/>
        <v>45389.825906735212</v>
      </c>
      <c r="AA466" s="49">
        <f t="shared" si="357"/>
        <v>45389.825906735212</v>
      </c>
      <c r="AB466" s="49">
        <f t="shared" si="357"/>
        <v>45389.825906735212</v>
      </c>
      <c r="AC466" s="49">
        <f t="shared" si="357"/>
        <v>45389.825906735212</v>
      </c>
      <c r="AD466" s="49">
        <f t="shared" si="357"/>
        <v>45389.825906735212</v>
      </c>
      <c r="AE466" s="49">
        <f t="shared" si="357"/>
        <v>45389.825906735212</v>
      </c>
    </row>
    <row r="467" spans="2:32" x14ac:dyDescent="0.2">
      <c r="C467" s="5" t="str">
        <f t="shared" si="345"/>
        <v>Purchasing - Receiving</v>
      </c>
      <c r="D467" s="20"/>
      <c r="F467" s="1" t="s">
        <v>51</v>
      </c>
      <c r="I467" s="49">
        <f t="shared" ref="I467" si="358">I369+I418</f>
        <v>40364.238465042086</v>
      </c>
      <c r="J467" s="49">
        <f t="shared" ref="J467" si="359">J369+J418</f>
        <v>40364.238465042086</v>
      </c>
      <c r="K467" s="49">
        <f t="shared" ref="K467:AE467" si="360">K369+K418</f>
        <v>40364.238465042086</v>
      </c>
      <c r="L467" s="49">
        <f t="shared" si="360"/>
        <v>40364.238465042086</v>
      </c>
      <c r="M467" s="49">
        <f t="shared" si="360"/>
        <v>40364.238465042086</v>
      </c>
      <c r="N467" s="49">
        <f t="shared" si="360"/>
        <v>40364.238465042086</v>
      </c>
      <c r="O467" s="49">
        <f t="shared" si="360"/>
        <v>40364.238465042086</v>
      </c>
      <c r="P467" s="49">
        <f t="shared" si="360"/>
        <v>40364.238465042086</v>
      </c>
      <c r="Q467" s="49">
        <f t="shared" si="360"/>
        <v>40364.238465042086</v>
      </c>
      <c r="R467" s="49">
        <f t="shared" si="360"/>
        <v>40364.238465042086</v>
      </c>
      <c r="S467" s="49">
        <f t="shared" si="360"/>
        <v>40364.238465042086</v>
      </c>
      <c r="T467" s="49">
        <f t="shared" si="360"/>
        <v>40364.238465042086</v>
      </c>
      <c r="U467" s="49">
        <f t="shared" si="360"/>
        <v>40364.238465042086</v>
      </c>
      <c r="V467" s="49">
        <f t="shared" si="360"/>
        <v>40364.238465042086</v>
      </c>
      <c r="W467" s="49">
        <f t="shared" si="360"/>
        <v>40364.238465042086</v>
      </c>
      <c r="X467" s="49">
        <f t="shared" si="360"/>
        <v>40364.238465042086</v>
      </c>
      <c r="Y467" s="49">
        <f t="shared" si="360"/>
        <v>40364.238465042086</v>
      </c>
      <c r="Z467" s="49">
        <f t="shared" si="360"/>
        <v>40364.238465042086</v>
      </c>
      <c r="AA467" s="49">
        <f t="shared" si="360"/>
        <v>40364.238465042086</v>
      </c>
      <c r="AB467" s="49">
        <f t="shared" si="360"/>
        <v>40364.238465042086</v>
      </c>
      <c r="AC467" s="49">
        <f t="shared" si="360"/>
        <v>40364.238465042086</v>
      </c>
      <c r="AD467" s="49">
        <f t="shared" si="360"/>
        <v>40364.238465042086</v>
      </c>
      <c r="AE467" s="49">
        <f t="shared" si="360"/>
        <v>40364.238465042086</v>
      </c>
    </row>
    <row r="468" spans="2:32" x14ac:dyDescent="0.2">
      <c r="C468" s="5" t="str">
        <f t="shared" si="345"/>
        <v>Human Resources/Safety Manager/Training</v>
      </c>
      <c r="D468" s="20"/>
      <c r="F468" s="1" t="s">
        <v>51</v>
      </c>
      <c r="I468" s="49">
        <f t="shared" ref="I468" si="361">I370+I419</f>
        <v>73372.185489331474</v>
      </c>
      <c r="J468" s="49">
        <f t="shared" ref="J468" si="362">J370+J419</f>
        <v>73372.185489331474</v>
      </c>
      <c r="K468" s="49">
        <f t="shared" ref="K468:AE468" si="363">K370+K419</f>
        <v>73372.185489331474</v>
      </c>
      <c r="L468" s="49">
        <f t="shared" si="363"/>
        <v>73372.185489331474</v>
      </c>
      <c r="M468" s="49">
        <f t="shared" si="363"/>
        <v>73372.185489331474</v>
      </c>
      <c r="N468" s="49">
        <f t="shared" si="363"/>
        <v>73372.185489331474</v>
      </c>
      <c r="O468" s="49">
        <f t="shared" si="363"/>
        <v>73372.185489331474</v>
      </c>
      <c r="P468" s="49">
        <f t="shared" si="363"/>
        <v>73372.185489331474</v>
      </c>
      <c r="Q468" s="49">
        <f t="shared" si="363"/>
        <v>73372.185489331474</v>
      </c>
      <c r="R468" s="49">
        <f t="shared" si="363"/>
        <v>73372.185489331474</v>
      </c>
      <c r="S468" s="49">
        <f t="shared" si="363"/>
        <v>73372.185489331474</v>
      </c>
      <c r="T468" s="49">
        <f t="shared" si="363"/>
        <v>73372.185489331474</v>
      </c>
      <c r="U468" s="49">
        <f t="shared" si="363"/>
        <v>73372.185489331474</v>
      </c>
      <c r="V468" s="49">
        <f t="shared" si="363"/>
        <v>73372.185489331474</v>
      </c>
      <c r="W468" s="49">
        <f t="shared" si="363"/>
        <v>73372.185489331474</v>
      </c>
      <c r="X468" s="49">
        <f t="shared" si="363"/>
        <v>73372.185489331474</v>
      </c>
      <c r="Y468" s="49">
        <f t="shared" si="363"/>
        <v>73372.185489331474</v>
      </c>
      <c r="Z468" s="49">
        <f t="shared" si="363"/>
        <v>73372.185489331474</v>
      </c>
      <c r="AA468" s="49">
        <f t="shared" si="363"/>
        <v>73372.185489331474</v>
      </c>
      <c r="AB468" s="49">
        <f t="shared" si="363"/>
        <v>73372.185489331474</v>
      </c>
      <c r="AC468" s="49">
        <f t="shared" si="363"/>
        <v>73372.185489331474</v>
      </c>
      <c r="AD468" s="49">
        <f t="shared" si="363"/>
        <v>73372.185489331474</v>
      </c>
      <c r="AE468" s="49">
        <f t="shared" si="363"/>
        <v>73372.185489331474</v>
      </c>
    </row>
    <row r="469" spans="2:32" x14ac:dyDescent="0.2">
      <c r="C469" s="5" t="str">
        <f t="shared" si="345"/>
        <v>Sales Administrator</v>
      </c>
      <c r="D469" s="20"/>
      <c r="F469" s="1" t="s">
        <v>51</v>
      </c>
      <c r="I469" s="49">
        <f t="shared" ref="I469" si="364">I371+I420</f>
        <v>39359.120976703467</v>
      </c>
      <c r="J469" s="49">
        <f t="shared" ref="J469" si="365">J371+J420</f>
        <v>39359.120976703467</v>
      </c>
      <c r="K469" s="49">
        <f t="shared" ref="K469:AE469" si="366">K371+K420</f>
        <v>39359.120976703467</v>
      </c>
      <c r="L469" s="49">
        <f t="shared" si="366"/>
        <v>39359.120976703467</v>
      </c>
      <c r="M469" s="49">
        <f t="shared" si="366"/>
        <v>39359.120976703467</v>
      </c>
      <c r="N469" s="49">
        <f t="shared" si="366"/>
        <v>39359.120976703467</v>
      </c>
      <c r="O469" s="49">
        <f t="shared" si="366"/>
        <v>39359.120976703467</v>
      </c>
      <c r="P469" s="49">
        <f t="shared" si="366"/>
        <v>39359.120976703467</v>
      </c>
      <c r="Q469" s="49">
        <f t="shared" si="366"/>
        <v>39359.120976703467</v>
      </c>
      <c r="R469" s="49">
        <f t="shared" si="366"/>
        <v>39359.120976703467</v>
      </c>
      <c r="S469" s="49">
        <f t="shared" si="366"/>
        <v>39359.120976703467</v>
      </c>
      <c r="T469" s="49">
        <f t="shared" si="366"/>
        <v>39359.120976703467</v>
      </c>
      <c r="U469" s="49">
        <f t="shared" si="366"/>
        <v>39359.120976703467</v>
      </c>
      <c r="V469" s="49">
        <f t="shared" si="366"/>
        <v>39359.120976703467</v>
      </c>
      <c r="W469" s="49">
        <f t="shared" si="366"/>
        <v>39359.120976703467</v>
      </c>
      <c r="X469" s="49">
        <f t="shared" si="366"/>
        <v>39359.120976703467</v>
      </c>
      <c r="Y469" s="49">
        <f t="shared" si="366"/>
        <v>39359.120976703467</v>
      </c>
      <c r="Z469" s="49">
        <f t="shared" si="366"/>
        <v>39359.120976703467</v>
      </c>
      <c r="AA469" s="49">
        <f t="shared" si="366"/>
        <v>39359.120976703467</v>
      </c>
      <c r="AB469" s="49">
        <f t="shared" si="366"/>
        <v>39359.120976703467</v>
      </c>
      <c r="AC469" s="49">
        <f t="shared" si="366"/>
        <v>39359.120976703467</v>
      </c>
      <c r="AD469" s="49">
        <f t="shared" si="366"/>
        <v>39359.120976703467</v>
      </c>
      <c r="AE469" s="49">
        <f t="shared" si="366"/>
        <v>39359.120976703467</v>
      </c>
    </row>
    <row r="470" spans="2:32" x14ac:dyDescent="0.2">
      <c r="C470" s="5" t="str">
        <f t="shared" si="345"/>
        <v>Inside Sales</v>
      </c>
      <c r="D470" s="20"/>
      <c r="F470" s="1" t="s">
        <v>51</v>
      </c>
      <c r="I470" s="49">
        <f t="shared" ref="I470" si="367">I372+I421</f>
        <v>62476.823208491835</v>
      </c>
      <c r="J470" s="49">
        <f t="shared" ref="J470" si="368">J372+J421</f>
        <v>62476.823208491835</v>
      </c>
      <c r="K470" s="49">
        <f t="shared" ref="K470:AE470" si="369">K372+K421</f>
        <v>62476.823208491835</v>
      </c>
      <c r="L470" s="49">
        <f t="shared" si="369"/>
        <v>62476.823208491835</v>
      </c>
      <c r="M470" s="49">
        <f t="shared" si="369"/>
        <v>62476.823208491835</v>
      </c>
      <c r="N470" s="49">
        <f t="shared" si="369"/>
        <v>62476.823208491835</v>
      </c>
      <c r="O470" s="49">
        <f t="shared" si="369"/>
        <v>62476.823208491835</v>
      </c>
      <c r="P470" s="49">
        <f t="shared" si="369"/>
        <v>62476.823208491835</v>
      </c>
      <c r="Q470" s="49">
        <f t="shared" si="369"/>
        <v>62476.823208491835</v>
      </c>
      <c r="R470" s="49">
        <f t="shared" si="369"/>
        <v>62476.823208491835</v>
      </c>
      <c r="S470" s="49">
        <f t="shared" si="369"/>
        <v>62476.823208491835</v>
      </c>
      <c r="T470" s="49">
        <f t="shared" si="369"/>
        <v>62476.823208491835</v>
      </c>
      <c r="U470" s="49">
        <f t="shared" si="369"/>
        <v>62476.823208491835</v>
      </c>
      <c r="V470" s="49">
        <f t="shared" si="369"/>
        <v>62476.823208491835</v>
      </c>
      <c r="W470" s="49">
        <f t="shared" si="369"/>
        <v>62476.823208491835</v>
      </c>
      <c r="X470" s="49">
        <f t="shared" si="369"/>
        <v>62476.823208491835</v>
      </c>
      <c r="Y470" s="49">
        <f t="shared" si="369"/>
        <v>62476.823208491835</v>
      </c>
      <c r="Z470" s="49">
        <f t="shared" si="369"/>
        <v>62476.823208491835</v>
      </c>
      <c r="AA470" s="49">
        <f t="shared" si="369"/>
        <v>62476.823208491835</v>
      </c>
      <c r="AB470" s="49">
        <f t="shared" si="369"/>
        <v>62476.823208491835</v>
      </c>
      <c r="AC470" s="49">
        <f t="shared" si="369"/>
        <v>62476.823208491835</v>
      </c>
      <c r="AD470" s="49">
        <f t="shared" si="369"/>
        <v>62476.823208491835</v>
      </c>
      <c r="AE470" s="49">
        <f t="shared" si="369"/>
        <v>62476.823208491835</v>
      </c>
    </row>
    <row r="471" spans="2:32" x14ac:dyDescent="0.2">
      <c r="C471" s="5" t="str">
        <f t="shared" si="345"/>
        <v>Shipping Manager</v>
      </c>
      <c r="D471" s="20"/>
      <c r="F471" s="1" t="s">
        <v>51</v>
      </c>
      <c r="I471" s="49">
        <f t="shared" ref="I471" si="370">I373+I422</f>
        <v>77553.585533571211</v>
      </c>
      <c r="J471" s="49">
        <f t="shared" ref="J471" si="371">J373+J422</f>
        <v>77553.585533571211</v>
      </c>
      <c r="K471" s="49">
        <f t="shared" ref="K471:AE471" si="372">K373+K422</f>
        <v>77553.585533571211</v>
      </c>
      <c r="L471" s="49">
        <f t="shared" si="372"/>
        <v>77553.585533571211</v>
      </c>
      <c r="M471" s="49">
        <f t="shared" si="372"/>
        <v>77553.585533571211</v>
      </c>
      <c r="N471" s="49">
        <f t="shared" si="372"/>
        <v>77553.585533571211</v>
      </c>
      <c r="O471" s="49">
        <f t="shared" si="372"/>
        <v>77553.585533571211</v>
      </c>
      <c r="P471" s="49">
        <f t="shared" si="372"/>
        <v>77553.585533571211</v>
      </c>
      <c r="Q471" s="49">
        <f t="shared" si="372"/>
        <v>77553.585533571211</v>
      </c>
      <c r="R471" s="49">
        <f t="shared" si="372"/>
        <v>77553.585533571211</v>
      </c>
      <c r="S471" s="49">
        <f t="shared" si="372"/>
        <v>77553.585533571211</v>
      </c>
      <c r="T471" s="49">
        <f t="shared" si="372"/>
        <v>77553.585533571211</v>
      </c>
      <c r="U471" s="49">
        <f t="shared" si="372"/>
        <v>77553.585533571211</v>
      </c>
      <c r="V471" s="49">
        <f t="shared" si="372"/>
        <v>77553.585533571211</v>
      </c>
      <c r="W471" s="49">
        <f t="shared" si="372"/>
        <v>77553.585533571211</v>
      </c>
      <c r="X471" s="49">
        <f t="shared" si="372"/>
        <v>77553.585533571211</v>
      </c>
      <c r="Y471" s="49">
        <f t="shared" si="372"/>
        <v>77553.585533571211</v>
      </c>
      <c r="Z471" s="49">
        <f t="shared" si="372"/>
        <v>77553.585533571211</v>
      </c>
      <c r="AA471" s="49">
        <f t="shared" si="372"/>
        <v>77553.585533571211</v>
      </c>
      <c r="AB471" s="49">
        <f t="shared" si="372"/>
        <v>77553.585533571211</v>
      </c>
      <c r="AC471" s="49">
        <f t="shared" si="372"/>
        <v>77553.585533571211</v>
      </c>
      <c r="AD471" s="49">
        <f t="shared" si="372"/>
        <v>77553.585533571211</v>
      </c>
      <c r="AE471" s="49">
        <f t="shared" si="372"/>
        <v>77553.585533571211</v>
      </c>
    </row>
    <row r="472" spans="2:32" x14ac:dyDescent="0.2">
      <c r="C472" s="20"/>
      <c r="D472" s="20"/>
    </row>
    <row r="473" spans="2:32" x14ac:dyDescent="0.2">
      <c r="C473" s="5" t="str">
        <f>C424</f>
        <v>Contingency</v>
      </c>
      <c r="D473" s="20"/>
      <c r="F473" s="1" t="s">
        <v>51</v>
      </c>
      <c r="I473" s="49">
        <f t="shared" ref="I473" si="373">I375+I424</f>
        <v>93210.526315789481</v>
      </c>
      <c r="J473" s="49">
        <f t="shared" ref="J473" si="374">J375+J424</f>
        <v>93210.526315789481</v>
      </c>
      <c r="K473" s="49">
        <f t="shared" ref="K473:AE473" si="375">K375+K424</f>
        <v>93210.526315789481</v>
      </c>
      <c r="L473" s="49">
        <f t="shared" si="375"/>
        <v>93210.526315789481</v>
      </c>
      <c r="M473" s="49">
        <f t="shared" si="375"/>
        <v>93210.526315789481</v>
      </c>
      <c r="N473" s="49">
        <f t="shared" si="375"/>
        <v>93210.526315789481</v>
      </c>
      <c r="O473" s="49">
        <f t="shared" si="375"/>
        <v>93210.526315789481</v>
      </c>
      <c r="P473" s="49">
        <f t="shared" si="375"/>
        <v>93210.526315789481</v>
      </c>
      <c r="Q473" s="49">
        <f t="shared" si="375"/>
        <v>93210.526315789481</v>
      </c>
      <c r="R473" s="49">
        <f t="shared" si="375"/>
        <v>93210.526315789481</v>
      </c>
      <c r="S473" s="49">
        <f t="shared" si="375"/>
        <v>93210.526315789481</v>
      </c>
      <c r="T473" s="49">
        <f t="shared" si="375"/>
        <v>93210.526315789481</v>
      </c>
      <c r="U473" s="49">
        <f t="shared" si="375"/>
        <v>93210.526315789481</v>
      </c>
      <c r="V473" s="49">
        <f t="shared" si="375"/>
        <v>93210.526315789481</v>
      </c>
      <c r="W473" s="49">
        <f t="shared" si="375"/>
        <v>93210.526315789481</v>
      </c>
      <c r="X473" s="49">
        <f t="shared" si="375"/>
        <v>93210.526315789481</v>
      </c>
      <c r="Y473" s="49">
        <f t="shared" si="375"/>
        <v>93210.526315789481</v>
      </c>
      <c r="Z473" s="49">
        <f t="shared" si="375"/>
        <v>93210.526315789481</v>
      </c>
      <c r="AA473" s="49">
        <f t="shared" si="375"/>
        <v>93210.526315789481</v>
      </c>
      <c r="AB473" s="49">
        <f t="shared" si="375"/>
        <v>93210.526315789481</v>
      </c>
      <c r="AC473" s="49">
        <f t="shared" si="375"/>
        <v>93210.526315789481</v>
      </c>
      <c r="AD473" s="49">
        <f t="shared" si="375"/>
        <v>93210.526315789481</v>
      </c>
      <c r="AE473" s="49">
        <f t="shared" si="375"/>
        <v>93210.526315789481</v>
      </c>
    </row>
    <row r="474" spans="2:32" x14ac:dyDescent="0.2">
      <c r="C474" s="20"/>
      <c r="D474" s="20"/>
    </row>
    <row r="475" spans="2:32" x14ac:dyDescent="0.2">
      <c r="B475" s="24">
        <f>B327+0.01</f>
        <v>3.4299999999999997</v>
      </c>
      <c r="C475" s="20" t="s">
        <v>52</v>
      </c>
      <c r="D475" s="20"/>
    </row>
    <row r="476" spans="2:32" x14ac:dyDescent="0.2">
      <c r="B476" s="24"/>
      <c r="C476" s="20"/>
      <c r="D476" s="20"/>
    </row>
    <row r="477" spans="2:32" x14ac:dyDescent="0.2">
      <c r="C477" s="5" t="s">
        <v>53</v>
      </c>
      <c r="D477" s="5"/>
      <c r="E477" s="236">
        <v>0.2</v>
      </c>
      <c r="F477" s="1" t="s">
        <v>8</v>
      </c>
      <c r="I477" s="162">
        <f>$E$477</f>
        <v>0.2</v>
      </c>
      <c r="J477" s="162">
        <f>$E$477</f>
        <v>0.2</v>
      </c>
      <c r="K477" s="162">
        <f>$E$477</f>
        <v>0.2</v>
      </c>
      <c r="L477" s="162">
        <f>$E$477</f>
        <v>0.2</v>
      </c>
      <c r="M477" s="162">
        <f t="shared" ref="M477:AE477" si="376">$E$477</f>
        <v>0.2</v>
      </c>
      <c r="N477" s="162">
        <f t="shared" si="376"/>
        <v>0.2</v>
      </c>
      <c r="O477" s="162">
        <f t="shared" si="376"/>
        <v>0.2</v>
      </c>
      <c r="P477" s="162">
        <f t="shared" si="376"/>
        <v>0.2</v>
      </c>
      <c r="Q477" s="162">
        <f t="shared" si="376"/>
        <v>0.2</v>
      </c>
      <c r="R477" s="162">
        <f t="shared" si="376"/>
        <v>0.2</v>
      </c>
      <c r="S477" s="162">
        <f t="shared" si="376"/>
        <v>0.2</v>
      </c>
      <c r="T477" s="162">
        <f t="shared" si="376"/>
        <v>0.2</v>
      </c>
      <c r="U477" s="162">
        <f t="shared" si="376"/>
        <v>0.2</v>
      </c>
      <c r="V477" s="162">
        <f t="shared" si="376"/>
        <v>0.2</v>
      </c>
      <c r="W477" s="162">
        <f t="shared" si="376"/>
        <v>0.2</v>
      </c>
      <c r="X477" s="162">
        <f t="shared" si="376"/>
        <v>0.2</v>
      </c>
      <c r="Y477" s="162">
        <f t="shared" si="376"/>
        <v>0.2</v>
      </c>
      <c r="Z477" s="162">
        <f t="shared" si="376"/>
        <v>0.2</v>
      </c>
      <c r="AA477" s="162">
        <f t="shared" si="376"/>
        <v>0.2</v>
      </c>
      <c r="AB477" s="162">
        <f t="shared" si="376"/>
        <v>0.2</v>
      </c>
      <c r="AC477" s="162">
        <f t="shared" si="376"/>
        <v>0.2</v>
      </c>
      <c r="AD477" s="162">
        <f t="shared" si="376"/>
        <v>0.2</v>
      </c>
      <c r="AE477" s="162">
        <f t="shared" si="376"/>
        <v>0.2</v>
      </c>
    </row>
    <row r="478" spans="2:32" x14ac:dyDescent="0.2">
      <c r="C478" s="20"/>
      <c r="D478" s="20"/>
    </row>
    <row r="479" spans="2:32" x14ac:dyDescent="0.2">
      <c r="C479" s="47" t="str">
        <f t="shared" ref="C479:C486" si="377">C428</f>
        <v>Melting</v>
      </c>
      <c r="D479" s="47"/>
      <c r="AF479" s="1"/>
    </row>
    <row r="480" spans="2:32" x14ac:dyDescent="0.2">
      <c r="C480" s="5" t="str">
        <f t="shared" si="377"/>
        <v>Manager of Melting/Casting Production</v>
      </c>
      <c r="D480" s="5"/>
      <c r="F480" s="1" t="s">
        <v>51</v>
      </c>
      <c r="I480" s="32">
        <f t="shared" ref="I480" si="378">I$477*I429</f>
        <v>34652.621058833625</v>
      </c>
      <c r="J480" s="32">
        <f t="shared" ref="J480" si="379">J$477*J429</f>
        <v>34652.621058833625</v>
      </c>
      <c r="K480" s="32">
        <f t="shared" ref="K480:AE480" si="380">K$477*K429</f>
        <v>34652.621058833625</v>
      </c>
      <c r="L480" s="32">
        <f t="shared" si="380"/>
        <v>34652.621058833625</v>
      </c>
      <c r="M480" s="32">
        <f t="shared" si="380"/>
        <v>34652.621058833625</v>
      </c>
      <c r="N480" s="32">
        <f t="shared" si="380"/>
        <v>34652.621058833625</v>
      </c>
      <c r="O480" s="32">
        <f t="shared" si="380"/>
        <v>34652.621058833625</v>
      </c>
      <c r="P480" s="32">
        <f t="shared" si="380"/>
        <v>34652.621058833625</v>
      </c>
      <c r="Q480" s="32">
        <f t="shared" si="380"/>
        <v>34652.621058833625</v>
      </c>
      <c r="R480" s="32">
        <f t="shared" si="380"/>
        <v>34652.621058833625</v>
      </c>
      <c r="S480" s="32">
        <f t="shared" si="380"/>
        <v>34652.621058833625</v>
      </c>
      <c r="T480" s="32">
        <f t="shared" si="380"/>
        <v>34652.621058833625</v>
      </c>
      <c r="U480" s="32">
        <f t="shared" si="380"/>
        <v>34652.621058833625</v>
      </c>
      <c r="V480" s="32">
        <f t="shared" si="380"/>
        <v>34652.621058833625</v>
      </c>
      <c r="W480" s="32">
        <f t="shared" si="380"/>
        <v>34652.621058833625</v>
      </c>
      <c r="X480" s="32">
        <f t="shared" si="380"/>
        <v>34652.621058833625</v>
      </c>
      <c r="Y480" s="32">
        <f t="shared" si="380"/>
        <v>34652.621058833625</v>
      </c>
      <c r="Z480" s="32">
        <f t="shared" si="380"/>
        <v>34652.621058833625</v>
      </c>
      <c r="AA480" s="32">
        <f t="shared" si="380"/>
        <v>34652.621058833625</v>
      </c>
      <c r="AB480" s="32">
        <f t="shared" si="380"/>
        <v>34652.621058833625</v>
      </c>
      <c r="AC480" s="32">
        <f t="shared" si="380"/>
        <v>34652.621058833625</v>
      </c>
      <c r="AD480" s="32">
        <f t="shared" si="380"/>
        <v>34652.621058833625</v>
      </c>
      <c r="AE480" s="32">
        <f t="shared" si="380"/>
        <v>34652.621058833625</v>
      </c>
      <c r="AF480" s="1"/>
    </row>
    <row r="481" spans="3:32" x14ac:dyDescent="0.2">
      <c r="C481" s="5" t="str">
        <f t="shared" si="377"/>
        <v>Supervisor/team Leader of Melting &amp; Casting</v>
      </c>
      <c r="D481" s="5"/>
      <c r="F481" s="1" t="s">
        <v>51</v>
      </c>
      <c r="I481" s="32">
        <f t="shared" ref="I481" si="381">I$477*I430</f>
        <v>15218.732878387502</v>
      </c>
      <c r="J481" s="32">
        <f t="shared" ref="J481" si="382">J$477*J430</f>
        <v>15218.732878387502</v>
      </c>
      <c r="K481" s="32">
        <f t="shared" ref="K481:AE481" si="383">K$477*K430</f>
        <v>15218.732878387502</v>
      </c>
      <c r="L481" s="32">
        <f t="shared" si="383"/>
        <v>15218.732878387502</v>
      </c>
      <c r="M481" s="32">
        <f t="shared" si="383"/>
        <v>15218.732878387502</v>
      </c>
      <c r="N481" s="32">
        <f t="shared" si="383"/>
        <v>15218.732878387502</v>
      </c>
      <c r="O481" s="32">
        <f t="shared" si="383"/>
        <v>15218.732878387502</v>
      </c>
      <c r="P481" s="32">
        <f t="shared" si="383"/>
        <v>15218.732878387502</v>
      </c>
      <c r="Q481" s="32">
        <f t="shared" si="383"/>
        <v>15218.732878387502</v>
      </c>
      <c r="R481" s="32">
        <f t="shared" si="383"/>
        <v>15218.732878387502</v>
      </c>
      <c r="S481" s="32">
        <f t="shared" si="383"/>
        <v>15218.732878387502</v>
      </c>
      <c r="T481" s="32">
        <f t="shared" si="383"/>
        <v>15218.732878387502</v>
      </c>
      <c r="U481" s="32">
        <f t="shared" si="383"/>
        <v>15218.732878387502</v>
      </c>
      <c r="V481" s="32">
        <f t="shared" si="383"/>
        <v>15218.732878387502</v>
      </c>
      <c r="W481" s="32">
        <f t="shared" si="383"/>
        <v>15218.732878387502</v>
      </c>
      <c r="X481" s="32">
        <f t="shared" si="383"/>
        <v>15218.732878387502</v>
      </c>
      <c r="Y481" s="32">
        <f t="shared" si="383"/>
        <v>15218.732878387502</v>
      </c>
      <c r="Z481" s="32">
        <f t="shared" si="383"/>
        <v>15218.732878387502</v>
      </c>
      <c r="AA481" s="32">
        <f t="shared" si="383"/>
        <v>15218.732878387502</v>
      </c>
      <c r="AB481" s="32">
        <f t="shared" si="383"/>
        <v>15218.732878387502</v>
      </c>
      <c r="AC481" s="32">
        <f t="shared" si="383"/>
        <v>15218.732878387502</v>
      </c>
      <c r="AD481" s="32">
        <f t="shared" si="383"/>
        <v>15218.732878387502</v>
      </c>
      <c r="AE481" s="32">
        <f t="shared" si="383"/>
        <v>15218.732878387502</v>
      </c>
      <c r="AF481" s="1"/>
    </row>
    <row r="482" spans="3:32" x14ac:dyDescent="0.2">
      <c r="C482" s="5" t="str">
        <f t="shared" si="377"/>
        <v>Senior Operator - EAF</v>
      </c>
      <c r="D482" s="5"/>
      <c r="F482" s="1" t="s">
        <v>51</v>
      </c>
      <c r="I482" s="32">
        <f t="shared" ref="I482" si="384">I$477*I431</f>
        <v>11396.880070675128</v>
      </c>
      <c r="J482" s="32">
        <f t="shared" ref="J482" si="385">J$477*J431</f>
        <v>11396.880070675128</v>
      </c>
      <c r="K482" s="32">
        <f t="shared" ref="K482:AE482" si="386">K$477*K431</f>
        <v>11396.880070675128</v>
      </c>
      <c r="L482" s="32">
        <f t="shared" si="386"/>
        <v>11396.880070675128</v>
      </c>
      <c r="M482" s="32">
        <f t="shared" si="386"/>
        <v>11396.880070675128</v>
      </c>
      <c r="N482" s="32">
        <f t="shared" si="386"/>
        <v>11396.880070675128</v>
      </c>
      <c r="O482" s="32">
        <f t="shared" si="386"/>
        <v>11396.880070675128</v>
      </c>
      <c r="P482" s="32">
        <f t="shared" si="386"/>
        <v>11396.880070675128</v>
      </c>
      <c r="Q482" s="32">
        <f t="shared" si="386"/>
        <v>11396.880070675128</v>
      </c>
      <c r="R482" s="32">
        <f t="shared" si="386"/>
        <v>11396.880070675128</v>
      </c>
      <c r="S482" s="32">
        <f t="shared" si="386"/>
        <v>11396.880070675128</v>
      </c>
      <c r="T482" s="32">
        <f t="shared" si="386"/>
        <v>11396.880070675128</v>
      </c>
      <c r="U482" s="32">
        <f t="shared" si="386"/>
        <v>11396.880070675128</v>
      </c>
      <c r="V482" s="32">
        <f t="shared" si="386"/>
        <v>11396.880070675128</v>
      </c>
      <c r="W482" s="32">
        <f t="shared" si="386"/>
        <v>11396.880070675128</v>
      </c>
      <c r="X482" s="32">
        <f t="shared" si="386"/>
        <v>11396.880070675128</v>
      </c>
      <c r="Y482" s="32">
        <f t="shared" si="386"/>
        <v>11396.880070675128</v>
      </c>
      <c r="Z482" s="32">
        <f t="shared" si="386"/>
        <v>11396.880070675128</v>
      </c>
      <c r="AA482" s="32">
        <f t="shared" si="386"/>
        <v>11396.880070675128</v>
      </c>
      <c r="AB482" s="32">
        <f t="shared" si="386"/>
        <v>11396.880070675128</v>
      </c>
      <c r="AC482" s="32">
        <f t="shared" si="386"/>
        <v>11396.880070675128</v>
      </c>
      <c r="AD482" s="32">
        <f t="shared" si="386"/>
        <v>11396.880070675128</v>
      </c>
      <c r="AE482" s="32">
        <f t="shared" si="386"/>
        <v>11396.880070675128</v>
      </c>
      <c r="AF482" s="1"/>
    </row>
    <row r="483" spans="3:32" x14ac:dyDescent="0.2">
      <c r="C483" s="5" t="str">
        <f t="shared" si="377"/>
        <v>Operator - Ladle Crane</v>
      </c>
      <c r="D483" s="5"/>
      <c r="F483" s="1" t="s">
        <v>51</v>
      </c>
      <c r="I483" s="32">
        <f t="shared" ref="I483" si="387">I$477*I432</f>
        <v>10304.361061611404</v>
      </c>
      <c r="J483" s="32">
        <f t="shared" ref="J483" si="388">J$477*J432</f>
        <v>10304.361061611404</v>
      </c>
      <c r="K483" s="32">
        <f t="shared" ref="K483:AE483" si="389">K$477*K432</f>
        <v>10304.361061611404</v>
      </c>
      <c r="L483" s="32">
        <f t="shared" si="389"/>
        <v>10304.361061611404</v>
      </c>
      <c r="M483" s="32">
        <f t="shared" si="389"/>
        <v>10304.361061611404</v>
      </c>
      <c r="N483" s="32">
        <f t="shared" si="389"/>
        <v>10304.361061611404</v>
      </c>
      <c r="O483" s="32">
        <f t="shared" si="389"/>
        <v>10304.361061611404</v>
      </c>
      <c r="P483" s="32">
        <f t="shared" si="389"/>
        <v>10304.361061611404</v>
      </c>
      <c r="Q483" s="32">
        <f t="shared" si="389"/>
        <v>10304.361061611404</v>
      </c>
      <c r="R483" s="32">
        <f t="shared" si="389"/>
        <v>10304.361061611404</v>
      </c>
      <c r="S483" s="32">
        <f t="shared" si="389"/>
        <v>10304.361061611404</v>
      </c>
      <c r="T483" s="32">
        <f t="shared" si="389"/>
        <v>10304.361061611404</v>
      </c>
      <c r="U483" s="32">
        <f t="shared" si="389"/>
        <v>10304.361061611404</v>
      </c>
      <c r="V483" s="32">
        <f t="shared" si="389"/>
        <v>10304.361061611404</v>
      </c>
      <c r="W483" s="32">
        <f t="shared" si="389"/>
        <v>10304.361061611404</v>
      </c>
      <c r="X483" s="32">
        <f t="shared" si="389"/>
        <v>10304.361061611404</v>
      </c>
      <c r="Y483" s="32">
        <f t="shared" si="389"/>
        <v>10304.361061611404</v>
      </c>
      <c r="Z483" s="32">
        <f t="shared" si="389"/>
        <v>10304.361061611404</v>
      </c>
      <c r="AA483" s="32">
        <f t="shared" si="389"/>
        <v>10304.361061611404</v>
      </c>
      <c r="AB483" s="32">
        <f t="shared" si="389"/>
        <v>10304.361061611404</v>
      </c>
      <c r="AC483" s="32">
        <f t="shared" si="389"/>
        <v>10304.361061611404</v>
      </c>
      <c r="AD483" s="32">
        <f t="shared" si="389"/>
        <v>10304.361061611404</v>
      </c>
      <c r="AE483" s="32">
        <f t="shared" si="389"/>
        <v>10304.361061611404</v>
      </c>
      <c r="AF483" s="1"/>
    </row>
    <row r="484" spans="3:32" x14ac:dyDescent="0.2">
      <c r="C484" s="5" t="str">
        <f t="shared" si="377"/>
        <v>Operator</v>
      </c>
      <c r="D484" s="5"/>
      <c r="F484" s="1" t="s">
        <v>51</v>
      </c>
      <c r="I484" s="32">
        <f t="shared" ref="I484" si="390">I$477*I433</f>
        <v>9402.4993106469174</v>
      </c>
      <c r="J484" s="32">
        <f t="shared" ref="J484" si="391">J$477*J433</f>
        <v>9402.4993106469174</v>
      </c>
      <c r="K484" s="32">
        <f t="shared" ref="K484:AE484" si="392">K$477*K433</f>
        <v>9402.4993106469174</v>
      </c>
      <c r="L484" s="32">
        <f t="shared" si="392"/>
        <v>9402.4993106469174</v>
      </c>
      <c r="M484" s="32">
        <f t="shared" si="392"/>
        <v>9402.4993106469174</v>
      </c>
      <c r="N484" s="32">
        <f t="shared" si="392"/>
        <v>9402.4993106469174</v>
      </c>
      <c r="O484" s="32">
        <f t="shared" si="392"/>
        <v>9402.4993106469174</v>
      </c>
      <c r="P484" s="32">
        <f t="shared" si="392"/>
        <v>9402.4993106469174</v>
      </c>
      <c r="Q484" s="32">
        <f t="shared" si="392"/>
        <v>9402.4993106469174</v>
      </c>
      <c r="R484" s="32">
        <f t="shared" si="392"/>
        <v>9402.4993106469174</v>
      </c>
      <c r="S484" s="32">
        <f t="shared" si="392"/>
        <v>9402.4993106469174</v>
      </c>
      <c r="T484" s="32">
        <f t="shared" si="392"/>
        <v>9402.4993106469174</v>
      </c>
      <c r="U484" s="32">
        <f t="shared" si="392"/>
        <v>9402.4993106469174</v>
      </c>
      <c r="V484" s="32">
        <f t="shared" si="392"/>
        <v>9402.4993106469174</v>
      </c>
      <c r="W484" s="32">
        <f t="shared" si="392"/>
        <v>9402.4993106469174</v>
      </c>
      <c r="X484" s="32">
        <f t="shared" si="392"/>
        <v>9402.4993106469174</v>
      </c>
      <c r="Y484" s="32">
        <f t="shared" si="392"/>
        <v>9402.4993106469174</v>
      </c>
      <c r="Z484" s="32">
        <f t="shared" si="392"/>
        <v>9402.4993106469174</v>
      </c>
      <c r="AA484" s="32">
        <f t="shared" si="392"/>
        <v>9402.4993106469174</v>
      </c>
      <c r="AB484" s="32">
        <f t="shared" si="392"/>
        <v>9402.4993106469174</v>
      </c>
      <c r="AC484" s="32">
        <f t="shared" si="392"/>
        <v>9402.4993106469174</v>
      </c>
      <c r="AD484" s="32">
        <f t="shared" si="392"/>
        <v>9402.4993106469174</v>
      </c>
      <c r="AE484" s="32">
        <f t="shared" si="392"/>
        <v>9402.4993106469174</v>
      </c>
      <c r="AF484" s="1"/>
    </row>
    <row r="485" spans="3:32" x14ac:dyDescent="0.2">
      <c r="C485" s="5" t="str">
        <f t="shared" si="377"/>
        <v>Team Leader - Refractory</v>
      </c>
      <c r="D485" s="5"/>
      <c r="F485" s="1" t="s">
        <v>51</v>
      </c>
      <c r="I485" s="32">
        <f t="shared" ref="I485" si="393">I$477*I434</f>
        <v>9751.251407031099</v>
      </c>
      <c r="J485" s="32">
        <f t="shared" ref="J485" si="394">J$477*J434</f>
        <v>9751.251407031099</v>
      </c>
      <c r="K485" s="32">
        <f t="shared" ref="K485:AE485" si="395">K$477*K434</f>
        <v>9751.251407031099</v>
      </c>
      <c r="L485" s="32">
        <f t="shared" si="395"/>
        <v>9751.251407031099</v>
      </c>
      <c r="M485" s="32">
        <f t="shared" si="395"/>
        <v>9751.251407031099</v>
      </c>
      <c r="N485" s="32">
        <f t="shared" si="395"/>
        <v>9751.251407031099</v>
      </c>
      <c r="O485" s="32">
        <f t="shared" si="395"/>
        <v>9751.251407031099</v>
      </c>
      <c r="P485" s="32">
        <f t="shared" si="395"/>
        <v>9751.251407031099</v>
      </c>
      <c r="Q485" s="32">
        <f t="shared" si="395"/>
        <v>9751.251407031099</v>
      </c>
      <c r="R485" s="32">
        <f t="shared" si="395"/>
        <v>9751.251407031099</v>
      </c>
      <c r="S485" s="32">
        <f t="shared" si="395"/>
        <v>9751.251407031099</v>
      </c>
      <c r="T485" s="32">
        <f t="shared" si="395"/>
        <v>9751.251407031099</v>
      </c>
      <c r="U485" s="32">
        <f t="shared" si="395"/>
        <v>9751.251407031099</v>
      </c>
      <c r="V485" s="32">
        <f t="shared" si="395"/>
        <v>9751.251407031099</v>
      </c>
      <c r="W485" s="32">
        <f t="shared" si="395"/>
        <v>9751.251407031099</v>
      </c>
      <c r="X485" s="32">
        <f t="shared" si="395"/>
        <v>9751.251407031099</v>
      </c>
      <c r="Y485" s="32">
        <f t="shared" si="395"/>
        <v>9751.251407031099</v>
      </c>
      <c r="Z485" s="32">
        <f t="shared" si="395"/>
        <v>9751.251407031099</v>
      </c>
      <c r="AA485" s="32">
        <f t="shared" si="395"/>
        <v>9751.251407031099</v>
      </c>
      <c r="AB485" s="32">
        <f t="shared" si="395"/>
        <v>9751.251407031099</v>
      </c>
      <c r="AC485" s="32">
        <f t="shared" si="395"/>
        <v>9751.251407031099</v>
      </c>
      <c r="AD485" s="32">
        <f t="shared" si="395"/>
        <v>9751.251407031099</v>
      </c>
      <c r="AE485" s="32">
        <f t="shared" si="395"/>
        <v>9751.251407031099</v>
      </c>
      <c r="AF485" s="1"/>
    </row>
    <row r="486" spans="3:32" x14ac:dyDescent="0.2">
      <c r="C486" s="5" t="str">
        <f t="shared" si="377"/>
        <v>Operator - Refractory</v>
      </c>
      <c r="D486" s="5"/>
      <c r="F486" s="1" t="s">
        <v>51</v>
      </c>
      <c r="I486" s="32">
        <f t="shared" ref="I486" si="396">I$477*I435</f>
        <v>8453.2254487079226</v>
      </c>
      <c r="J486" s="32">
        <f t="shared" ref="J486" si="397">J$477*J435</f>
        <v>8453.2254487079226</v>
      </c>
      <c r="K486" s="32">
        <f t="shared" ref="K486:AE486" si="398">K$477*K435</f>
        <v>8453.2254487079226</v>
      </c>
      <c r="L486" s="32">
        <f t="shared" si="398"/>
        <v>8453.2254487079226</v>
      </c>
      <c r="M486" s="32">
        <f t="shared" si="398"/>
        <v>8453.2254487079226</v>
      </c>
      <c r="N486" s="32">
        <f t="shared" si="398"/>
        <v>8453.2254487079226</v>
      </c>
      <c r="O486" s="32">
        <f t="shared" si="398"/>
        <v>8453.2254487079226</v>
      </c>
      <c r="P486" s="32">
        <f t="shared" si="398"/>
        <v>8453.2254487079226</v>
      </c>
      <c r="Q486" s="32">
        <f t="shared" si="398"/>
        <v>8453.2254487079226</v>
      </c>
      <c r="R486" s="32">
        <f t="shared" si="398"/>
        <v>8453.2254487079226</v>
      </c>
      <c r="S486" s="32">
        <f t="shared" si="398"/>
        <v>8453.2254487079226</v>
      </c>
      <c r="T486" s="32">
        <f t="shared" si="398"/>
        <v>8453.2254487079226</v>
      </c>
      <c r="U486" s="32">
        <f t="shared" si="398"/>
        <v>8453.2254487079226</v>
      </c>
      <c r="V486" s="32">
        <f t="shared" si="398"/>
        <v>8453.2254487079226</v>
      </c>
      <c r="W486" s="32">
        <f t="shared" si="398"/>
        <v>8453.2254487079226</v>
      </c>
      <c r="X486" s="32">
        <f t="shared" si="398"/>
        <v>8453.2254487079226</v>
      </c>
      <c r="Y486" s="32">
        <f t="shared" si="398"/>
        <v>8453.2254487079226</v>
      </c>
      <c r="Z486" s="32">
        <f t="shared" si="398"/>
        <v>8453.2254487079226</v>
      </c>
      <c r="AA486" s="32">
        <f t="shared" si="398"/>
        <v>8453.2254487079226</v>
      </c>
      <c r="AB486" s="32">
        <f t="shared" si="398"/>
        <v>8453.2254487079226</v>
      </c>
      <c r="AC486" s="32">
        <f t="shared" si="398"/>
        <v>8453.2254487079226</v>
      </c>
      <c r="AD486" s="32">
        <f t="shared" si="398"/>
        <v>8453.2254487079226</v>
      </c>
      <c r="AE486" s="32">
        <f t="shared" si="398"/>
        <v>8453.2254487079226</v>
      </c>
      <c r="AF486" s="1"/>
    </row>
    <row r="487" spans="3:32" x14ac:dyDescent="0.2">
      <c r="C487" s="5"/>
      <c r="D487" s="5"/>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1"/>
    </row>
    <row r="488" spans="3:32" x14ac:dyDescent="0.2">
      <c r="C488" s="47" t="str">
        <f>C437</f>
        <v>Casting</v>
      </c>
      <c r="D488" s="5"/>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1"/>
    </row>
    <row r="489" spans="3:32" x14ac:dyDescent="0.2">
      <c r="C489" s="5" t="str">
        <f>C438</f>
        <v xml:space="preserve">Senior Casting Operator </v>
      </c>
      <c r="D489" s="5"/>
      <c r="F489" s="1" t="s">
        <v>51</v>
      </c>
      <c r="I489" s="32">
        <f t="shared" ref="I489" si="399">I$477*I438</f>
        <v>11455.037849577755</v>
      </c>
      <c r="J489" s="32">
        <f t="shared" ref="J489" si="400">J$477*J438</f>
        <v>11455.037849577755</v>
      </c>
      <c r="K489" s="32">
        <f t="shared" ref="K489:AE489" si="401">K$477*K438</f>
        <v>11455.037849577755</v>
      </c>
      <c r="L489" s="32">
        <f t="shared" si="401"/>
        <v>11455.037849577755</v>
      </c>
      <c r="M489" s="32">
        <f t="shared" si="401"/>
        <v>11455.037849577755</v>
      </c>
      <c r="N489" s="32">
        <f t="shared" si="401"/>
        <v>11455.037849577755</v>
      </c>
      <c r="O489" s="32">
        <f t="shared" si="401"/>
        <v>11455.037849577755</v>
      </c>
      <c r="P489" s="32">
        <f t="shared" si="401"/>
        <v>11455.037849577755</v>
      </c>
      <c r="Q489" s="32">
        <f t="shared" si="401"/>
        <v>11455.037849577755</v>
      </c>
      <c r="R489" s="32">
        <f t="shared" si="401"/>
        <v>11455.037849577755</v>
      </c>
      <c r="S489" s="32">
        <f t="shared" si="401"/>
        <v>11455.037849577755</v>
      </c>
      <c r="T489" s="32">
        <f t="shared" si="401"/>
        <v>11455.037849577755</v>
      </c>
      <c r="U489" s="32">
        <f t="shared" si="401"/>
        <v>11455.037849577755</v>
      </c>
      <c r="V489" s="32">
        <f t="shared" si="401"/>
        <v>11455.037849577755</v>
      </c>
      <c r="W489" s="32">
        <f t="shared" si="401"/>
        <v>11455.037849577755</v>
      </c>
      <c r="X489" s="32">
        <f t="shared" si="401"/>
        <v>11455.037849577755</v>
      </c>
      <c r="Y489" s="32">
        <f t="shared" si="401"/>
        <v>11455.037849577755</v>
      </c>
      <c r="Z489" s="32">
        <f t="shared" si="401"/>
        <v>11455.037849577755</v>
      </c>
      <c r="AA489" s="32">
        <f t="shared" si="401"/>
        <v>11455.037849577755</v>
      </c>
      <c r="AB489" s="32">
        <f t="shared" si="401"/>
        <v>11455.037849577755</v>
      </c>
      <c r="AC489" s="32">
        <f t="shared" si="401"/>
        <v>11455.037849577755</v>
      </c>
      <c r="AD489" s="32">
        <f t="shared" si="401"/>
        <v>11455.037849577755</v>
      </c>
      <c r="AE489" s="32">
        <f t="shared" si="401"/>
        <v>11455.037849577755</v>
      </c>
      <c r="AF489" s="1"/>
    </row>
    <row r="490" spans="3:32" x14ac:dyDescent="0.2">
      <c r="C490" s="5" t="str">
        <f>C439</f>
        <v>Operator</v>
      </c>
      <c r="D490" s="5"/>
      <c r="F490" s="1" t="s">
        <v>51</v>
      </c>
      <c r="I490" s="32">
        <f t="shared" ref="I490" si="402">I$477*I439</f>
        <v>10112.939215582217</v>
      </c>
      <c r="J490" s="32">
        <f t="shared" ref="J490" si="403">J$477*J439</f>
        <v>10112.939215582217</v>
      </c>
      <c r="K490" s="32">
        <f t="shared" ref="K490:AE490" si="404">K$477*K439</f>
        <v>10112.939215582217</v>
      </c>
      <c r="L490" s="32">
        <f t="shared" si="404"/>
        <v>10112.939215582217</v>
      </c>
      <c r="M490" s="32">
        <f t="shared" si="404"/>
        <v>10112.939215582217</v>
      </c>
      <c r="N490" s="32">
        <f t="shared" si="404"/>
        <v>10112.939215582217</v>
      </c>
      <c r="O490" s="32">
        <f t="shared" si="404"/>
        <v>10112.939215582217</v>
      </c>
      <c r="P490" s="32">
        <f t="shared" si="404"/>
        <v>10112.939215582217</v>
      </c>
      <c r="Q490" s="32">
        <f t="shared" si="404"/>
        <v>10112.939215582217</v>
      </c>
      <c r="R490" s="32">
        <f t="shared" si="404"/>
        <v>10112.939215582217</v>
      </c>
      <c r="S490" s="32">
        <f t="shared" si="404"/>
        <v>10112.939215582217</v>
      </c>
      <c r="T490" s="32">
        <f t="shared" si="404"/>
        <v>10112.939215582217</v>
      </c>
      <c r="U490" s="32">
        <f t="shared" si="404"/>
        <v>10112.939215582217</v>
      </c>
      <c r="V490" s="32">
        <f t="shared" si="404"/>
        <v>10112.939215582217</v>
      </c>
      <c r="W490" s="32">
        <f t="shared" si="404"/>
        <v>10112.939215582217</v>
      </c>
      <c r="X490" s="32">
        <f t="shared" si="404"/>
        <v>10112.939215582217</v>
      </c>
      <c r="Y490" s="32">
        <f t="shared" si="404"/>
        <v>10112.939215582217</v>
      </c>
      <c r="Z490" s="32">
        <f t="shared" si="404"/>
        <v>10112.939215582217</v>
      </c>
      <c r="AA490" s="32">
        <f t="shared" si="404"/>
        <v>10112.939215582217</v>
      </c>
      <c r="AB490" s="32">
        <f t="shared" si="404"/>
        <v>10112.939215582217</v>
      </c>
      <c r="AC490" s="32">
        <f t="shared" si="404"/>
        <v>10112.939215582217</v>
      </c>
      <c r="AD490" s="32">
        <f t="shared" si="404"/>
        <v>10112.939215582217</v>
      </c>
      <c r="AE490" s="32">
        <f t="shared" si="404"/>
        <v>10112.939215582217</v>
      </c>
      <c r="AF490" s="1"/>
    </row>
    <row r="491" spans="3:32" x14ac:dyDescent="0.2">
      <c r="C491" s="5" t="str">
        <f>C440</f>
        <v>Operator - Casting bay</v>
      </c>
      <c r="D491" s="5"/>
      <c r="F491" s="1" t="s">
        <v>51</v>
      </c>
      <c r="I491" s="32">
        <f t="shared" ref="I491" si="405">I$477*I440</f>
        <v>8150.8970630076728</v>
      </c>
      <c r="J491" s="32">
        <f t="shared" ref="J491" si="406">J$477*J440</f>
        <v>8150.8970630076728</v>
      </c>
      <c r="K491" s="32">
        <f t="shared" ref="K491:AE491" si="407">K$477*K440</f>
        <v>8150.8970630076728</v>
      </c>
      <c r="L491" s="32">
        <f t="shared" si="407"/>
        <v>8150.8970630076728</v>
      </c>
      <c r="M491" s="32">
        <f t="shared" si="407"/>
        <v>8150.8970630076728</v>
      </c>
      <c r="N491" s="32">
        <f t="shared" si="407"/>
        <v>8150.8970630076728</v>
      </c>
      <c r="O491" s="32">
        <f t="shared" si="407"/>
        <v>8150.8970630076728</v>
      </c>
      <c r="P491" s="32">
        <f t="shared" si="407"/>
        <v>8150.8970630076728</v>
      </c>
      <c r="Q491" s="32">
        <f t="shared" si="407"/>
        <v>8150.8970630076728</v>
      </c>
      <c r="R491" s="32">
        <f t="shared" si="407"/>
        <v>8150.8970630076728</v>
      </c>
      <c r="S491" s="32">
        <f t="shared" si="407"/>
        <v>8150.8970630076728</v>
      </c>
      <c r="T491" s="32">
        <f t="shared" si="407"/>
        <v>8150.8970630076728</v>
      </c>
      <c r="U491" s="32">
        <f t="shared" si="407"/>
        <v>8150.8970630076728</v>
      </c>
      <c r="V491" s="32">
        <f t="shared" si="407"/>
        <v>8150.8970630076728</v>
      </c>
      <c r="W491" s="32">
        <f t="shared" si="407"/>
        <v>8150.8970630076728</v>
      </c>
      <c r="X491" s="32">
        <f t="shared" si="407"/>
        <v>8150.8970630076728</v>
      </c>
      <c r="Y491" s="32">
        <f t="shared" si="407"/>
        <v>8150.8970630076728</v>
      </c>
      <c r="Z491" s="32">
        <f t="shared" si="407"/>
        <v>8150.8970630076728</v>
      </c>
      <c r="AA491" s="32">
        <f t="shared" si="407"/>
        <v>8150.8970630076728</v>
      </c>
      <c r="AB491" s="32">
        <f t="shared" si="407"/>
        <v>8150.8970630076728</v>
      </c>
      <c r="AC491" s="32">
        <f t="shared" si="407"/>
        <v>8150.8970630076728</v>
      </c>
      <c r="AD491" s="32">
        <f t="shared" si="407"/>
        <v>8150.8970630076728</v>
      </c>
      <c r="AE491" s="32">
        <f t="shared" si="407"/>
        <v>8150.8970630076728</v>
      </c>
      <c r="AF491" s="1"/>
    </row>
    <row r="492" spans="3:32" x14ac:dyDescent="0.2">
      <c r="C492" s="5"/>
      <c r="D492" s="5"/>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1"/>
    </row>
    <row r="493" spans="3:32" x14ac:dyDescent="0.2">
      <c r="C493" s="47" t="str">
        <f>C442</f>
        <v>HYL</v>
      </c>
      <c r="D493" s="5"/>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1"/>
    </row>
    <row r="494" spans="3:32" x14ac:dyDescent="0.2">
      <c r="C494" s="5" t="str">
        <f>C443</f>
        <v>Manager of HYL Production</v>
      </c>
      <c r="D494" s="5"/>
      <c r="F494" s="1" t="s">
        <v>51</v>
      </c>
      <c r="I494" s="32">
        <f t="shared" ref="I494" si="408">I$477*I443</f>
        <v>30719.552626204226</v>
      </c>
      <c r="J494" s="32">
        <f t="shared" ref="J494" si="409">J$477*J443</f>
        <v>30719.552626204226</v>
      </c>
      <c r="K494" s="32">
        <f t="shared" ref="K494:AE494" si="410">K$477*K443</f>
        <v>30719.552626204226</v>
      </c>
      <c r="L494" s="32">
        <f t="shared" si="410"/>
        <v>30719.552626204226</v>
      </c>
      <c r="M494" s="32">
        <f t="shared" si="410"/>
        <v>30719.552626204226</v>
      </c>
      <c r="N494" s="32">
        <f t="shared" si="410"/>
        <v>30719.552626204226</v>
      </c>
      <c r="O494" s="32">
        <f t="shared" si="410"/>
        <v>30719.552626204226</v>
      </c>
      <c r="P494" s="32">
        <f t="shared" si="410"/>
        <v>30719.552626204226</v>
      </c>
      <c r="Q494" s="32">
        <f t="shared" si="410"/>
        <v>30719.552626204226</v>
      </c>
      <c r="R494" s="32">
        <f t="shared" si="410"/>
        <v>30719.552626204226</v>
      </c>
      <c r="S494" s="32">
        <f t="shared" si="410"/>
        <v>30719.552626204226</v>
      </c>
      <c r="T494" s="32">
        <f t="shared" si="410"/>
        <v>30719.552626204226</v>
      </c>
      <c r="U494" s="32">
        <f t="shared" si="410"/>
        <v>30719.552626204226</v>
      </c>
      <c r="V494" s="32">
        <f t="shared" si="410"/>
        <v>30719.552626204226</v>
      </c>
      <c r="W494" s="32">
        <f t="shared" si="410"/>
        <v>30719.552626204226</v>
      </c>
      <c r="X494" s="32">
        <f t="shared" si="410"/>
        <v>30719.552626204226</v>
      </c>
      <c r="Y494" s="32">
        <f t="shared" si="410"/>
        <v>30719.552626204226</v>
      </c>
      <c r="Z494" s="32">
        <f t="shared" si="410"/>
        <v>30719.552626204226</v>
      </c>
      <c r="AA494" s="32">
        <f t="shared" si="410"/>
        <v>30719.552626204226</v>
      </c>
      <c r="AB494" s="32">
        <f t="shared" si="410"/>
        <v>30719.552626204226</v>
      </c>
      <c r="AC494" s="32">
        <f t="shared" si="410"/>
        <v>30719.552626204226</v>
      </c>
      <c r="AD494" s="32">
        <f t="shared" si="410"/>
        <v>30719.552626204226</v>
      </c>
      <c r="AE494" s="32">
        <f t="shared" si="410"/>
        <v>30719.552626204226</v>
      </c>
      <c r="AF494" s="1"/>
    </row>
    <row r="495" spans="3:32" x14ac:dyDescent="0.2">
      <c r="C495" s="5" t="str">
        <f>C444</f>
        <v>Supervisor/Team Leader of HYL</v>
      </c>
      <c r="D495" s="5"/>
      <c r="F495" s="1" t="s">
        <v>51</v>
      </c>
      <c r="I495" s="32">
        <f t="shared" ref="I495" si="411">I$477*I444</f>
        <v>13581.918088802573</v>
      </c>
      <c r="J495" s="32">
        <f t="shared" ref="J495" si="412">J$477*J444</f>
        <v>13581.918088802573</v>
      </c>
      <c r="K495" s="32">
        <f t="shared" ref="K495:AE495" si="413">K$477*K444</f>
        <v>13581.918088802573</v>
      </c>
      <c r="L495" s="32">
        <f t="shared" si="413"/>
        <v>13581.918088802573</v>
      </c>
      <c r="M495" s="32">
        <f t="shared" si="413"/>
        <v>13581.918088802573</v>
      </c>
      <c r="N495" s="32">
        <f t="shared" si="413"/>
        <v>13581.918088802573</v>
      </c>
      <c r="O495" s="32">
        <f t="shared" si="413"/>
        <v>13581.918088802573</v>
      </c>
      <c r="P495" s="32">
        <f t="shared" si="413"/>
        <v>13581.918088802573</v>
      </c>
      <c r="Q495" s="32">
        <f t="shared" si="413"/>
        <v>13581.918088802573</v>
      </c>
      <c r="R495" s="32">
        <f t="shared" si="413"/>
        <v>13581.918088802573</v>
      </c>
      <c r="S495" s="32">
        <f t="shared" si="413"/>
        <v>13581.918088802573</v>
      </c>
      <c r="T495" s="32">
        <f t="shared" si="413"/>
        <v>13581.918088802573</v>
      </c>
      <c r="U495" s="32">
        <f t="shared" si="413"/>
        <v>13581.918088802573</v>
      </c>
      <c r="V495" s="32">
        <f t="shared" si="413"/>
        <v>13581.918088802573</v>
      </c>
      <c r="W495" s="32">
        <f t="shared" si="413"/>
        <v>13581.918088802573</v>
      </c>
      <c r="X495" s="32">
        <f t="shared" si="413"/>
        <v>13581.918088802573</v>
      </c>
      <c r="Y495" s="32">
        <f t="shared" si="413"/>
        <v>13581.918088802573</v>
      </c>
      <c r="Z495" s="32">
        <f t="shared" si="413"/>
        <v>13581.918088802573</v>
      </c>
      <c r="AA495" s="32">
        <f t="shared" si="413"/>
        <v>13581.918088802573</v>
      </c>
      <c r="AB495" s="32">
        <f t="shared" si="413"/>
        <v>13581.918088802573</v>
      </c>
      <c r="AC495" s="32">
        <f t="shared" si="413"/>
        <v>13581.918088802573</v>
      </c>
      <c r="AD495" s="32">
        <f t="shared" si="413"/>
        <v>13581.918088802573</v>
      </c>
      <c r="AE495" s="32">
        <f t="shared" si="413"/>
        <v>13581.918088802573</v>
      </c>
      <c r="AF495" s="1"/>
    </row>
    <row r="496" spans="3:32" x14ac:dyDescent="0.2">
      <c r="C496" s="5" t="str">
        <f>C445</f>
        <v>Senior Operator - Mechanical</v>
      </c>
      <c r="D496" s="5"/>
      <c r="F496" s="1" t="s">
        <v>51</v>
      </c>
      <c r="I496" s="32">
        <f t="shared" ref="I496" si="414">I$477*I445</f>
        <v>11396.880070675128</v>
      </c>
      <c r="J496" s="32">
        <f t="shared" ref="J496" si="415">J$477*J445</f>
        <v>11396.880070675128</v>
      </c>
      <c r="K496" s="32">
        <f t="shared" ref="K496:AE496" si="416">K$477*K445</f>
        <v>11396.880070675128</v>
      </c>
      <c r="L496" s="32">
        <f t="shared" si="416"/>
        <v>11396.880070675128</v>
      </c>
      <c r="M496" s="32">
        <f t="shared" si="416"/>
        <v>11396.880070675128</v>
      </c>
      <c r="N496" s="32">
        <f t="shared" si="416"/>
        <v>11396.880070675128</v>
      </c>
      <c r="O496" s="32">
        <f t="shared" si="416"/>
        <v>11396.880070675128</v>
      </c>
      <c r="P496" s="32">
        <f t="shared" si="416"/>
        <v>11396.880070675128</v>
      </c>
      <c r="Q496" s="32">
        <f t="shared" si="416"/>
        <v>11396.880070675128</v>
      </c>
      <c r="R496" s="32">
        <f t="shared" si="416"/>
        <v>11396.880070675128</v>
      </c>
      <c r="S496" s="32">
        <f t="shared" si="416"/>
        <v>11396.880070675128</v>
      </c>
      <c r="T496" s="32">
        <f t="shared" si="416"/>
        <v>11396.880070675128</v>
      </c>
      <c r="U496" s="32">
        <f t="shared" si="416"/>
        <v>11396.880070675128</v>
      </c>
      <c r="V496" s="32">
        <f t="shared" si="416"/>
        <v>11396.880070675128</v>
      </c>
      <c r="W496" s="32">
        <f t="shared" si="416"/>
        <v>11396.880070675128</v>
      </c>
      <c r="X496" s="32">
        <f t="shared" si="416"/>
        <v>11396.880070675128</v>
      </c>
      <c r="Y496" s="32">
        <f t="shared" si="416"/>
        <v>11396.880070675128</v>
      </c>
      <c r="Z496" s="32">
        <f t="shared" si="416"/>
        <v>11396.880070675128</v>
      </c>
      <c r="AA496" s="32">
        <f t="shared" si="416"/>
        <v>11396.880070675128</v>
      </c>
      <c r="AB496" s="32">
        <f t="shared" si="416"/>
        <v>11396.880070675128</v>
      </c>
      <c r="AC496" s="32">
        <f t="shared" si="416"/>
        <v>11396.880070675128</v>
      </c>
      <c r="AD496" s="32">
        <f t="shared" si="416"/>
        <v>11396.880070675128</v>
      </c>
      <c r="AE496" s="32">
        <f t="shared" si="416"/>
        <v>11396.880070675128</v>
      </c>
      <c r="AF496" s="1"/>
    </row>
    <row r="497" spans="3:32" x14ac:dyDescent="0.2">
      <c r="C497" s="5" t="str">
        <f>C446</f>
        <v>Operator</v>
      </c>
      <c r="D497" s="5"/>
      <c r="F497" s="1" t="s">
        <v>51</v>
      </c>
      <c r="I497" s="32">
        <f t="shared" ref="I497" si="417">I$477*I446</f>
        <v>8150.8970630076728</v>
      </c>
      <c r="J497" s="32">
        <f t="shared" ref="J497" si="418">J$477*J446</f>
        <v>8150.8970630076728</v>
      </c>
      <c r="K497" s="32">
        <f t="shared" ref="K497:AE497" si="419">K$477*K446</f>
        <v>8150.8970630076728</v>
      </c>
      <c r="L497" s="32">
        <f t="shared" si="419"/>
        <v>8150.8970630076728</v>
      </c>
      <c r="M497" s="32">
        <f t="shared" si="419"/>
        <v>8150.8970630076728</v>
      </c>
      <c r="N497" s="32">
        <f t="shared" si="419"/>
        <v>8150.8970630076728</v>
      </c>
      <c r="O497" s="32">
        <f t="shared" si="419"/>
        <v>8150.8970630076728</v>
      </c>
      <c r="P497" s="32">
        <f t="shared" si="419"/>
        <v>8150.8970630076728</v>
      </c>
      <c r="Q497" s="32">
        <f t="shared" si="419"/>
        <v>8150.8970630076728</v>
      </c>
      <c r="R497" s="32">
        <f t="shared" si="419"/>
        <v>8150.8970630076728</v>
      </c>
      <c r="S497" s="32">
        <f t="shared" si="419"/>
        <v>8150.8970630076728</v>
      </c>
      <c r="T497" s="32">
        <f t="shared" si="419"/>
        <v>8150.8970630076728</v>
      </c>
      <c r="U497" s="32">
        <f t="shared" si="419"/>
        <v>8150.8970630076728</v>
      </c>
      <c r="V497" s="32">
        <f t="shared" si="419"/>
        <v>8150.8970630076728</v>
      </c>
      <c r="W497" s="32">
        <f t="shared" si="419"/>
        <v>8150.8970630076728</v>
      </c>
      <c r="X497" s="32">
        <f t="shared" si="419"/>
        <v>8150.8970630076728</v>
      </c>
      <c r="Y497" s="32">
        <f t="shared" si="419"/>
        <v>8150.8970630076728</v>
      </c>
      <c r="Z497" s="32">
        <f t="shared" si="419"/>
        <v>8150.8970630076728</v>
      </c>
      <c r="AA497" s="32">
        <f t="shared" si="419"/>
        <v>8150.8970630076728</v>
      </c>
      <c r="AB497" s="32">
        <f t="shared" si="419"/>
        <v>8150.8970630076728</v>
      </c>
      <c r="AC497" s="32">
        <f t="shared" si="419"/>
        <v>8150.8970630076728</v>
      </c>
      <c r="AD497" s="32">
        <f t="shared" si="419"/>
        <v>8150.8970630076728</v>
      </c>
      <c r="AE497" s="32">
        <f t="shared" si="419"/>
        <v>8150.8970630076728</v>
      </c>
      <c r="AF497" s="1"/>
    </row>
    <row r="498" spans="3:32" x14ac:dyDescent="0.2">
      <c r="C498" s="5"/>
      <c r="D498" s="5"/>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1"/>
    </row>
    <row r="499" spans="3:32" x14ac:dyDescent="0.2">
      <c r="C499" s="47" t="str">
        <f>C448</f>
        <v>Cold Processing</v>
      </c>
      <c r="D499" s="5"/>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1"/>
    </row>
    <row r="500" spans="3:32" x14ac:dyDescent="0.2">
      <c r="C500" s="5" t="str">
        <f>C449</f>
        <v>Manager of Cold Processing Production</v>
      </c>
      <c r="D500" s="5"/>
      <c r="F500" s="1" t="s">
        <v>51</v>
      </c>
      <c r="I500" s="32">
        <f t="shared" ref="I500" si="420">I$477*I449</f>
        <v>30719.552626204226</v>
      </c>
      <c r="J500" s="32">
        <f t="shared" ref="J500" si="421">J$477*J449</f>
        <v>30719.552626204226</v>
      </c>
      <c r="K500" s="32">
        <f t="shared" ref="K500:AE500" si="422">K$477*K449</f>
        <v>30719.552626204226</v>
      </c>
      <c r="L500" s="32">
        <f t="shared" si="422"/>
        <v>30719.552626204226</v>
      </c>
      <c r="M500" s="32">
        <f t="shared" si="422"/>
        <v>30719.552626204226</v>
      </c>
      <c r="N500" s="32">
        <f t="shared" si="422"/>
        <v>30719.552626204226</v>
      </c>
      <c r="O500" s="32">
        <f t="shared" si="422"/>
        <v>30719.552626204226</v>
      </c>
      <c r="P500" s="32">
        <f t="shared" si="422"/>
        <v>30719.552626204226</v>
      </c>
      <c r="Q500" s="32">
        <f t="shared" si="422"/>
        <v>30719.552626204226</v>
      </c>
      <c r="R500" s="32">
        <f t="shared" si="422"/>
        <v>30719.552626204226</v>
      </c>
      <c r="S500" s="32">
        <f t="shared" si="422"/>
        <v>30719.552626204226</v>
      </c>
      <c r="T500" s="32">
        <f t="shared" si="422"/>
        <v>30719.552626204226</v>
      </c>
      <c r="U500" s="32">
        <f t="shared" si="422"/>
        <v>30719.552626204226</v>
      </c>
      <c r="V500" s="32">
        <f t="shared" si="422"/>
        <v>30719.552626204226</v>
      </c>
      <c r="W500" s="32">
        <f t="shared" si="422"/>
        <v>30719.552626204226</v>
      </c>
      <c r="X500" s="32">
        <f t="shared" si="422"/>
        <v>30719.552626204226</v>
      </c>
      <c r="Y500" s="32">
        <f t="shared" si="422"/>
        <v>30719.552626204226</v>
      </c>
      <c r="Z500" s="32">
        <f t="shared" si="422"/>
        <v>30719.552626204226</v>
      </c>
      <c r="AA500" s="32">
        <f t="shared" si="422"/>
        <v>30719.552626204226</v>
      </c>
      <c r="AB500" s="32">
        <f t="shared" si="422"/>
        <v>30719.552626204226</v>
      </c>
      <c r="AC500" s="32">
        <f t="shared" si="422"/>
        <v>30719.552626204226</v>
      </c>
      <c r="AD500" s="32">
        <f t="shared" si="422"/>
        <v>30719.552626204226</v>
      </c>
      <c r="AE500" s="32">
        <f t="shared" si="422"/>
        <v>30719.552626204226</v>
      </c>
      <c r="AF500" s="1"/>
    </row>
    <row r="501" spans="3:32" x14ac:dyDescent="0.2">
      <c r="C501" s="5" t="str">
        <f>C450</f>
        <v xml:space="preserve">Senior Operator </v>
      </c>
      <c r="D501" s="5"/>
      <c r="F501" s="1" t="s">
        <v>51</v>
      </c>
      <c r="I501" s="32">
        <f t="shared" ref="I501" si="423">I$477*I450</f>
        <v>10304.361061611404</v>
      </c>
      <c r="J501" s="32">
        <f t="shared" ref="J501" si="424">J$477*J450</f>
        <v>10304.361061611404</v>
      </c>
      <c r="K501" s="32">
        <f t="shared" ref="K501:AE501" si="425">K$477*K450</f>
        <v>10304.361061611404</v>
      </c>
      <c r="L501" s="32">
        <f t="shared" si="425"/>
        <v>10304.361061611404</v>
      </c>
      <c r="M501" s="32">
        <f t="shared" si="425"/>
        <v>10304.361061611404</v>
      </c>
      <c r="N501" s="32">
        <f t="shared" si="425"/>
        <v>10304.361061611404</v>
      </c>
      <c r="O501" s="32">
        <f t="shared" si="425"/>
        <v>10304.361061611404</v>
      </c>
      <c r="P501" s="32">
        <f t="shared" si="425"/>
        <v>10304.361061611404</v>
      </c>
      <c r="Q501" s="32">
        <f t="shared" si="425"/>
        <v>10304.361061611404</v>
      </c>
      <c r="R501" s="32">
        <f t="shared" si="425"/>
        <v>10304.361061611404</v>
      </c>
      <c r="S501" s="32">
        <f t="shared" si="425"/>
        <v>10304.361061611404</v>
      </c>
      <c r="T501" s="32">
        <f t="shared" si="425"/>
        <v>10304.361061611404</v>
      </c>
      <c r="U501" s="32">
        <f t="shared" si="425"/>
        <v>10304.361061611404</v>
      </c>
      <c r="V501" s="32">
        <f t="shared" si="425"/>
        <v>10304.361061611404</v>
      </c>
      <c r="W501" s="32">
        <f t="shared" si="425"/>
        <v>10304.361061611404</v>
      </c>
      <c r="X501" s="32">
        <f t="shared" si="425"/>
        <v>10304.361061611404</v>
      </c>
      <c r="Y501" s="32">
        <f t="shared" si="425"/>
        <v>10304.361061611404</v>
      </c>
      <c r="Z501" s="32">
        <f t="shared" si="425"/>
        <v>10304.361061611404</v>
      </c>
      <c r="AA501" s="32">
        <f t="shared" si="425"/>
        <v>10304.361061611404</v>
      </c>
      <c r="AB501" s="32">
        <f t="shared" si="425"/>
        <v>10304.361061611404</v>
      </c>
      <c r="AC501" s="32">
        <f t="shared" si="425"/>
        <v>10304.361061611404</v>
      </c>
      <c r="AD501" s="32">
        <f t="shared" si="425"/>
        <v>10304.361061611404</v>
      </c>
      <c r="AE501" s="32">
        <f t="shared" si="425"/>
        <v>10304.361061611404</v>
      </c>
      <c r="AF501" s="1"/>
    </row>
    <row r="502" spans="3:32" x14ac:dyDescent="0.2">
      <c r="C502" s="5" t="str">
        <f>C451</f>
        <v>Operator</v>
      </c>
      <c r="D502" s="5"/>
      <c r="F502" s="1" t="s">
        <v>51</v>
      </c>
      <c r="I502" s="32">
        <f t="shared" ref="I502" si="426">I$477*I451</f>
        <v>8514.9588815789466</v>
      </c>
      <c r="J502" s="32">
        <f t="shared" ref="J502" si="427">J$477*J451</f>
        <v>8514.9588815789466</v>
      </c>
      <c r="K502" s="32">
        <f t="shared" ref="K502:AE502" si="428">K$477*K451</f>
        <v>8514.9588815789466</v>
      </c>
      <c r="L502" s="32">
        <f t="shared" si="428"/>
        <v>8514.9588815789466</v>
      </c>
      <c r="M502" s="32">
        <f t="shared" si="428"/>
        <v>8514.9588815789466</v>
      </c>
      <c r="N502" s="32">
        <f t="shared" si="428"/>
        <v>8514.9588815789466</v>
      </c>
      <c r="O502" s="32">
        <f t="shared" si="428"/>
        <v>8514.9588815789466</v>
      </c>
      <c r="P502" s="32">
        <f t="shared" si="428"/>
        <v>8514.9588815789466</v>
      </c>
      <c r="Q502" s="32">
        <f t="shared" si="428"/>
        <v>8514.9588815789466</v>
      </c>
      <c r="R502" s="32">
        <f t="shared" si="428"/>
        <v>8514.9588815789466</v>
      </c>
      <c r="S502" s="32">
        <f t="shared" si="428"/>
        <v>8514.9588815789466</v>
      </c>
      <c r="T502" s="32">
        <f t="shared" si="428"/>
        <v>8514.9588815789466</v>
      </c>
      <c r="U502" s="32">
        <f t="shared" si="428"/>
        <v>8514.9588815789466</v>
      </c>
      <c r="V502" s="32">
        <f t="shared" si="428"/>
        <v>8514.9588815789466</v>
      </c>
      <c r="W502" s="32">
        <f t="shared" si="428"/>
        <v>8514.9588815789466</v>
      </c>
      <c r="X502" s="32">
        <f t="shared" si="428"/>
        <v>8514.9588815789466</v>
      </c>
      <c r="Y502" s="32">
        <f t="shared" si="428"/>
        <v>8514.9588815789466</v>
      </c>
      <c r="Z502" s="32">
        <f t="shared" si="428"/>
        <v>8514.9588815789466</v>
      </c>
      <c r="AA502" s="32">
        <f t="shared" si="428"/>
        <v>8514.9588815789466</v>
      </c>
      <c r="AB502" s="32">
        <f t="shared" si="428"/>
        <v>8514.9588815789466</v>
      </c>
      <c r="AC502" s="32">
        <f t="shared" si="428"/>
        <v>8514.9588815789466</v>
      </c>
      <c r="AD502" s="32">
        <f t="shared" si="428"/>
        <v>8514.9588815789466</v>
      </c>
      <c r="AE502" s="32">
        <f t="shared" si="428"/>
        <v>8514.9588815789466</v>
      </c>
      <c r="AF502" s="1"/>
    </row>
    <row r="503" spans="3:32" x14ac:dyDescent="0.2">
      <c r="C503" s="5"/>
      <c r="D503" s="5"/>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1"/>
    </row>
    <row r="504" spans="3:32" x14ac:dyDescent="0.2">
      <c r="C504" s="47" t="str">
        <f t="shared" ref="C504:C511" si="429">C453</f>
        <v>Shared Personnel</v>
      </c>
      <c r="D504" s="5"/>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1"/>
    </row>
    <row r="505" spans="3:32" x14ac:dyDescent="0.2">
      <c r="C505" s="5" t="str">
        <f t="shared" si="429"/>
        <v>Maintenance Manager</v>
      </c>
      <c r="D505" s="5"/>
      <c r="F505" s="1" t="s">
        <v>51</v>
      </c>
      <c r="I505" s="32">
        <f t="shared" ref="I505" si="430">I$477*I454</f>
        <v>25000.718580669833</v>
      </c>
      <c r="J505" s="32">
        <f t="shared" ref="J505" si="431">J$477*J454</f>
        <v>25000.718580669833</v>
      </c>
      <c r="K505" s="32">
        <f t="shared" ref="K505:AE505" si="432">K$477*K454</f>
        <v>25000.718580669833</v>
      </c>
      <c r="L505" s="32">
        <f t="shared" si="432"/>
        <v>25000.718580669833</v>
      </c>
      <c r="M505" s="32">
        <f t="shared" si="432"/>
        <v>25000.718580669833</v>
      </c>
      <c r="N505" s="32">
        <f t="shared" si="432"/>
        <v>25000.718580669833</v>
      </c>
      <c r="O505" s="32">
        <f t="shared" si="432"/>
        <v>25000.718580669833</v>
      </c>
      <c r="P505" s="32">
        <f t="shared" si="432"/>
        <v>25000.718580669833</v>
      </c>
      <c r="Q505" s="32">
        <f t="shared" si="432"/>
        <v>25000.718580669833</v>
      </c>
      <c r="R505" s="32">
        <f t="shared" si="432"/>
        <v>25000.718580669833</v>
      </c>
      <c r="S505" s="32">
        <f t="shared" si="432"/>
        <v>25000.718580669833</v>
      </c>
      <c r="T505" s="32">
        <f t="shared" si="432"/>
        <v>25000.718580669833</v>
      </c>
      <c r="U505" s="32">
        <f t="shared" si="432"/>
        <v>25000.718580669833</v>
      </c>
      <c r="V505" s="32">
        <f t="shared" si="432"/>
        <v>25000.718580669833</v>
      </c>
      <c r="W505" s="32">
        <f t="shared" si="432"/>
        <v>25000.718580669833</v>
      </c>
      <c r="X505" s="32">
        <f t="shared" si="432"/>
        <v>25000.718580669833</v>
      </c>
      <c r="Y505" s="32">
        <f t="shared" si="432"/>
        <v>25000.718580669833</v>
      </c>
      <c r="Z505" s="32">
        <f t="shared" si="432"/>
        <v>25000.718580669833</v>
      </c>
      <c r="AA505" s="32">
        <f t="shared" si="432"/>
        <v>25000.718580669833</v>
      </c>
      <c r="AB505" s="32">
        <f t="shared" si="432"/>
        <v>25000.718580669833</v>
      </c>
      <c r="AC505" s="32">
        <f t="shared" si="432"/>
        <v>25000.718580669833</v>
      </c>
      <c r="AD505" s="32">
        <f t="shared" si="432"/>
        <v>25000.718580669833</v>
      </c>
      <c r="AE505" s="32">
        <f t="shared" si="432"/>
        <v>25000.718580669833</v>
      </c>
      <c r="AF505" s="1"/>
    </row>
    <row r="506" spans="3:32" x14ac:dyDescent="0.2">
      <c r="C506" s="5" t="str">
        <f t="shared" si="429"/>
        <v>Mechanical Engineer</v>
      </c>
      <c r="D506" s="5"/>
      <c r="F506" s="1" t="s">
        <v>51</v>
      </c>
      <c r="I506" s="32">
        <f t="shared" ref="I506" si="433">I$477*I455</f>
        <v>18412.332630921384</v>
      </c>
      <c r="J506" s="32">
        <f t="shared" ref="J506" si="434">J$477*J455</f>
        <v>18412.332630921384</v>
      </c>
      <c r="K506" s="32">
        <f t="shared" ref="K506:AE506" si="435">K$477*K455</f>
        <v>18412.332630921384</v>
      </c>
      <c r="L506" s="32">
        <f t="shared" si="435"/>
        <v>18412.332630921384</v>
      </c>
      <c r="M506" s="32">
        <f t="shared" si="435"/>
        <v>18412.332630921384</v>
      </c>
      <c r="N506" s="32">
        <f t="shared" si="435"/>
        <v>18412.332630921384</v>
      </c>
      <c r="O506" s="32">
        <f t="shared" si="435"/>
        <v>18412.332630921384</v>
      </c>
      <c r="P506" s="32">
        <f t="shared" si="435"/>
        <v>18412.332630921384</v>
      </c>
      <c r="Q506" s="32">
        <f t="shared" si="435"/>
        <v>18412.332630921384</v>
      </c>
      <c r="R506" s="32">
        <f t="shared" si="435"/>
        <v>18412.332630921384</v>
      </c>
      <c r="S506" s="32">
        <f t="shared" si="435"/>
        <v>18412.332630921384</v>
      </c>
      <c r="T506" s="32">
        <f t="shared" si="435"/>
        <v>18412.332630921384</v>
      </c>
      <c r="U506" s="32">
        <f t="shared" si="435"/>
        <v>18412.332630921384</v>
      </c>
      <c r="V506" s="32">
        <f t="shared" si="435"/>
        <v>18412.332630921384</v>
      </c>
      <c r="W506" s="32">
        <f t="shared" si="435"/>
        <v>18412.332630921384</v>
      </c>
      <c r="X506" s="32">
        <f t="shared" si="435"/>
        <v>18412.332630921384</v>
      </c>
      <c r="Y506" s="32">
        <f t="shared" si="435"/>
        <v>18412.332630921384</v>
      </c>
      <c r="Z506" s="32">
        <f t="shared" si="435"/>
        <v>18412.332630921384</v>
      </c>
      <c r="AA506" s="32">
        <f t="shared" si="435"/>
        <v>18412.332630921384</v>
      </c>
      <c r="AB506" s="32">
        <f t="shared" si="435"/>
        <v>18412.332630921384</v>
      </c>
      <c r="AC506" s="32">
        <f t="shared" si="435"/>
        <v>18412.332630921384</v>
      </c>
      <c r="AD506" s="32">
        <f t="shared" si="435"/>
        <v>18412.332630921384</v>
      </c>
      <c r="AE506" s="32">
        <f t="shared" si="435"/>
        <v>18412.332630921384</v>
      </c>
      <c r="AF506" s="1"/>
    </row>
    <row r="507" spans="3:32" x14ac:dyDescent="0.2">
      <c r="C507" s="5" t="str">
        <f t="shared" si="429"/>
        <v>Electrical Engineer</v>
      </c>
      <c r="D507" s="5"/>
      <c r="F507" s="1" t="s">
        <v>51</v>
      </c>
      <c r="I507" s="32">
        <f t="shared" ref="I507" si="436">I$477*I456</f>
        <v>18412.332630921384</v>
      </c>
      <c r="J507" s="32">
        <f t="shared" ref="J507" si="437">J$477*J456</f>
        <v>18412.332630921384</v>
      </c>
      <c r="K507" s="32">
        <f t="shared" ref="K507:AE507" si="438">K$477*K456</f>
        <v>18412.332630921384</v>
      </c>
      <c r="L507" s="32">
        <f t="shared" si="438"/>
        <v>18412.332630921384</v>
      </c>
      <c r="M507" s="32">
        <f t="shared" si="438"/>
        <v>18412.332630921384</v>
      </c>
      <c r="N507" s="32">
        <f t="shared" si="438"/>
        <v>18412.332630921384</v>
      </c>
      <c r="O507" s="32">
        <f t="shared" si="438"/>
        <v>18412.332630921384</v>
      </c>
      <c r="P507" s="32">
        <f t="shared" si="438"/>
        <v>18412.332630921384</v>
      </c>
      <c r="Q507" s="32">
        <f t="shared" si="438"/>
        <v>18412.332630921384</v>
      </c>
      <c r="R507" s="32">
        <f t="shared" si="438"/>
        <v>18412.332630921384</v>
      </c>
      <c r="S507" s="32">
        <f t="shared" si="438"/>
        <v>18412.332630921384</v>
      </c>
      <c r="T507" s="32">
        <f t="shared" si="438"/>
        <v>18412.332630921384</v>
      </c>
      <c r="U507" s="32">
        <f t="shared" si="438"/>
        <v>18412.332630921384</v>
      </c>
      <c r="V507" s="32">
        <f t="shared" si="438"/>
        <v>18412.332630921384</v>
      </c>
      <c r="W507" s="32">
        <f t="shared" si="438"/>
        <v>18412.332630921384</v>
      </c>
      <c r="X507" s="32">
        <f t="shared" si="438"/>
        <v>18412.332630921384</v>
      </c>
      <c r="Y507" s="32">
        <f t="shared" si="438"/>
        <v>18412.332630921384</v>
      </c>
      <c r="Z507" s="32">
        <f t="shared" si="438"/>
        <v>18412.332630921384</v>
      </c>
      <c r="AA507" s="32">
        <f t="shared" si="438"/>
        <v>18412.332630921384</v>
      </c>
      <c r="AB507" s="32">
        <f t="shared" si="438"/>
        <v>18412.332630921384</v>
      </c>
      <c r="AC507" s="32">
        <f t="shared" si="438"/>
        <v>18412.332630921384</v>
      </c>
      <c r="AD507" s="32">
        <f t="shared" si="438"/>
        <v>18412.332630921384</v>
      </c>
      <c r="AE507" s="32">
        <f t="shared" si="438"/>
        <v>18412.332630921384</v>
      </c>
      <c r="AF507" s="1"/>
    </row>
    <row r="508" spans="3:32" x14ac:dyDescent="0.2">
      <c r="C508" s="5" t="str">
        <f t="shared" si="429"/>
        <v>Information Systems Technician</v>
      </c>
      <c r="D508" s="5"/>
      <c r="F508" s="1" t="s">
        <v>51</v>
      </c>
      <c r="I508" s="32">
        <f t="shared" ref="I508" si="439">I$477*I457</f>
        <v>13581.918088802573</v>
      </c>
      <c r="J508" s="32">
        <f t="shared" ref="J508" si="440">J$477*J457</f>
        <v>13581.918088802573</v>
      </c>
      <c r="K508" s="32">
        <f t="shared" ref="K508:AE508" si="441">K$477*K457</f>
        <v>13581.918088802573</v>
      </c>
      <c r="L508" s="32">
        <f t="shared" si="441"/>
        <v>13581.918088802573</v>
      </c>
      <c r="M508" s="32">
        <f t="shared" si="441"/>
        <v>13581.918088802573</v>
      </c>
      <c r="N508" s="32">
        <f t="shared" si="441"/>
        <v>13581.918088802573</v>
      </c>
      <c r="O508" s="32">
        <f t="shared" si="441"/>
        <v>13581.918088802573</v>
      </c>
      <c r="P508" s="32">
        <f t="shared" si="441"/>
        <v>13581.918088802573</v>
      </c>
      <c r="Q508" s="32">
        <f t="shared" si="441"/>
        <v>13581.918088802573</v>
      </c>
      <c r="R508" s="32">
        <f t="shared" si="441"/>
        <v>13581.918088802573</v>
      </c>
      <c r="S508" s="32">
        <f t="shared" si="441"/>
        <v>13581.918088802573</v>
      </c>
      <c r="T508" s="32">
        <f t="shared" si="441"/>
        <v>13581.918088802573</v>
      </c>
      <c r="U508" s="32">
        <f t="shared" si="441"/>
        <v>13581.918088802573</v>
      </c>
      <c r="V508" s="32">
        <f t="shared" si="441"/>
        <v>13581.918088802573</v>
      </c>
      <c r="W508" s="32">
        <f t="shared" si="441"/>
        <v>13581.918088802573</v>
      </c>
      <c r="X508" s="32">
        <f t="shared" si="441"/>
        <v>13581.918088802573</v>
      </c>
      <c r="Y508" s="32">
        <f t="shared" si="441"/>
        <v>13581.918088802573</v>
      </c>
      <c r="Z508" s="32">
        <f t="shared" si="441"/>
        <v>13581.918088802573</v>
      </c>
      <c r="AA508" s="32">
        <f t="shared" si="441"/>
        <v>13581.918088802573</v>
      </c>
      <c r="AB508" s="32">
        <f t="shared" si="441"/>
        <v>13581.918088802573</v>
      </c>
      <c r="AC508" s="32">
        <f t="shared" si="441"/>
        <v>13581.918088802573</v>
      </c>
      <c r="AD508" s="32">
        <f t="shared" si="441"/>
        <v>13581.918088802573</v>
      </c>
      <c r="AE508" s="32">
        <f t="shared" si="441"/>
        <v>13581.918088802573</v>
      </c>
      <c r="AF508" s="1"/>
    </row>
    <row r="509" spans="3:32" x14ac:dyDescent="0.2">
      <c r="C509" s="5" t="str">
        <f t="shared" si="429"/>
        <v>Craft Maintenance - Electrical</v>
      </c>
      <c r="D509" s="5"/>
      <c r="F509" s="1" t="s">
        <v>51</v>
      </c>
      <c r="I509" s="32">
        <f t="shared" ref="I509" si="442">I$477*I458</f>
        <v>11396.880070675128</v>
      </c>
      <c r="J509" s="32">
        <f t="shared" ref="J509" si="443">J$477*J458</f>
        <v>11396.880070675128</v>
      </c>
      <c r="K509" s="32">
        <f t="shared" ref="K509:AE509" si="444">K$477*K458</f>
        <v>11396.880070675128</v>
      </c>
      <c r="L509" s="32">
        <f t="shared" si="444"/>
        <v>11396.880070675128</v>
      </c>
      <c r="M509" s="32">
        <f t="shared" si="444"/>
        <v>11396.880070675128</v>
      </c>
      <c r="N509" s="32">
        <f t="shared" si="444"/>
        <v>11396.880070675128</v>
      </c>
      <c r="O509" s="32">
        <f t="shared" si="444"/>
        <v>11396.880070675128</v>
      </c>
      <c r="P509" s="32">
        <f t="shared" si="444"/>
        <v>11396.880070675128</v>
      </c>
      <c r="Q509" s="32">
        <f t="shared" si="444"/>
        <v>11396.880070675128</v>
      </c>
      <c r="R509" s="32">
        <f t="shared" si="444"/>
        <v>11396.880070675128</v>
      </c>
      <c r="S509" s="32">
        <f t="shared" si="444"/>
        <v>11396.880070675128</v>
      </c>
      <c r="T509" s="32">
        <f t="shared" si="444"/>
        <v>11396.880070675128</v>
      </c>
      <c r="U509" s="32">
        <f t="shared" si="444"/>
        <v>11396.880070675128</v>
      </c>
      <c r="V509" s="32">
        <f t="shared" si="444"/>
        <v>11396.880070675128</v>
      </c>
      <c r="W509" s="32">
        <f t="shared" si="444"/>
        <v>11396.880070675128</v>
      </c>
      <c r="X509" s="32">
        <f t="shared" si="444"/>
        <v>11396.880070675128</v>
      </c>
      <c r="Y509" s="32">
        <f t="shared" si="444"/>
        <v>11396.880070675128</v>
      </c>
      <c r="Z509" s="32">
        <f t="shared" si="444"/>
        <v>11396.880070675128</v>
      </c>
      <c r="AA509" s="32">
        <f t="shared" si="444"/>
        <v>11396.880070675128</v>
      </c>
      <c r="AB509" s="32">
        <f t="shared" si="444"/>
        <v>11396.880070675128</v>
      </c>
      <c r="AC509" s="32">
        <f t="shared" si="444"/>
        <v>11396.880070675128</v>
      </c>
      <c r="AD509" s="32">
        <f t="shared" si="444"/>
        <v>11396.880070675128</v>
      </c>
      <c r="AE509" s="32">
        <f t="shared" si="444"/>
        <v>11396.880070675128</v>
      </c>
      <c r="AF509" s="1"/>
    </row>
    <row r="510" spans="3:32" x14ac:dyDescent="0.2">
      <c r="C510" s="5" t="str">
        <f t="shared" si="429"/>
        <v>Craft Maintenance - Mechanical</v>
      </c>
      <c r="D510" s="5"/>
      <c r="F510" s="1" t="s">
        <v>51</v>
      </c>
      <c r="I510" s="32">
        <f t="shared" ref="I510" si="445">I$477*I459</f>
        <v>11396.880070675128</v>
      </c>
      <c r="J510" s="32">
        <f t="shared" ref="J510" si="446">J$477*J459</f>
        <v>11396.880070675128</v>
      </c>
      <c r="K510" s="32">
        <f t="shared" ref="K510:AE510" si="447">K$477*K459</f>
        <v>11396.880070675128</v>
      </c>
      <c r="L510" s="32">
        <f t="shared" si="447"/>
        <v>11396.880070675128</v>
      </c>
      <c r="M510" s="32">
        <f t="shared" si="447"/>
        <v>11396.880070675128</v>
      </c>
      <c r="N510" s="32">
        <f t="shared" si="447"/>
        <v>11396.880070675128</v>
      </c>
      <c r="O510" s="32">
        <f t="shared" si="447"/>
        <v>11396.880070675128</v>
      </c>
      <c r="P510" s="32">
        <f t="shared" si="447"/>
        <v>11396.880070675128</v>
      </c>
      <c r="Q510" s="32">
        <f t="shared" si="447"/>
        <v>11396.880070675128</v>
      </c>
      <c r="R510" s="32">
        <f t="shared" si="447"/>
        <v>11396.880070675128</v>
      </c>
      <c r="S510" s="32">
        <f t="shared" si="447"/>
        <v>11396.880070675128</v>
      </c>
      <c r="T510" s="32">
        <f t="shared" si="447"/>
        <v>11396.880070675128</v>
      </c>
      <c r="U510" s="32">
        <f t="shared" si="447"/>
        <v>11396.880070675128</v>
      </c>
      <c r="V510" s="32">
        <f t="shared" si="447"/>
        <v>11396.880070675128</v>
      </c>
      <c r="W510" s="32">
        <f t="shared" si="447"/>
        <v>11396.880070675128</v>
      </c>
      <c r="X510" s="32">
        <f t="shared" si="447"/>
        <v>11396.880070675128</v>
      </c>
      <c r="Y510" s="32">
        <f t="shared" si="447"/>
        <v>11396.880070675128</v>
      </c>
      <c r="Z510" s="32">
        <f t="shared" si="447"/>
        <v>11396.880070675128</v>
      </c>
      <c r="AA510" s="32">
        <f t="shared" si="447"/>
        <v>11396.880070675128</v>
      </c>
      <c r="AB510" s="32">
        <f t="shared" si="447"/>
        <v>11396.880070675128</v>
      </c>
      <c r="AC510" s="32">
        <f t="shared" si="447"/>
        <v>11396.880070675128</v>
      </c>
      <c r="AD510" s="32">
        <f t="shared" si="447"/>
        <v>11396.880070675128</v>
      </c>
      <c r="AE510" s="32">
        <f t="shared" si="447"/>
        <v>11396.880070675128</v>
      </c>
      <c r="AF510" s="1"/>
    </row>
    <row r="511" spans="3:32" x14ac:dyDescent="0.2">
      <c r="C511" s="5" t="str">
        <f t="shared" si="429"/>
        <v>Quality Control Engineer</v>
      </c>
      <c r="D511" s="5"/>
      <c r="F511" s="1" t="s">
        <v>51</v>
      </c>
      <c r="I511" s="32">
        <f t="shared" ref="I511" si="448">I$477*I460</f>
        <v>10304.361061611404</v>
      </c>
      <c r="J511" s="32">
        <f t="shared" ref="J511" si="449">J$477*J460</f>
        <v>10304.361061611404</v>
      </c>
      <c r="K511" s="32">
        <f t="shared" ref="K511:AE511" si="450">K$477*K460</f>
        <v>10304.361061611404</v>
      </c>
      <c r="L511" s="32">
        <f t="shared" si="450"/>
        <v>10304.361061611404</v>
      </c>
      <c r="M511" s="32">
        <f t="shared" si="450"/>
        <v>10304.361061611404</v>
      </c>
      <c r="N511" s="32">
        <f t="shared" si="450"/>
        <v>10304.361061611404</v>
      </c>
      <c r="O511" s="32">
        <f t="shared" si="450"/>
        <v>10304.361061611404</v>
      </c>
      <c r="P511" s="32">
        <f t="shared" si="450"/>
        <v>10304.361061611404</v>
      </c>
      <c r="Q511" s="32">
        <f t="shared" si="450"/>
        <v>10304.361061611404</v>
      </c>
      <c r="R511" s="32">
        <f t="shared" si="450"/>
        <v>10304.361061611404</v>
      </c>
      <c r="S511" s="32">
        <f t="shared" si="450"/>
        <v>10304.361061611404</v>
      </c>
      <c r="T511" s="32">
        <f t="shared" si="450"/>
        <v>10304.361061611404</v>
      </c>
      <c r="U511" s="32">
        <f t="shared" si="450"/>
        <v>10304.361061611404</v>
      </c>
      <c r="V511" s="32">
        <f t="shared" si="450"/>
        <v>10304.361061611404</v>
      </c>
      <c r="W511" s="32">
        <f t="shared" si="450"/>
        <v>10304.361061611404</v>
      </c>
      <c r="X511" s="32">
        <f t="shared" si="450"/>
        <v>10304.361061611404</v>
      </c>
      <c r="Y511" s="32">
        <f t="shared" si="450"/>
        <v>10304.361061611404</v>
      </c>
      <c r="Z511" s="32">
        <f t="shared" si="450"/>
        <v>10304.361061611404</v>
      </c>
      <c r="AA511" s="32">
        <f t="shared" si="450"/>
        <v>10304.361061611404</v>
      </c>
      <c r="AB511" s="32">
        <f t="shared" si="450"/>
        <v>10304.361061611404</v>
      </c>
      <c r="AC511" s="32">
        <f t="shared" si="450"/>
        <v>10304.361061611404</v>
      </c>
      <c r="AD511" s="32">
        <f t="shared" si="450"/>
        <v>10304.361061611404</v>
      </c>
      <c r="AE511" s="32">
        <f t="shared" si="450"/>
        <v>10304.361061611404</v>
      </c>
      <c r="AF511" s="1"/>
    </row>
    <row r="512" spans="3:32" x14ac:dyDescent="0.2">
      <c r="C512" s="5"/>
      <c r="D512" s="5"/>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1"/>
    </row>
    <row r="513" spans="2:32" x14ac:dyDescent="0.2">
      <c r="C513" s="47" t="str">
        <f t="shared" ref="C513:C522" si="451">C462</f>
        <v>Selling, General &amp; Administrative</v>
      </c>
      <c r="D513" s="5"/>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1"/>
    </row>
    <row r="514" spans="2:32" x14ac:dyDescent="0.2">
      <c r="C514" s="5" t="str">
        <f t="shared" si="451"/>
        <v>CEO, CFO, COO</v>
      </c>
      <c r="D514" s="5"/>
      <c r="F514" s="1" t="s">
        <v>51</v>
      </c>
      <c r="I514" s="32">
        <f t="shared" ref="I514" si="452">I$477*I463</f>
        <v>41058.523608009913</v>
      </c>
      <c r="J514" s="32">
        <f t="shared" ref="J514" si="453">J$477*J463</f>
        <v>41058.523608009913</v>
      </c>
      <c r="K514" s="32">
        <f t="shared" ref="K514:AE514" si="454">K$477*K463</f>
        <v>41058.523608009913</v>
      </c>
      <c r="L514" s="32">
        <f t="shared" si="454"/>
        <v>41058.523608009913</v>
      </c>
      <c r="M514" s="32">
        <f t="shared" si="454"/>
        <v>41058.523608009913</v>
      </c>
      <c r="N514" s="32">
        <f t="shared" si="454"/>
        <v>41058.523608009913</v>
      </c>
      <c r="O514" s="32">
        <f t="shared" si="454"/>
        <v>41058.523608009913</v>
      </c>
      <c r="P514" s="32">
        <f t="shared" si="454"/>
        <v>41058.523608009913</v>
      </c>
      <c r="Q514" s="32">
        <f t="shared" si="454"/>
        <v>41058.523608009913</v>
      </c>
      <c r="R514" s="32">
        <f t="shared" si="454"/>
        <v>41058.523608009913</v>
      </c>
      <c r="S514" s="32">
        <f t="shared" si="454"/>
        <v>41058.523608009913</v>
      </c>
      <c r="T514" s="32">
        <f t="shared" si="454"/>
        <v>41058.523608009913</v>
      </c>
      <c r="U514" s="32">
        <f t="shared" si="454"/>
        <v>41058.523608009913</v>
      </c>
      <c r="V514" s="32">
        <f t="shared" si="454"/>
        <v>41058.523608009913</v>
      </c>
      <c r="W514" s="32">
        <f t="shared" si="454"/>
        <v>41058.523608009913</v>
      </c>
      <c r="X514" s="32">
        <f t="shared" si="454"/>
        <v>41058.523608009913</v>
      </c>
      <c r="Y514" s="32">
        <f t="shared" si="454"/>
        <v>41058.523608009913</v>
      </c>
      <c r="Z514" s="32">
        <f t="shared" si="454"/>
        <v>41058.523608009913</v>
      </c>
      <c r="AA514" s="32">
        <f t="shared" si="454"/>
        <v>41058.523608009913</v>
      </c>
      <c r="AB514" s="32">
        <f t="shared" si="454"/>
        <v>41058.523608009913</v>
      </c>
      <c r="AC514" s="32">
        <f t="shared" si="454"/>
        <v>41058.523608009913</v>
      </c>
      <c r="AD514" s="32">
        <f t="shared" si="454"/>
        <v>41058.523608009913</v>
      </c>
      <c r="AE514" s="32">
        <f t="shared" si="454"/>
        <v>41058.523608009913</v>
      </c>
      <c r="AF514" s="1"/>
    </row>
    <row r="515" spans="2:32" x14ac:dyDescent="0.2">
      <c r="C515" s="5" t="str">
        <f t="shared" si="451"/>
        <v>Administrator</v>
      </c>
      <c r="D515" s="5"/>
      <c r="F515" s="1" t="s">
        <v>51</v>
      </c>
      <c r="I515" s="32">
        <f t="shared" ref="I515" si="455">I$477*I464</f>
        <v>7871.8241953406941</v>
      </c>
      <c r="J515" s="32">
        <f t="shared" ref="J515" si="456">J$477*J464</f>
        <v>7871.8241953406941</v>
      </c>
      <c r="K515" s="32">
        <f t="shared" ref="K515:AE515" si="457">K$477*K464</f>
        <v>7871.8241953406941</v>
      </c>
      <c r="L515" s="32">
        <f t="shared" si="457"/>
        <v>7871.8241953406941</v>
      </c>
      <c r="M515" s="32">
        <f t="shared" si="457"/>
        <v>7871.8241953406941</v>
      </c>
      <c r="N515" s="32">
        <f t="shared" si="457"/>
        <v>7871.8241953406941</v>
      </c>
      <c r="O515" s="32">
        <f t="shared" si="457"/>
        <v>7871.8241953406941</v>
      </c>
      <c r="P515" s="32">
        <f t="shared" si="457"/>
        <v>7871.8241953406941</v>
      </c>
      <c r="Q515" s="32">
        <f t="shared" si="457"/>
        <v>7871.8241953406941</v>
      </c>
      <c r="R515" s="32">
        <f t="shared" si="457"/>
        <v>7871.8241953406941</v>
      </c>
      <c r="S515" s="32">
        <f t="shared" si="457"/>
        <v>7871.8241953406941</v>
      </c>
      <c r="T515" s="32">
        <f t="shared" si="457"/>
        <v>7871.8241953406941</v>
      </c>
      <c r="U515" s="32">
        <f t="shared" si="457"/>
        <v>7871.8241953406941</v>
      </c>
      <c r="V515" s="32">
        <f t="shared" si="457"/>
        <v>7871.8241953406941</v>
      </c>
      <c r="W515" s="32">
        <f t="shared" si="457"/>
        <v>7871.8241953406941</v>
      </c>
      <c r="X515" s="32">
        <f t="shared" si="457"/>
        <v>7871.8241953406941</v>
      </c>
      <c r="Y515" s="32">
        <f t="shared" si="457"/>
        <v>7871.8241953406941</v>
      </c>
      <c r="Z515" s="32">
        <f t="shared" si="457"/>
        <v>7871.8241953406941</v>
      </c>
      <c r="AA515" s="32">
        <f t="shared" si="457"/>
        <v>7871.8241953406941</v>
      </c>
      <c r="AB515" s="32">
        <f t="shared" si="457"/>
        <v>7871.8241953406941</v>
      </c>
      <c r="AC515" s="32">
        <f t="shared" si="457"/>
        <v>7871.8241953406941</v>
      </c>
      <c r="AD515" s="32">
        <f t="shared" si="457"/>
        <v>7871.8241953406941</v>
      </c>
      <c r="AE515" s="32">
        <f t="shared" si="457"/>
        <v>7871.8241953406941</v>
      </c>
      <c r="AF515" s="1"/>
    </row>
    <row r="516" spans="2:32" x14ac:dyDescent="0.2">
      <c r="C516" s="5" t="str">
        <f t="shared" si="451"/>
        <v xml:space="preserve">Accounting </v>
      </c>
      <c r="D516" s="5"/>
      <c r="F516" s="1" t="s">
        <v>51</v>
      </c>
      <c r="I516" s="32">
        <f t="shared" ref="I516" si="458">I$477*I465</f>
        <v>15766.956106930018</v>
      </c>
      <c r="J516" s="32">
        <f t="shared" ref="J516" si="459">J$477*J465</f>
        <v>15766.956106930018</v>
      </c>
      <c r="K516" s="32">
        <f t="shared" ref="K516:AE516" si="460">K$477*K465</f>
        <v>15766.956106930018</v>
      </c>
      <c r="L516" s="32">
        <f t="shared" si="460"/>
        <v>15766.956106930018</v>
      </c>
      <c r="M516" s="32">
        <f t="shared" si="460"/>
        <v>15766.956106930018</v>
      </c>
      <c r="N516" s="32">
        <f t="shared" si="460"/>
        <v>15766.956106930018</v>
      </c>
      <c r="O516" s="32">
        <f t="shared" si="460"/>
        <v>15766.956106930018</v>
      </c>
      <c r="P516" s="32">
        <f t="shared" si="460"/>
        <v>15766.956106930018</v>
      </c>
      <c r="Q516" s="32">
        <f t="shared" si="460"/>
        <v>15766.956106930018</v>
      </c>
      <c r="R516" s="32">
        <f t="shared" si="460"/>
        <v>15766.956106930018</v>
      </c>
      <c r="S516" s="32">
        <f t="shared" si="460"/>
        <v>15766.956106930018</v>
      </c>
      <c r="T516" s="32">
        <f t="shared" si="460"/>
        <v>15766.956106930018</v>
      </c>
      <c r="U516" s="32">
        <f t="shared" si="460"/>
        <v>15766.956106930018</v>
      </c>
      <c r="V516" s="32">
        <f t="shared" si="460"/>
        <v>15766.956106930018</v>
      </c>
      <c r="W516" s="32">
        <f t="shared" si="460"/>
        <v>15766.956106930018</v>
      </c>
      <c r="X516" s="32">
        <f t="shared" si="460"/>
        <v>15766.956106930018</v>
      </c>
      <c r="Y516" s="32">
        <f t="shared" si="460"/>
        <v>15766.956106930018</v>
      </c>
      <c r="Z516" s="32">
        <f t="shared" si="460"/>
        <v>15766.956106930018</v>
      </c>
      <c r="AA516" s="32">
        <f t="shared" si="460"/>
        <v>15766.956106930018</v>
      </c>
      <c r="AB516" s="32">
        <f t="shared" si="460"/>
        <v>15766.956106930018</v>
      </c>
      <c r="AC516" s="32">
        <f t="shared" si="460"/>
        <v>15766.956106930018</v>
      </c>
      <c r="AD516" s="32">
        <f t="shared" si="460"/>
        <v>15766.956106930018</v>
      </c>
      <c r="AE516" s="32">
        <f t="shared" si="460"/>
        <v>15766.956106930018</v>
      </c>
      <c r="AF516" s="1"/>
    </row>
    <row r="517" spans="2:32" x14ac:dyDescent="0.2">
      <c r="C517" s="5" t="str">
        <f t="shared" si="451"/>
        <v>Purchasing - Buyer</v>
      </c>
      <c r="D517" s="5"/>
      <c r="F517" s="1" t="s">
        <v>51</v>
      </c>
      <c r="I517" s="32">
        <f t="shared" ref="I517" si="461">I$477*I466</f>
        <v>9077.9651813470427</v>
      </c>
      <c r="J517" s="32">
        <f t="shared" ref="J517" si="462">J$477*J466</f>
        <v>9077.9651813470427</v>
      </c>
      <c r="K517" s="32">
        <f t="shared" ref="K517:AE517" si="463">K$477*K466</f>
        <v>9077.9651813470427</v>
      </c>
      <c r="L517" s="32">
        <f t="shared" si="463"/>
        <v>9077.9651813470427</v>
      </c>
      <c r="M517" s="32">
        <f t="shared" si="463"/>
        <v>9077.9651813470427</v>
      </c>
      <c r="N517" s="32">
        <f t="shared" si="463"/>
        <v>9077.9651813470427</v>
      </c>
      <c r="O517" s="32">
        <f t="shared" si="463"/>
        <v>9077.9651813470427</v>
      </c>
      <c r="P517" s="32">
        <f t="shared" si="463"/>
        <v>9077.9651813470427</v>
      </c>
      <c r="Q517" s="32">
        <f t="shared" si="463"/>
        <v>9077.9651813470427</v>
      </c>
      <c r="R517" s="32">
        <f t="shared" si="463"/>
        <v>9077.9651813470427</v>
      </c>
      <c r="S517" s="32">
        <f t="shared" si="463"/>
        <v>9077.9651813470427</v>
      </c>
      <c r="T517" s="32">
        <f t="shared" si="463"/>
        <v>9077.9651813470427</v>
      </c>
      <c r="U517" s="32">
        <f t="shared" si="463"/>
        <v>9077.9651813470427</v>
      </c>
      <c r="V517" s="32">
        <f t="shared" si="463"/>
        <v>9077.9651813470427</v>
      </c>
      <c r="W517" s="32">
        <f t="shared" si="463"/>
        <v>9077.9651813470427</v>
      </c>
      <c r="X517" s="32">
        <f t="shared" si="463"/>
        <v>9077.9651813470427</v>
      </c>
      <c r="Y517" s="32">
        <f t="shared" si="463"/>
        <v>9077.9651813470427</v>
      </c>
      <c r="Z517" s="32">
        <f t="shared" si="463"/>
        <v>9077.9651813470427</v>
      </c>
      <c r="AA517" s="32">
        <f t="shared" si="463"/>
        <v>9077.9651813470427</v>
      </c>
      <c r="AB517" s="32">
        <f t="shared" si="463"/>
        <v>9077.9651813470427</v>
      </c>
      <c r="AC517" s="32">
        <f t="shared" si="463"/>
        <v>9077.9651813470427</v>
      </c>
      <c r="AD517" s="32">
        <f t="shared" si="463"/>
        <v>9077.9651813470427</v>
      </c>
      <c r="AE517" s="32">
        <f t="shared" si="463"/>
        <v>9077.9651813470427</v>
      </c>
      <c r="AF517" s="1"/>
    </row>
    <row r="518" spans="2:32" x14ac:dyDescent="0.2">
      <c r="C518" s="5" t="str">
        <f t="shared" si="451"/>
        <v>Purchasing - Receiving</v>
      </c>
      <c r="D518" s="5"/>
      <c r="F518" s="1" t="s">
        <v>51</v>
      </c>
      <c r="I518" s="32">
        <f t="shared" ref="I518" si="464">I$477*I467</f>
        <v>8072.847693008418</v>
      </c>
      <c r="J518" s="32">
        <f t="shared" ref="J518" si="465">J$477*J467</f>
        <v>8072.847693008418</v>
      </c>
      <c r="K518" s="32">
        <f t="shared" ref="K518:AE518" si="466">K$477*K467</f>
        <v>8072.847693008418</v>
      </c>
      <c r="L518" s="32">
        <f t="shared" si="466"/>
        <v>8072.847693008418</v>
      </c>
      <c r="M518" s="32">
        <f t="shared" si="466"/>
        <v>8072.847693008418</v>
      </c>
      <c r="N518" s="32">
        <f t="shared" si="466"/>
        <v>8072.847693008418</v>
      </c>
      <c r="O518" s="32">
        <f t="shared" si="466"/>
        <v>8072.847693008418</v>
      </c>
      <c r="P518" s="32">
        <f t="shared" si="466"/>
        <v>8072.847693008418</v>
      </c>
      <c r="Q518" s="32">
        <f t="shared" si="466"/>
        <v>8072.847693008418</v>
      </c>
      <c r="R518" s="32">
        <f t="shared" si="466"/>
        <v>8072.847693008418</v>
      </c>
      <c r="S518" s="32">
        <f t="shared" si="466"/>
        <v>8072.847693008418</v>
      </c>
      <c r="T518" s="32">
        <f t="shared" si="466"/>
        <v>8072.847693008418</v>
      </c>
      <c r="U518" s="32">
        <f t="shared" si="466"/>
        <v>8072.847693008418</v>
      </c>
      <c r="V518" s="32">
        <f t="shared" si="466"/>
        <v>8072.847693008418</v>
      </c>
      <c r="W518" s="32">
        <f t="shared" si="466"/>
        <v>8072.847693008418</v>
      </c>
      <c r="X518" s="32">
        <f t="shared" si="466"/>
        <v>8072.847693008418</v>
      </c>
      <c r="Y518" s="32">
        <f t="shared" si="466"/>
        <v>8072.847693008418</v>
      </c>
      <c r="Z518" s="32">
        <f t="shared" si="466"/>
        <v>8072.847693008418</v>
      </c>
      <c r="AA518" s="32">
        <f t="shared" si="466"/>
        <v>8072.847693008418</v>
      </c>
      <c r="AB518" s="32">
        <f t="shared" si="466"/>
        <v>8072.847693008418</v>
      </c>
      <c r="AC518" s="32">
        <f t="shared" si="466"/>
        <v>8072.847693008418</v>
      </c>
      <c r="AD518" s="32">
        <f t="shared" si="466"/>
        <v>8072.847693008418</v>
      </c>
      <c r="AE518" s="32">
        <f t="shared" si="466"/>
        <v>8072.847693008418</v>
      </c>
      <c r="AF518" s="1"/>
    </row>
    <row r="519" spans="2:32" x14ac:dyDescent="0.2">
      <c r="C519" s="5" t="str">
        <f t="shared" si="451"/>
        <v>Human Resources/Safety Manager/Training</v>
      </c>
      <c r="D519" s="5"/>
      <c r="F519" s="1" t="s">
        <v>51</v>
      </c>
      <c r="I519" s="32">
        <f t="shared" ref="I519" si="467">I$477*I468</f>
        <v>14674.437097866296</v>
      </c>
      <c r="J519" s="32">
        <f t="shared" ref="J519" si="468">J$477*J468</f>
        <v>14674.437097866296</v>
      </c>
      <c r="K519" s="32">
        <f t="shared" ref="K519:AE519" si="469">K$477*K468</f>
        <v>14674.437097866296</v>
      </c>
      <c r="L519" s="32">
        <f t="shared" si="469"/>
        <v>14674.437097866296</v>
      </c>
      <c r="M519" s="32">
        <f t="shared" si="469"/>
        <v>14674.437097866296</v>
      </c>
      <c r="N519" s="32">
        <f t="shared" si="469"/>
        <v>14674.437097866296</v>
      </c>
      <c r="O519" s="32">
        <f t="shared" si="469"/>
        <v>14674.437097866296</v>
      </c>
      <c r="P519" s="32">
        <f t="shared" si="469"/>
        <v>14674.437097866296</v>
      </c>
      <c r="Q519" s="32">
        <f t="shared" si="469"/>
        <v>14674.437097866296</v>
      </c>
      <c r="R519" s="32">
        <f t="shared" si="469"/>
        <v>14674.437097866296</v>
      </c>
      <c r="S519" s="32">
        <f t="shared" si="469"/>
        <v>14674.437097866296</v>
      </c>
      <c r="T519" s="32">
        <f t="shared" si="469"/>
        <v>14674.437097866296</v>
      </c>
      <c r="U519" s="32">
        <f t="shared" si="469"/>
        <v>14674.437097866296</v>
      </c>
      <c r="V519" s="32">
        <f t="shared" si="469"/>
        <v>14674.437097866296</v>
      </c>
      <c r="W519" s="32">
        <f t="shared" si="469"/>
        <v>14674.437097866296</v>
      </c>
      <c r="X519" s="32">
        <f t="shared" si="469"/>
        <v>14674.437097866296</v>
      </c>
      <c r="Y519" s="32">
        <f t="shared" si="469"/>
        <v>14674.437097866296</v>
      </c>
      <c r="Z519" s="32">
        <f t="shared" si="469"/>
        <v>14674.437097866296</v>
      </c>
      <c r="AA519" s="32">
        <f t="shared" si="469"/>
        <v>14674.437097866296</v>
      </c>
      <c r="AB519" s="32">
        <f t="shared" si="469"/>
        <v>14674.437097866296</v>
      </c>
      <c r="AC519" s="32">
        <f t="shared" si="469"/>
        <v>14674.437097866296</v>
      </c>
      <c r="AD519" s="32">
        <f t="shared" si="469"/>
        <v>14674.437097866296</v>
      </c>
      <c r="AE519" s="32">
        <f t="shared" si="469"/>
        <v>14674.437097866296</v>
      </c>
      <c r="AF519" s="1"/>
    </row>
    <row r="520" spans="2:32" x14ac:dyDescent="0.2">
      <c r="C520" s="5" t="str">
        <f t="shared" si="451"/>
        <v>Sales Administrator</v>
      </c>
      <c r="D520" s="5"/>
      <c r="F520" s="1" t="s">
        <v>51</v>
      </c>
      <c r="I520" s="32">
        <f t="shared" ref="I520" si="470">I$477*I469</f>
        <v>7871.8241953406941</v>
      </c>
      <c r="J520" s="32">
        <f t="shared" ref="J520" si="471">J$477*J469</f>
        <v>7871.8241953406941</v>
      </c>
      <c r="K520" s="32">
        <f t="shared" ref="K520:AE520" si="472">K$477*K469</f>
        <v>7871.8241953406941</v>
      </c>
      <c r="L520" s="32">
        <f t="shared" si="472"/>
        <v>7871.8241953406941</v>
      </c>
      <c r="M520" s="32">
        <f t="shared" si="472"/>
        <v>7871.8241953406941</v>
      </c>
      <c r="N520" s="32">
        <f t="shared" si="472"/>
        <v>7871.8241953406941</v>
      </c>
      <c r="O520" s="32">
        <f t="shared" si="472"/>
        <v>7871.8241953406941</v>
      </c>
      <c r="P520" s="32">
        <f t="shared" si="472"/>
        <v>7871.8241953406941</v>
      </c>
      <c r="Q520" s="32">
        <f t="shared" si="472"/>
        <v>7871.8241953406941</v>
      </c>
      <c r="R520" s="32">
        <f t="shared" si="472"/>
        <v>7871.8241953406941</v>
      </c>
      <c r="S520" s="32">
        <f t="shared" si="472"/>
        <v>7871.8241953406941</v>
      </c>
      <c r="T520" s="32">
        <f t="shared" si="472"/>
        <v>7871.8241953406941</v>
      </c>
      <c r="U520" s="32">
        <f t="shared" si="472"/>
        <v>7871.8241953406941</v>
      </c>
      <c r="V520" s="32">
        <f t="shared" si="472"/>
        <v>7871.8241953406941</v>
      </c>
      <c r="W520" s="32">
        <f t="shared" si="472"/>
        <v>7871.8241953406941</v>
      </c>
      <c r="X520" s="32">
        <f t="shared" si="472"/>
        <v>7871.8241953406941</v>
      </c>
      <c r="Y520" s="32">
        <f t="shared" si="472"/>
        <v>7871.8241953406941</v>
      </c>
      <c r="Z520" s="32">
        <f t="shared" si="472"/>
        <v>7871.8241953406941</v>
      </c>
      <c r="AA520" s="32">
        <f t="shared" si="472"/>
        <v>7871.8241953406941</v>
      </c>
      <c r="AB520" s="32">
        <f t="shared" si="472"/>
        <v>7871.8241953406941</v>
      </c>
      <c r="AC520" s="32">
        <f t="shared" si="472"/>
        <v>7871.8241953406941</v>
      </c>
      <c r="AD520" s="32">
        <f t="shared" si="472"/>
        <v>7871.8241953406941</v>
      </c>
      <c r="AE520" s="32">
        <f t="shared" si="472"/>
        <v>7871.8241953406941</v>
      </c>
      <c r="AF520" s="1"/>
    </row>
    <row r="521" spans="2:32" x14ac:dyDescent="0.2">
      <c r="C521" s="5" t="str">
        <f t="shared" si="451"/>
        <v>Inside Sales</v>
      </c>
      <c r="D521" s="5"/>
      <c r="F521" s="1" t="s">
        <v>51</v>
      </c>
      <c r="I521" s="32">
        <f t="shared" ref="I521" si="473">I$477*I470</f>
        <v>12495.364641698368</v>
      </c>
      <c r="J521" s="32">
        <f t="shared" ref="J521" si="474">J$477*J470</f>
        <v>12495.364641698368</v>
      </c>
      <c r="K521" s="32">
        <f t="shared" ref="K521:AE521" si="475">K$477*K470</f>
        <v>12495.364641698368</v>
      </c>
      <c r="L521" s="32">
        <f t="shared" si="475"/>
        <v>12495.364641698368</v>
      </c>
      <c r="M521" s="32">
        <f t="shared" si="475"/>
        <v>12495.364641698368</v>
      </c>
      <c r="N521" s="32">
        <f t="shared" si="475"/>
        <v>12495.364641698368</v>
      </c>
      <c r="O521" s="32">
        <f t="shared" si="475"/>
        <v>12495.364641698368</v>
      </c>
      <c r="P521" s="32">
        <f t="shared" si="475"/>
        <v>12495.364641698368</v>
      </c>
      <c r="Q521" s="32">
        <f t="shared" si="475"/>
        <v>12495.364641698368</v>
      </c>
      <c r="R521" s="32">
        <f t="shared" si="475"/>
        <v>12495.364641698368</v>
      </c>
      <c r="S521" s="32">
        <f t="shared" si="475"/>
        <v>12495.364641698368</v>
      </c>
      <c r="T521" s="32">
        <f t="shared" si="475"/>
        <v>12495.364641698368</v>
      </c>
      <c r="U521" s="32">
        <f t="shared" si="475"/>
        <v>12495.364641698368</v>
      </c>
      <c r="V521" s="32">
        <f t="shared" si="475"/>
        <v>12495.364641698368</v>
      </c>
      <c r="W521" s="32">
        <f t="shared" si="475"/>
        <v>12495.364641698368</v>
      </c>
      <c r="X521" s="32">
        <f t="shared" si="475"/>
        <v>12495.364641698368</v>
      </c>
      <c r="Y521" s="32">
        <f t="shared" si="475"/>
        <v>12495.364641698368</v>
      </c>
      <c r="Z521" s="32">
        <f t="shared" si="475"/>
        <v>12495.364641698368</v>
      </c>
      <c r="AA521" s="32">
        <f t="shared" si="475"/>
        <v>12495.364641698368</v>
      </c>
      <c r="AB521" s="32">
        <f t="shared" si="475"/>
        <v>12495.364641698368</v>
      </c>
      <c r="AC521" s="32">
        <f t="shared" si="475"/>
        <v>12495.364641698368</v>
      </c>
      <c r="AD521" s="32">
        <f t="shared" si="475"/>
        <v>12495.364641698368</v>
      </c>
      <c r="AE521" s="32">
        <f t="shared" si="475"/>
        <v>12495.364641698368</v>
      </c>
      <c r="AF521" s="1"/>
    </row>
    <row r="522" spans="2:32" x14ac:dyDescent="0.2">
      <c r="C522" s="5" t="str">
        <f t="shared" si="451"/>
        <v>Shipping Manager</v>
      </c>
      <c r="D522" s="5"/>
      <c r="F522" s="1" t="s">
        <v>51</v>
      </c>
      <c r="I522" s="32">
        <f t="shared" ref="I522" si="476">I$477*I471</f>
        <v>15510.717106714243</v>
      </c>
      <c r="J522" s="32">
        <f t="shared" ref="J522" si="477">J$477*J471</f>
        <v>15510.717106714243</v>
      </c>
      <c r="K522" s="32">
        <f t="shared" ref="K522:AE522" si="478">K$477*K471</f>
        <v>15510.717106714243</v>
      </c>
      <c r="L522" s="32">
        <f t="shared" si="478"/>
        <v>15510.717106714243</v>
      </c>
      <c r="M522" s="32">
        <f t="shared" si="478"/>
        <v>15510.717106714243</v>
      </c>
      <c r="N522" s="32">
        <f t="shared" si="478"/>
        <v>15510.717106714243</v>
      </c>
      <c r="O522" s="32">
        <f t="shared" si="478"/>
        <v>15510.717106714243</v>
      </c>
      <c r="P522" s="32">
        <f t="shared" si="478"/>
        <v>15510.717106714243</v>
      </c>
      <c r="Q522" s="32">
        <f t="shared" si="478"/>
        <v>15510.717106714243</v>
      </c>
      <c r="R522" s="32">
        <f t="shared" si="478"/>
        <v>15510.717106714243</v>
      </c>
      <c r="S522" s="32">
        <f t="shared" si="478"/>
        <v>15510.717106714243</v>
      </c>
      <c r="T522" s="32">
        <f t="shared" si="478"/>
        <v>15510.717106714243</v>
      </c>
      <c r="U522" s="32">
        <f t="shared" si="478"/>
        <v>15510.717106714243</v>
      </c>
      <c r="V522" s="32">
        <f t="shared" si="478"/>
        <v>15510.717106714243</v>
      </c>
      <c r="W522" s="32">
        <f t="shared" si="478"/>
        <v>15510.717106714243</v>
      </c>
      <c r="X522" s="32">
        <f t="shared" si="478"/>
        <v>15510.717106714243</v>
      </c>
      <c r="Y522" s="32">
        <f t="shared" si="478"/>
        <v>15510.717106714243</v>
      </c>
      <c r="Z522" s="32">
        <f t="shared" si="478"/>
        <v>15510.717106714243</v>
      </c>
      <c r="AA522" s="32">
        <f t="shared" si="478"/>
        <v>15510.717106714243</v>
      </c>
      <c r="AB522" s="32">
        <f t="shared" si="478"/>
        <v>15510.717106714243</v>
      </c>
      <c r="AC522" s="32">
        <f t="shared" si="478"/>
        <v>15510.717106714243</v>
      </c>
      <c r="AD522" s="32">
        <f t="shared" si="478"/>
        <v>15510.717106714243</v>
      </c>
      <c r="AE522" s="32">
        <f t="shared" si="478"/>
        <v>15510.717106714243</v>
      </c>
      <c r="AF522" s="1"/>
    </row>
    <row r="523" spans="2:32" x14ac:dyDescent="0.2">
      <c r="C523" s="5"/>
      <c r="D523" s="5"/>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1"/>
    </row>
    <row r="524" spans="2:32" x14ac:dyDescent="0.2">
      <c r="C524" s="5" t="str">
        <f>C473</f>
        <v>Contingency</v>
      </c>
      <c r="D524" s="5"/>
      <c r="F524" s="1" t="s">
        <v>51</v>
      </c>
      <c r="I524" s="32">
        <f t="shared" ref="I524" si="479">I$477*I473</f>
        <v>18642.105263157897</v>
      </c>
      <c r="J524" s="32">
        <f t="shared" ref="J524" si="480">J$477*J473</f>
        <v>18642.105263157897</v>
      </c>
      <c r="K524" s="32">
        <f t="shared" ref="K524:AE524" si="481">K$477*K473</f>
        <v>18642.105263157897</v>
      </c>
      <c r="L524" s="32">
        <f t="shared" si="481"/>
        <v>18642.105263157897</v>
      </c>
      <c r="M524" s="32">
        <f t="shared" si="481"/>
        <v>18642.105263157897</v>
      </c>
      <c r="N524" s="32">
        <f t="shared" si="481"/>
        <v>18642.105263157897</v>
      </c>
      <c r="O524" s="32">
        <f t="shared" si="481"/>
        <v>18642.105263157897</v>
      </c>
      <c r="P524" s="32">
        <f t="shared" si="481"/>
        <v>18642.105263157897</v>
      </c>
      <c r="Q524" s="32">
        <f t="shared" si="481"/>
        <v>18642.105263157897</v>
      </c>
      <c r="R524" s="32">
        <f t="shared" si="481"/>
        <v>18642.105263157897</v>
      </c>
      <c r="S524" s="32">
        <f t="shared" si="481"/>
        <v>18642.105263157897</v>
      </c>
      <c r="T524" s="32">
        <f t="shared" si="481"/>
        <v>18642.105263157897</v>
      </c>
      <c r="U524" s="32">
        <f t="shared" si="481"/>
        <v>18642.105263157897</v>
      </c>
      <c r="V524" s="32">
        <f t="shared" si="481"/>
        <v>18642.105263157897</v>
      </c>
      <c r="W524" s="32">
        <f t="shared" si="481"/>
        <v>18642.105263157897</v>
      </c>
      <c r="X524" s="32">
        <f t="shared" si="481"/>
        <v>18642.105263157897</v>
      </c>
      <c r="Y524" s="32">
        <f t="shared" si="481"/>
        <v>18642.105263157897</v>
      </c>
      <c r="Z524" s="32">
        <f t="shared" si="481"/>
        <v>18642.105263157897</v>
      </c>
      <c r="AA524" s="32">
        <f t="shared" si="481"/>
        <v>18642.105263157897</v>
      </c>
      <c r="AB524" s="32">
        <f t="shared" si="481"/>
        <v>18642.105263157897</v>
      </c>
      <c r="AC524" s="32">
        <f t="shared" si="481"/>
        <v>18642.105263157897</v>
      </c>
      <c r="AD524" s="32">
        <f t="shared" si="481"/>
        <v>18642.105263157897</v>
      </c>
      <c r="AE524" s="32">
        <f t="shared" si="481"/>
        <v>18642.105263157897</v>
      </c>
      <c r="AF524" s="1"/>
    </row>
    <row r="525" spans="2:32" x14ac:dyDescent="0.2">
      <c r="C525" s="5"/>
      <c r="D525" s="5"/>
      <c r="AF525" s="1"/>
    </row>
    <row r="526" spans="2:32" x14ac:dyDescent="0.2">
      <c r="B526" s="24">
        <f>B475+0.01</f>
        <v>3.4399999999999995</v>
      </c>
      <c r="C526" s="20" t="s">
        <v>54</v>
      </c>
      <c r="D526" s="20"/>
      <c r="AF526" s="1"/>
    </row>
    <row r="527" spans="2:32" x14ac:dyDescent="0.2">
      <c r="C527" s="5"/>
      <c r="D527" s="5"/>
      <c r="AF527" s="1"/>
    </row>
    <row r="528" spans="2:32" x14ac:dyDescent="0.2">
      <c r="C528" s="47" t="str">
        <f t="shared" ref="C528:C535" si="482">C479</f>
        <v>Melting</v>
      </c>
      <c r="D528" s="47"/>
      <c r="AF528" s="1"/>
    </row>
    <row r="529" spans="3:32" x14ac:dyDescent="0.2">
      <c r="C529" s="5" t="str">
        <f t="shared" si="482"/>
        <v>Manager of Melting/Casting Production</v>
      </c>
      <c r="D529" s="47"/>
      <c r="F529" s="1" t="s">
        <v>55</v>
      </c>
      <c r="G529" s="21">
        <f>SUM(I529:AE529)</f>
        <v>4.1583145270600337</v>
      </c>
      <c r="I529" s="41">
        <f>SUMIF('Quarterly Plant Model'!$I$2:$V$2,'Plant model'!I$2,'Quarterly Plant Model'!$I529:$V529)</f>
        <v>0</v>
      </c>
      <c r="J529" s="41">
        <f>SUMIF('Quarterly Plant Model'!$I$2:$V$2,'Plant model'!J$2,'Quarterly Plant Model'!$I529:$V529)</f>
        <v>0</v>
      </c>
      <c r="K529" s="41">
        <f>SUMIF('Quarterly Plant Model'!$I$2:$V$2,'Plant model'!K$2,'Quarterly Plant Model'!$I529:$V529)</f>
        <v>0.10395786317650087</v>
      </c>
      <c r="L529" s="41">
        <f>SUMIF('Quarterly Plant Model'!$I$2:$V$2,'Plant model'!L$2,'Quarterly Plant Model'!$I529:$V529)</f>
        <v>0.10395786317650087</v>
      </c>
      <c r="M529" s="21">
        <f t="shared" ref="M529:AE529" si="483">(M429+M480)*M272/1000000</f>
        <v>0.20791572635300173</v>
      </c>
      <c r="N529" s="21">
        <f t="shared" si="483"/>
        <v>0.20791572635300173</v>
      </c>
      <c r="O529" s="21">
        <f t="shared" si="483"/>
        <v>0.20791572635300173</v>
      </c>
      <c r="P529" s="21">
        <f t="shared" si="483"/>
        <v>0.20791572635300173</v>
      </c>
      <c r="Q529" s="21">
        <f t="shared" si="483"/>
        <v>0.20791572635300173</v>
      </c>
      <c r="R529" s="21">
        <f t="shared" si="483"/>
        <v>0.20791572635300173</v>
      </c>
      <c r="S529" s="21">
        <f t="shared" si="483"/>
        <v>0.20791572635300173</v>
      </c>
      <c r="T529" s="21">
        <f t="shared" si="483"/>
        <v>0.20791572635300173</v>
      </c>
      <c r="U529" s="21">
        <f t="shared" si="483"/>
        <v>0.20791572635300173</v>
      </c>
      <c r="V529" s="21">
        <f t="shared" si="483"/>
        <v>0.20791572635300173</v>
      </c>
      <c r="W529" s="21">
        <f t="shared" si="483"/>
        <v>0.20791572635300173</v>
      </c>
      <c r="X529" s="21">
        <f t="shared" si="483"/>
        <v>0.20791572635300173</v>
      </c>
      <c r="Y529" s="21">
        <f t="shared" si="483"/>
        <v>0.20791572635300173</v>
      </c>
      <c r="Z529" s="21">
        <f t="shared" si="483"/>
        <v>0.20791572635300173</v>
      </c>
      <c r="AA529" s="21">
        <f t="shared" si="483"/>
        <v>0.20791572635300173</v>
      </c>
      <c r="AB529" s="21">
        <f t="shared" si="483"/>
        <v>0.20791572635300173</v>
      </c>
      <c r="AC529" s="21">
        <f t="shared" si="483"/>
        <v>0.20791572635300173</v>
      </c>
      <c r="AD529" s="21">
        <f t="shared" si="483"/>
        <v>0.20791572635300173</v>
      </c>
      <c r="AE529" s="21">
        <f t="shared" si="483"/>
        <v>0.20791572635300173</v>
      </c>
      <c r="AF529" s="1"/>
    </row>
    <row r="530" spans="3:32" x14ac:dyDescent="0.2">
      <c r="C530" s="5" t="str">
        <f t="shared" si="482"/>
        <v>Supervisor/team Leader of Melting &amp; Casting</v>
      </c>
      <c r="D530" s="47"/>
      <c r="F530" s="1" t="s">
        <v>55</v>
      </c>
      <c r="G530" s="21">
        <f t="shared" ref="G530:G536" si="484">SUM(I530:AE530)</f>
        <v>7.3049917816259979</v>
      </c>
      <c r="I530" s="41">
        <f>SUMIF('Quarterly Plant Model'!$I$2:$V$2,'Plant model'!I$2,'Quarterly Plant Model'!$I530:$V530)</f>
        <v>0</v>
      </c>
      <c r="J530" s="41">
        <f>SUMIF('Quarterly Plant Model'!$I$2:$V$2,'Plant model'!J$2,'Quarterly Plant Model'!$I530:$V530)</f>
        <v>0</v>
      </c>
      <c r="K530" s="41">
        <f>SUMIF('Quarterly Plant Model'!$I$2:$V$2,'Plant model'!K$2,'Quarterly Plant Model'!$I530:$V530)</f>
        <v>0.18262479454065</v>
      </c>
      <c r="L530" s="41">
        <f>SUMIF('Quarterly Plant Model'!$I$2:$V$2,'Plant model'!L$2,'Quarterly Plant Model'!$I530:$V530)</f>
        <v>0.18262479454065</v>
      </c>
      <c r="M530" s="21">
        <f t="shared" ref="M530:AE530" si="485">(M430+M481)*M273/1000000</f>
        <v>0.36524958908130001</v>
      </c>
      <c r="N530" s="21">
        <f t="shared" si="485"/>
        <v>0.36524958908130001</v>
      </c>
      <c r="O530" s="21">
        <f t="shared" si="485"/>
        <v>0.36524958908130001</v>
      </c>
      <c r="P530" s="21">
        <f t="shared" si="485"/>
        <v>0.36524958908130001</v>
      </c>
      <c r="Q530" s="21">
        <f t="shared" si="485"/>
        <v>0.36524958908130001</v>
      </c>
      <c r="R530" s="21">
        <f t="shared" si="485"/>
        <v>0.36524958908130001</v>
      </c>
      <c r="S530" s="21">
        <f t="shared" si="485"/>
        <v>0.36524958908130001</v>
      </c>
      <c r="T530" s="21">
        <f t="shared" si="485"/>
        <v>0.36524958908130001</v>
      </c>
      <c r="U530" s="21">
        <f t="shared" si="485"/>
        <v>0.36524958908130001</v>
      </c>
      <c r="V530" s="21">
        <f t="shared" si="485"/>
        <v>0.36524958908130001</v>
      </c>
      <c r="W530" s="21">
        <f t="shared" si="485"/>
        <v>0.36524958908130001</v>
      </c>
      <c r="X530" s="21">
        <f t="shared" si="485"/>
        <v>0.36524958908130001</v>
      </c>
      <c r="Y530" s="21">
        <f t="shared" si="485"/>
        <v>0.36524958908130001</v>
      </c>
      <c r="Z530" s="21">
        <f t="shared" si="485"/>
        <v>0.36524958908130001</v>
      </c>
      <c r="AA530" s="21">
        <f t="shared" si="485"/>
        <v>0.36524958908130001</v>
      </c>
      <c r="AB530" s="21">
        <f t="shared" si="485"/>
        <v>0.36524958908130001</v>
      </c>
      <c r="AC530" s="21">
        <f t="shared" si="485"/>
        <v>0.36524958908130001</v>
      </c>
      <c r="AD530" s="21">
        <f t="shared" si="485"/>
        <v>0.36524958908130001</v>
      </c>
      <c r="AE530" s="21">
        <f t="shared" si="485"/>
        <v>0.36524958908130001</v>
      </c>
      <c r="AF530" s="1"/>
    </row>
    <row r="531" spans="3:32" x14ac:dyDescent="0.2">
      <c r="C531" s="5" t="str">
        <f t="shared" si="482"/>
        <v>Senior Operator - EAF</v>
      </c>
      <c r="D531" s="47"/>
      <c r="F531" s="1" t="s">
        <v>55</v>
      </c>
      <c r="G531" s="21">
        <f t="shared" si="484"/>
        <v>5.47050243392406</v>
      </c>
      <c r="I531" s="41">
        <f>SUMIF('Quarterly Plant Model'!$I$2:$V$2,'Plant model'!I$2,'Quarterly Plant Model'!$I531:$V531)</f>
        <v>0</v>
      </c>
      <c r="J531" s="41">
        <f>SUMIF('Quarterly Plant Model'!$I$2:$V$2,'Plant model'!J$2,'Quarterly Plant Model'!$I531:$V531)</f>
        <v>0</v>
      </c>
      <c r="K531" s="41">
        <f>SUMIF('Quarterly Plant Model'!$I$2:$V$2,'Plant model'!K$2,'Quarterly Plant Model'!$I531:$V531)</f>
        <v>0.13676256084810151</v>
      </c>
      <c r="L531" s="41">
        <f>SUMIF('Quarterly Plant Model'!$I$2:$V$2,'Plant model'!L$2,'Quarterly Plant Model'!$I531:$V531)</f>
        <v>0.13676256084810151</v>
      </c>
      <c r="M531" s="21">
        <f t="shared" ref="M531:AE531" si="486">(M431+M482)*M274/1000000</f>
        <v>0.27352512169620302</v>
      </c>
      <c r="N531" s="21">
        <f t="shared" si="486"/>
        <v>0.27352512169620302</v>
      </c>
      <c r="O531" s="21">
        <f t="shared" si="486"/>
        <v>0.27352512169620302</v>
      </c>
      <c r="P531" s="21">
        <f t="shared" si="486"/>
        <v>0.27352512169620302</v>
      </c>
      <c r="Q531" s="21">
        <f t="shared" si="486"/>
        <v>0.27352512169620302</v>
      </c>
      <c r="R531" s="21">
        <f t="shared" si="486"/>
        <v>0.27352512169620302</v>
      </c>
      <c r="S531" s="21">
        <f t="shared" si="486"/>
        <v>0.27352512169620302</v>
      </c>
      <c r="T531" s="21">
        <f t="shared" si="486"/>
        <v>0.27352512169620302</v>
      </c>
      <c r="U531" s="21">
        <f t="shared" si="486"/>
        <v>0.27352512169620302</v>
      </c>
      <c r="V531" s="21">
        <f t="shared" si="486"/>
        <v>0.27352512169620302</v>
      </c>
      <c r="W531" s="21">
        <f t="shared" si="486"/>
        <v>0.27352512169620302</v>
      </c>
      <c r="X531" s="21">
        <f t="shared" si="486"/>
        <v>0.27352512169620302</v>
      </c>
      <c r="Y531" s="21">
        <f t="shared" si="486"/>
        <v>0.27352512169620302</v>
      </c>
      <c r="Z531" s="21">
        <f t="shared" si="486"/>
        <v>0.27352512169620302</v>
      </c>
      <c r="AA531" s="21">
        <f t="shared" si="486"/>
        <v>0.27352512169620302</v>
      </c>
      <c r="AB531" s="21">
        <f t="shared" si="486"/>
        <v>0.27352512169620302</v>
      </c>
      <c r="AC531" s="21">
        <f t="shared" si="486"/>
        <v>0.27352512169620302</v>
      </c>
      <c r="AD531" s="21">
        <f t="shared" si="486"/>
        <v>0.27352512169620302</v>
      </c>
      <c r="AE531" s="21">
        <f t="shared" si="486"/>
        <v>0.27352512169620302</v>
      </c>
      <c r="AF531" s="1"/>
    </row>
    <row r="532" spans="3:32" x14ac:dyDescent="0.2">
      <c r="C532" s="5" t="str">
        <f t="shared" si="482"/>
        <v>Operator - Ladle Crane</v>
      </c>
      <c r="D532" s="47"/>
      <c r="F532" s="1" t="s">
        <v>55</v>
      </c>
      <c r="G532" s="21">
        <f t="shared" si="484"/>
        <v>4.9460933095734729</v>
      </c>
      <c r="I532" s="41">
        <f>SUMIF('Quarterly Plant Model'!$I$2:$V$2,'Plant model'!I$2,'Quarterly Plant Model'!$I532:$V532)</f>
        <v>0</v>
      </c>
      <c r="J532" s="41">
        <f>SUMIF('Quarterly Plant Model'!$I$2:$V$2,'Plant model'!J$2,'Quarterly Plant Model'!$I532:$V532)</f>
        <v>0</v>
      </c>
      <c r="K532" s="41">
        <f>SUMIF('Quarterly Plant Model'!$I$2:$V$2,'Plant model'!K$2,'Quarterly Plant Model'!$I532:$V532)</f>
        <v>0.12365233273933683</v>
      </c>
      <c r="L532" s="41">
        <f>SUMIF('Quarterly Plant Model'!$I$2:$V$2,'Plant model'!L$2,'Quarterly Plant Model'!$I532:$V532)</f>
        <v>0.12365233273933683</v>
      </c>
      <c r="M532" s="21">
        <f t="shared" ref="M532:AE532" si="487">(M432+M483)*M276/1000000</f>
        <v>0.24730466547867366</v>
      </c>
      <c r="N532" s="21">
        <f t="shared" si="487"/>
        <v>0.24730466547867366</v>
      </c>
      <c r="O532" s="21">
        <f t="shared" si="487"/>
        <v>0.24730466547867366</v>
      </c>
      <c r="P532" s="21">
        <f t="shared" si="487"/>
        <v>0.24730466547867366</v>
      </c>
      <c r="Q532" s="21">
        <f t="shared" si="487"/>
        <v>0.24730466547867366</v>
      </c>
      <c r="R532" s="21">
        <f t="shared" si="487"/>
        <v>0.24730466547867366</v>
      </c>
      <c r="S532" s="21">
        <f t="shared" si="487"/>
        <v>0.24730466547867366</v>
      </c>
      <c r="T532" s="21">
        <f t="shared" si="487"/>
        <v>0.24730466547867366</v>
      </c>
      <c r="U532" s="21">
        <f t="shared" si="487"/>
        <v>0.24730466547867366</v>
      </c>
      <c r="V532" s="21">
        <f t="shared" si="487"/>
        <v>0.24730466547867366</v>
      </c>
      <c r="W532" s="21">
        <f t="shared" si="487"/>
        <v>0.24730466547867366</v>
      </c>
      <c r="X532" s="21">
        <f t="shared" si="487"/>
        <v>0.24730466547867366</v>
      </c>
      <c r="Y532" s="21">
        <f t="shared" si="487"/>
        <v>0.24730466547867366</v>
      </c>
      <c r="Z532" s="21">
        <f t="shared" si="487"/>
        <v>0.24730466547867366</v>
      </c>
      <c r="AA532" s="21">
        <f t="shared" si="487"/>
        <v>0.24730466547867366</v>
      </c>
      <c r="AB532" s="21">
        <f t="shared" si="487"/>
        <v>0.24730466547867366</v>
      </c>
      <c r="AC532" s="21">
        <f t="shared" si="487"/>
        <v>0.24730466547867366</v>
      </c>
      <c r="AD532" s="21">
        <f t="shared" si="487"/>
        <v>0.24730466547867366</v>
      </c>
      <c r="AE532" s="21">
        <f t="shared" si="487"/>
        <v>0.24730466547867366</v>
      </c>
      <c r="AF532" s="1"/>
    </row>
    <row r="533" spans="3:32" x14ac:dyDescent="0.2">
      <c r="C533" s="5" t="str">
        <f t="shared" si="482"/>
        <v>Operator</v>
      </c>
      <c r="D533" s="47"/>
      <c r="F533" s="1" t="s">
        <v>55</v>
      </c>
      <c r="G533" s="21">
        <f t="shared" si="484"/>
        <v>9.0263993382210437</v>
      </c>
      <c r="I533" s="41">
        <f>SUMIF('Quarterly Plant Model'!$I$2:$V$2,'Plant model'!I$2,'Quarterly Plant Model'!$I533:$V533)</f>
        <v>0</v>
      </c>
      <c r="J533" s="41">
        <f>SUMIF('Quarterly Plant Model'!$I$2:$V$2,'Plant model'!J$2,'Quarterly Plant Model'!$I533:$V533)</f>
        <v>0</v>
      </c>
      <c r="K533" s="41">
        <f>SUMIF('Quarterly Plant Model'!$I$2:$V$2,'Plant model'!K$2,'Quarterly Plant Model'!$I533:$V533)</f>
        <v>0.22565998345552601</v>
      </c>
      <c r="L533" s="41">
        <f>SUMIF('Quarterly Plant Model'!$I$2:$V$2,'Plant model'!L$2,'Quarterly Plant Model'!$I533:$V533)</f>
        <v>0.22565998345552601</v>
      </c>
      <c r="M533" s="21">
        <f t="shared" ref="M533:AE533" si="488">(M433+M484)*M277/1000000</f>
        <v>0.45131996691105203</v>
      </c>
      <c r="N533" s="21">
        <f t="shared" si="488"/>
        <v>0.45131996691105203</v>
      </c>
      <c r="O533" s="21">
        <f t="shared" si="488"/>
        <v>0.45131996691105203</v>
      </c>
      <c r="P533" s="21">
        <f t="shared" si="488"/>
        <v>0.45131996691105203</v>
      </c>
      <c r="Q533" s="21">
        <f t="shared" si="488"/>
        <v>0.45131996691105203</v>
      </c>
      <c r="R533" s="21">
        <f t="shared" si="488"/>
        <v>0.45131996691105203</v>
      </c>
      <c r="S533" s="21">
        <f t="shared" si="488"/>
        <v>0.45131996691105203</v>
      </c>
      <c r="T533" s="21">
        <f t="shared" si="488"/>
        <v>0.45131996691105203</v>
      </c>
      <c r="U533" s="21">
        <f t="shared" si="488"/>
        <v>0.45131996691105203</v>
      </c>
      <c r="V533" s="21">
        <f t="shared" si="488"/>
        <v>0.45131996691105203</v>
      </c>
      <c r="W533" s="21">
        <f t="shared" si="488"/>
        <v>0.45131996691105203</v>
      </c>
      <c r="X533" s="21">
        <f t="shared" si="488"/>
        <v>0.45131996691105203</v>
      </c>
      <c r="Y533" s="21">
        <f t="shared" si="488"/>
        <v>0.45131996691105203</v>
      </c>
      <c r="Z533" s="21">
        <f t="shared" si="488"/>
        <v>0.45131996691105203</v>
      </c>
      <c r="AA533" s="21">
        <f t="shared" si="488"/>
        <v>0.45131996691105203</v>
      </c>
      <c r="AB533" s="21">
        <f t="shared" si="488"/>
        <v>0.45131996691105203</v>
      </c>
      <c r="AC533" s="21">
        <f t="shared" si="488"/>
        <v>0.45131996691105203</v>
      </c>
      <c r="AD533" s="21">
        <f t="shared" si="488"/>
        <v>0.45131996691105203</v>
      </c>
      <c r="AE533" s="21">
        <f t="shared" si="488"/>
        <v>0.45131996691105203</v>
      </c>
      <c r="AF533" s="1"/>
    </row>
    <row r="534" spans="3:32" x14ac:dyDescent="0.2">
      <c r="C534" s="5" t="str">
        <f t="shared" si="482"/>
        <v>Team Leader - Refractory</v>
      </c>
      <c r="D534" s="47"/>
      <c r="F534" s="1" t="s">
        <v>55</v>
      </c>
      <c r="G534" s="21">
        <f t="shared" si="484"/>
        <v>1.1701501688437317</v>
      </c>
      <c r="I534" s="41">
        <f>SUMIF('Quarterly Plant Model'!$I$2:$V$2,'Plant model'!I$2,'Quarterly Plant Model'!$I534:$V534)</f>
        <v>0</v>
      </c>
      <c r="J534" s="41">
        <f>SUMIF('Quarterly Plant Model'!$I$2:$V$2,'Plant model'!J$2,'Quarterly Plant Model'!$I534:$V534)</f>
        <v>0</v>
      </c>
      <c r="K534" s="41">
        <f>SUMIF('Quarterly Plant Model'!$I$2:$V$2,'Plant model'!K$2,'Quarterly Plant Model'!$I534:$V534)</f>
        <v>2.9253754221093296E-2</v>
      </c>
      <c r="L534" s="41">
        <f>SUMIF('Quarterly Plant Model'!$I$2:$V$2,'Plant model'!L$2,'Quarterly Plant Model'!$I534:$V534)</f>
        <v>2.9253754221093296E-2</v>
      </c>
      <c r="M534" s="21">
        <f t="shared" ref="M534:AE534" si="489">(M434+M485)*M278/1000000</f>
        <v>5.8507508442186593E-2</v>
      </c>
      <c r="N534" s="21">
        <f t="shared" si="489"/>
        <v>5.8507508442186593E-2</v>
      </c>
      <c r="O534" s="21">
        <f t="shared" si="489"/>
        <v>5.8507508442186593E-2</v>
      </c>
      <c r="P534" s="21">
        <f t="shared" si="489"/>
        <v>5.8507508442186593E-2</v>
      </c>
      <c r="Q534" s="21">
        <f t="shared" si="489"/>
        <v>5.8507508442186593E-2</v>
      </c>
      <c r="R534" s="21">
        <f t="shared" si="489"/>
        <v>5.8507508442186593E-2</v>
      </c>
      <c r="S534" s="21">
        <f t="shared" si="489"/>
        <v>5.8507508442186593E-2</v>
      </c>
      <c r="T534" s="21">
        <f t="shared" si="489"/>
        <v>5.8507508442186593E-2</v>
      </c>
      <c r="U534" s="21">
        <f t="shared" si="489"/>
        <v>5.8507508442186593E-2</v>
      </c>
      <c r="V534" s="21">
        <f t="shared" si="489"/>
        <v>5.8507508442186593E-2</v>
      </c>
      <c r="W534" s="21">
        <f t="shared" si="489"/>
        <v>5.8507508442186593E-2</v>
      </c>
      <c r="X534" s="21">
        <f t="shared" si="489"/>
        <v>5.8507508442186593E-2</v>
      </c>
      <c r="Y534" s="21">
        <f t="shared" si="489"/>
        <v>5.8507508442186593E-2</v>
      </c>
      <c r="Z534" s="21">
        <f t="shared" si="489"/>
        <v>5.8507508442186593E-2</v>
      </c>
      <c r="AA534" s="21">
        <f t="shared" si="489"/>
        <v>5.8507508442186593E-2</v>
      </c>
      <c r="AB534" s="21">
        <f t="shared" si="489"/>
        <v>5.8507508442186593E-2</v>
      </c>
      <c r="AC534" s="21">
        <f t="shared" si="489"/>
        <v>5.8507508442186593E-2</v>
      </c>
      <c r="AD534" s="21">
        <f t="shared" si="489"/>
        <v>5.8507508442186593E-2</v>
      </c>
      <c r="AE534" s="21">
        <f t="shared" si="489"/>
        <v>5.8507508442186593E-2</v>
      </c>
      <c r="AF534" s="1"/>
    </row>
    <row r="535" spans="3:32" x14ac:dyDescent="0.2">
      <c r="C535" s="5" t="str">
        <f t="shared" si="482"/>
        <v>Operator - Refractory</v>
      </c>
      <c r="D535" s="47"/>
      <c r="F535" s="1" t="s">
        <v>55</v>
      </c>
      <c r="G535" s="21">
        <f t="shared" si="484"/>
        <v>8.1150964307595999</v>
      </c>
      <c r="I535" s="41">
        <f>SUMIF('Quarterly Plant Model'!$I$2:$V$2,'Plant model'!I$2,'Quarterly Plant Model'!$I535:$V535)</f>
        <v>0</v>
      </c>
      <c r="J535" s="41">
        <f>SUMIF('Quarterly Plant Model'!$I$2:$V$2,'Plant model'!J$2,'Quarterly Plant Model'!$I535:$V535)</f>
        <v>0</v>
      </c>
      <c r="K535" s="41">
        <f>SUMIF('Quarterly Plant Model'!$I$2:$V$2,'Plant model'!K$2,'Quarterly Plant Model'!$I535:$V535)</f>
        <v>0.2028774107689901</v>
      </c>
      <c r="L535" s="41">
        <f>SUMIF('Quarterly Plant Model'!$I$2:$V$2,'Plant model'!L$2,'Quarterly Plant Model'!$I535:$V535)</f>
        <v>0.2028774107689901</v>
      </c>
      <c r="M535" s="21">
        <f t="shared" ref="M535:AE535" si="490">(M435+M486)*M279/1000000</f>
        <v>0.4057548215379802</v>
      </c>
      <c r="N535" s="21">
        <f t="shared" si="490"/>
        <v>0.4057548215379802</v>
      </c>
      <c r="O535" s="21">
        <f t="shared" si="490"/>
        <v>0.4057548215379802</v>
      </c>
      <c r="P535" s="21">
        <f t="shared" si="490"/>
        <v>0.4057548215379802</v>
      </c>
      <c r="Q535" s="21">
        <f t="shared" si="490"/>
        <v>0.4057548215379802</v>
      </c>
      <c r="R535" s="21">
        <f t="shared" si="490"/>
        <v>0.4057548215379802</v>
      </c>
      <c r="S535" s="21">
        <f t="shared" si="490"/>
        <v>0.4057548215379802</v>
      </c>
      <c r="T535" s="21">
        <f t="shared" si="490"/>
        <v>0.4057548215379802</v>
      </c>
      <c r="U535" s="21">
        <f t="shared" si="490"/>
        <v>0.4057548215379802</v>
      </c>
      <c r="V535" s="21">
        <f t="shared" si="490"/>
        <v>0.4057548215379802</v>
      </c>
      <c r="W535" s="21">
        <f t="shared" si="490"/>
        <v>0.4057548215379802</v>
      </c>
      <c r="X535" s="21">
        <f t="shared" si="490"/>
        <v>0.4057548215379802</v>
      </c>
      <c r="Y535" s="21">
        <f t="shared" si="490"/>
        <v>0.4057548215379802</v>
      </c>
      <c r="Z535" s="21">
        <f t="shared" si="490"/>
        <v>0.4057548215379802</v>
      </c>
      <c r="AA535" s="21">
        <f t="shared" si="490"/>
        <v>0.4057548215379802</v>
      </c>
      <c r="AB535" s="21">
        <f t="shared" si="490"/>
        <v>0.4057548215379802</v>
      </c>
      <c r="AC535" s="21">
        <f t="shared" si="490"/>
        <v>0.4057548215379802</v>
      </c>
      <c r="AD535" s="21">
        <f t="shared" si="490"/>
        <v>0.4057548215379802</v>
      </c>
      <c r="AE535" s="21">
        <f t="shared" si="490"/>
        <v>0.4057548215379802</v>
      </c>
      <c r="AF535" s="1"/>
    </row>
    <row r="536" spans="3:32" x14ac:dyDescent="0.2">
      <c r="C536" s="20" t="s">
        <v>45</v>
      </c>
      <c r="D536" s="5"/>
      <c r="F536" s="9" t="s">
        <v>55</v>
      </c>
      <c r="G536" s="44">
        <f t="shared" si="484"/>
        <v>40.191547990007962</v>
      </c>
      <c r="H536" s="9"/>
      <c r="I536" s="44">
        <f t="shared" ref="I536:AE536" si="491">SUM(I529:I535)</f>
        <v>0</v>
      </c>
      <c r="J536" s="44">
        <f t="shared" si="491"/>
        <v>0</v>
      </c>
      <c r="K536" s="44">
        <f t="shared" si="491"/>
        <v>1.0047886997501987</v>
      </c>
      <c r="L536" s="44">
        <f t="shared" si="491"/>
        <v>1.0047886997501987</v>
      </c>
      <c r="M536" s="44">
        <f t="shared" si="491"/>
        <v>2.0095773995003974</v>
      </c>
      <c r="N536" s="44">
        <f t="shared" si="491"/>
        <v>2.0095773995003974</v>
      </c>
      <c r="O536" s="44">
        <f t="shared" si="491"/>
        <v>2.0095773995003974</v>
      </c>
      <c r="P536" s="44">
        <f t="shared" si="491"/>
        <v>2.0095773995003974</v>
      </c>
      <c r="Q536" s="44">
        <f t="shared" si="491"/>
        <v>2.0095773995003974</v>
      </c>
      <c r="R536" s="44">
        <f t="shared" si="491"/>
        <v>2.0095773995003974</v>
      </c>
      <c r="S536" s="44">
        <f t="shared" si="491"/>
        <v>2.0095773995003974</v>
      </c>
      <c r="T536" s="44">
        <f t="shared" si="491"/>
        <v>2.0095773995003974</v>
      </c>
      <c r="U536" s="44">
        <f t="shared" si="491"/>
        <v>2.0095773995003974</v>
      </c>
      <c r="V536" s="44">
        <f t="shared" si="491"/>
        <v>2.0095773995003974</v>
      </c>
      <c r="W536" s="44">
        <f t="shared" si="491"/>
        <v>2.0095773995003974</v>
      </c>
      <c r="X536" s="44">
        <f t="shared" si="491"/>
        <v>2.0095773995003974</v>
      </c>
      <c r="Y536" s="44">
        <f t="shared" si="491"/>
        <v>2.0095773995003974</v>
      </c>
      <c r="Z536" s="44">
        <f t="shared" si="491"/>
        <v>2.0095773995003974</v>
      </c>
      <c r="AA536" s="44">
        <f t="shared" si="491"/>
        <v>2.0095773995003974</v>
      </c>
      <c r="AB536" s="44">
        <f t="shared" si="491"/>
        <v>2.0095773995003974</v>
      </c>
      <c r="AC536" s="44">
        <f t="shared" si="491"/>
        <v>2.0095773995003974</v>
      </c>
      <c r="AD536" s="44">
        <f t="shared" si="491"/>
        <v>2.0095773995003974</v>
      </c>
      <c r="AE536" s="44">
        <f t="shared" si="491"/>
        <v>2.0095773995003974</v>
      </c>
      <c r="AF536" s="1"/>
    </row>
    <row r="537" spans="3:32" x14ac:dyDescent="0.2">
      <c r="C537" s="5"/>
      <c r="D537" s="5"/>
      <c r="AF537" s="1"/>
    </row>
    <row r="538" spans="3:32" x14ac:dyDescent="0.2">
      <c r="C538" s="47" t="str">
        <f>C488</f>
        <v>Casting</v>
      </c>
      <c r="D538" s="47"/>
      <c r="AF538" s="1"/>
    </row>
    <row r="539" spans="3:32" x14ac:dyDescent="0.2">
      <c r="C539" s="5" t="str">
        <f>C489</f>
        <v xml:space="preserve">Senior Casting Operator </v>
      </c>
      <c r="D539" s="5"/>
      <c r="F539" s="1" t="s">
        <v>55</v>
      </c>
      <c r="G539" s="21">
        <f t="shared" ref="G539:G542" si="492">SUM(I539:AE539)</f>
        <v>5.4984181677973236</v>
      </c>
      <c r="I539" s="41">
        <f>SUMIF('Quarterly Plant Model'!$I$2:$V$2,'Plant model'!I$2,'Quarterly Plant Model'!$I539:$V539)</f>
        <v>0</v>
      </c>
      <c r="J539" s="41">
        <f>SUMIF('Quarterly Plant Model'!$I$2:$V$2,'Plant model'!J$2,'Quarterly Plant Model'!$I539:$V539)</f>
        <v>0</v>
      </c>
      <c r="K539" s="41">
        <f>SUMIF('Quarterly Plant Model'!$I$2:$V$2,'Plant model'!K$2,'Quarterly Plant Model'!$I539:$V539)</f>
        <v>0.13746045419493305</v>
      </c>
      <c r="L539" s="41">
        <f>SUMIF('Quarterly Plant Model'!$I$2:$V$2,'Plant model'!L$2,'Quarterly Plant Model'!$I539:$V539)</f>
        <v>0.13746045419493305</v>
      </c>
      <c r="M539" s="21">
        <f t="shared" ref="M539:AE539" si="493">(M438+M489)*M283/1000000</f>
        <v>0.2749209083898661</v>
      </c>
      <c r="N539" s="21">
        <f t="shared" si="493"/>
        <v>0.2749209083898661</v>
      </c>
      <c r="O539" s="21">
        <f t="shared" si="493"/>
        <v>0.2749209083898661</v>
      </c>
      <c r="P539" s="21">
        <f t="shared" si="493"/>
        <v>0.2749209083898661</v>
      </c>
      <c r="Q539" s="21">
        <f t="shared" si="493"/>
        <v>0.2749209083898661</v>
      </c>
      <c r="R539" s="21">
        <f t="shared" si="493"/>
        <v>0.2749209083898661</v>
      </c>
      <c r="S539" s="21">
        <f t="shared" si="493"/>
        <v>0.2749209083898661</v>
      </c>
      <c r="T539" s="21">
        <f t="shared" si="493"/>
        <v>0.2749209083898661</v>
      </c>
      <c r="U539" s="21">
        <f t="shared" si="493"/>
        <v>0.2749209083898661</v>
      </c>
      <c r="V539" s="21">
        <f t="shared" si="493"/>
        <v>0.2749209083898661</v>
      </c>
      <c r="W539" s="21">
        <f t="shared" si="493"/>
        <v>0.2749209083898661</v>
      </c>
      <c r="X539" s="21">
        <f t="shared" si="493"/>
        <v>0.2749209083898661</v>
      </c>
      <c r="Y539" s="21">
        <f t="shared" si="493"/>
        <v>0.2749209083898661</v>
      </c>
      <c r="Z539" s="21">
        <f t="shared" si="493"/>
        <v>0.2749209083898661</v>
      </c>
      <c r="AA539" s="21">
        <f t="shared" si="493"/>
        <v>0.2749209083898661</v>
      </c>
      <c r="AB539" s="21">
        <f t="shared" si="493"/>
        <v>0.2749209083898661</v>
      </c>
      <c r="AC539" s="21">
        <f t="shared" si="493"/>
        <v>0.2749209083898661</v>
      </c>
      <c r="AD539" s="21">
        <f t="shared" si="493"/>
        <v>0.2749209083898661</v>
      </c>
      <c r="AE539" s="21">
        <f t="shared" si="493"/>
        <v>0.2749209083898661</v>
      </c>
      <c r="AF539" s="1"/>
    </row>
    <row r="540" spans="3:32" x14ac:dyDescent="0.2">
      <c r="C540" s="5" t="str">
        <f>C490</f>
        <v>Operator</v>
      </c>
      <c r="D540" s="5"/>
      <c r="F540" s="1" t="s">
        <v>55</v>
      </c>
      <c r="G540" s="21">
        <f t="shared" si="492"/>
        <v>9.7084216469589215</v>
      </c>
      <c r="I540" s="41">
        <f>SUMIF('Quarterly Plant Model'!$I$2:$V$2,'Plant model'!I$2,'Quarterly Plant Model'!$I540:$V540)</f>
        <v>0</v>
      </c>
      <c r="J540" s="41">
        <f>SUMIF('Quarterly Plant Model'!$I$2:$V$2,'Plant model'!J$2,'Quarterly Plant Model'!$I540:$V540)</f>
        <v>0</v>
      </c>
      <c r="K540" s="41">
        <f>SUMIF('Quarterly Plant Model'!$I$2:$V$2,'Plant model'!K$2,'Quarterly Plant Model'!$I540:$V540)</f>
        <v>0.24271054117397317</v>
      </c>
      <c r="L540" s="41">
        <f>SUMIF('Quarterly Plant Model'!$I$2:$V$2,'Plant model'!L$2,'Quarterly Plant Model'!$I540:$V540)</f>
        <v>0.24271054117397317</v>
      </c>
      <c r="M540" s="21">
        <f t="shared" ref="M540:AE540" si="494">(M439+M490)*M284/1000000</f>
        <v>0.48542108234794634</v>
      </c>
      <c r="N540" s="21">
        <f t="shared" si="494"/>
        <v>0.48542108234794634</v>
      </c>
      <c r="O540" s="21">
        <f t="shared" si="494"/>
        <v>0.48542108234794634</v>
      </c>
      <c r="P540" s="21">
        <f t="shared" si="494"/>
        <v>0.48542108234794634</v>
      </c>
      <c r="Q540" s="21">
        <f t="shared" si="494"/>
        <v>0.48542108234794634</v>
      </c>
      <c r="R540" s="21">
        <f t="shared" si="494"/>
        <v>0.48542108234794634</v>
      </c>
      <c r="S540" s="21">
        <f t="shared" si="494"/>
        <v>0.48542108234794634</v>
      </c>
      <c r="T540" s="21">
        <f t="shared" si="494"/>
        <v>0.48542108234794634</v>
      </c>
      <c r="U540" s="21">
        <f t="shared" si="494"/>
        <v>0.48542108234794634</v>
      </c>
      <c r="V540" s="21">
        <f t="shared" si="494"/>
        <v>0.48542108234794634</v>
      </c>
      <c r="W540" s="21">
        <f t="shared" si="494"/>
        <v>0.48542108234794634</v>
      </c>
      <c r="X540" s="21">
        <f t="shared" si="494"/>
        <v>0.48542108234794634</v>
      </c>
      <c r="Y540" s="21">
        <f t="shared" si="494"/>
        <v>0.48542108234794634</v>
      </c>
      <c r="Z540" s="21">
        <f t="shared" si="494"/>
        <v>0.48542108234794634</v>
      </c>
      <c r="AA540" s="21">
        <f t="shared" si="494"/>
        <v>0.48542108234794634</v>
      </c>
      <c r="AB540" s="21">
        <f t="shared" si="494"/>
        <v>0.48542108234794634</v>
      </c>
      <c r="AC540" s="21">
        <f t="shared" si="494"/>
        <v>0.48542108234794634</v>
      </c>
      <c r="AD540" s="21">
        <f t="shared" si="494"/>
        <v>0.48542108234794634</v>
      </c>
      <c r="AE540" s="21">
        <f t="shared" si="494"/>
        <v>0.48542108234794634</v>
      </c>
      <c r="AF540" s="1"/>
    </row>
    <row r="541" spans="3:32" x14ac:dyDescent="0.2">
      <c r="C541" s="5" t="str">
        <f>C491</f>
        <v>Operator - Casting bay</v>
      </c>
      <c r="D541" s="5"/>
      <c r="F541" s="1" t="s">
        <v>55</v>
      </c>
      <c r="G541" s="21">
        <f t="shared" si="492"/>
        <v>3.9124305902436847</v>
      </c>
      <c r="I541" s="41">
        <f>SUMIF('Quarterly Plant Model'!$I$2:$V$2,'Plant model'!I$2,'Quarterly Plant Model'!$I541:$V541)</f>
        <v>0</v>
      </c>
      <c r="J541" s="41">
        <f>SUMIF('Quarterly Plant Model'!$I$2:$V$2,'Plant model'!J$2,'Quarterly Plant Model'!$I541:$V541)</f>
        <v>0</v>
      </c>
      <c r="K541" s="41">
        <f>SUMIF('Quarterly Plant Model'!$I$2:$V$2,'Plant model'!K$2,'Quarterly Plant Model'!$I541:$V541)</f>
        <v>9.7810764756092072E-2</v>
      </c>
      <c r="L541" s="41">
        <f>SUMIF('Quarterly Plant Model'!$I$2:$V$2,'Plant model'!L$2,'Quarterly Plant Model'!$I541:$V541)</f>
        <v>9.7810764756092072E-2</v>
      </c>
      <c r="M541" s="21">
        <f t="shared" ref="M541:AE541" si="495">(M440+M491)*M285/1000000</f>
        <v>0.19562152951218414</v>
      </c>
      <c r="N541" s="21">
        <f t="shared" si="495"/>
        <v>0.19562152951218414</v>
      </c>
      <c r="O541" s="21">
        <f t="shared" si="495"/>
        <v>0.19562152951218414</v>
      </c>
      <c r="P541" s="21">
        <f t="shared" si="495"/>
        <v>0.19562152951218414</v>
      </c>
      <c r="Q541" s="21">
        <f t="shared" si="495"/>
        <v>0.19562152951218414</v>
      </c>
      <c r="R541" s="21">
        <f t="shared" si="495"/>
        <v>0.19562152951218414</v>
      </c>
      <c r="S541" s="21">
        <f t="shared" si="495"/>
        <v>0.19562152951218414</v>
      </c>
      <c r="T541" s="21">
        <f t="shared" si="495"/>
        <v>0.19562152951218414</v>
      </c>
      <c r="U541" s="21">
        <f t="shared" si="495"/>
        <v>0.19562152951218414</v>
      </c>
      <c r="V541" s="21">
        <f t="shared" si="495"/>
        <v>0.19562152951218414</v>
      </c>
      <c r="W541" s="21">
        <f t="shared" si="495"/>
        <v>0.19562152951218414</v>
      </c>
      <c r="X541" s="21">
        <f t="shared" si="495"/>
        <v>0.19562152951218414</v>
      </c>
      <c r="Y541" s="21">
        <f t="shared" si="495"/>
        <v>0.19562152951218414</v>
      </c>
      <c r="Z541" s="21">
        <f t="shared" si="495"/>
        <v>0.19562152951218414</v>
      </c>
      <c r="AA541" s="21">
        <f t="shared" si="495"/>
        <v>0.19562152951218414</v>
      </c>
      <c r="AB541" s="21">
        <f t="shared" si="495"/>
        <v>0.19562152951218414</v>
      </c>
      <c r="AC541" s="21">
        <f t="shared" si="495"/>
        <v>0.19562152951218414</v>
      </c>
      <c r="AD541" s="21">
        <f t="shared" si="495"/>
        <v>0.19562152951218414</v>
      </c>
      <c r="AE541" s="21">
        <f t="shared" si="495"/>
        <v>0.19562152951218414</v>
      </c>
      <c r="AF541" s="1"/>
    </row>
    <row r="542" spans="3:32" x14ac:dyDescent="0.2">
      <c r="C542" s="20" t="s">
        <v>45</v>
      </c>
      <c r="D542" s="20"/>
      <c r="F542" s="9" t="s">
        <v>55</v>
      </c>
      <c r="G542" s="44">
        <f t="shared" si="492"/>
        <v>19.119270404999924</v>
      </c>
      <c r="I542" s="48">
        <f>SUM(I539:I541)</f>
        <v>0</v>
      </c>
      <c r="J542" s="48">
        <f>SUM(J539:J541)</f>
        <v>0</v>
      </c>
      <c r="K542" s="48">
        <f>SUM(K539:K541)</f>
        <v>0.47798176012499827</v>
      </c>
      <c r="L542" s="48">
        <f t="shared" ref="L542:AE542" si="496">SUM(L539:L541)</f>
        <v>0.47798176012499827</v>
      </c>
      <c r="M542" s="48">
        <f t="shared" si="496"/>
        <v>0.95596352024999653</v>
      </c>
      <c r="N542" s="48">
        <f t="shared" si="496"/>
        <v>0.95596352024999653</v>
      </c>
      <c r="O542" s="48">
        <f t="shared" si="496"/>
        <v>0.95596352024999653</v>
      </c>
      <c r="P542" s="48">
        <f t="shared" si="496"/>
        <v>0.95596352024999653</v>
      </c>
      <c r="Q542" s="48">
        <f t="shared" si="496"/>
        <v>0.95596352024999653</v>
      </c>
      <c r="R542" s="48">
        <f t="shared" si="496"/>
        <v>0.95596352024999653</v>
      </c>
      <c r="S542" s="48">
        <f t="shared" si="496"/>
        <v>0.95596352024999653</v>
      </c>
      <c r="T542" s="48">
        <f t="shared" si="496"/>
        <v>0.95596352024999653</v>
      </c>
      <c r="U542" s="48">
        <f t="shared" si="496"/>
        <v>0.95596352024999653</v>
      </c>
      <c r="V542" s="48">
        <f t="shared" si="496"/>
        <v>0.95596352024999653</v>
      </c>
      <c r="W542" s="48">
        <f t="shared" si="496"/>
        <v>0.95596352024999653</v>
      </c>
      <c r="X542" s="48">
        <f t="shared" si="496"/>
        <v>0.95596352024999653</v>
      </c>
      <c r="Y542" s="48">
        <f t="shared" si="496"/>
        <v>0.95596352024999653</v>
      </c>
      <c r="Z542" s="48">
        <f t="shared" si="496"/>
        <v>0.95596352024999653</v>
      </c>
      <c r="AA542" s="48">
        <f t="shared" si="496"/>
        <v>0.95596352024999653</v>
      </c>
      <c r="AB542" s="48">
        <f t="shared" si="496"/>
        <v>0.95596352024999653</v>
      </c>
      <c r="AC542" s="48">
        <f t="shared" si="496"/>
        <v>0.95596352024999653</v>
      </c>
      <c r="AD542" s="48">
        <f t="shared" si="496"/>
        <v>0.95596352024999653</v>
      </c>
      <c r="AE542" s="48">
        <f t="shared" si="496"/>
        <v>0.95596352024999653</v>
      </c>
      <c r="AF542" s="1"/>
    </row>
    <row r="543" spans="3:32" x14ac:dyDescent="0.2">
      <c r="C543" s="5"/>
      <c r="D543" s="5"/>
      <c r="AF543" s="1"/>
    </row>
    <row r="544" spans="3:32" x14ac:dyDescent="0.2">
      <c r="C544" s="47" t="str">
        <f>C493</f>
        <v>HYL</v>
      </c>
      <c r="D544" s="47"/>
      <c r="AF544" s="1"/>
    </row>
    <row r="545" spans="3:32" x14ac:dyDescent="0.2">
      <c r="C545" s="5" t="str">
        <f>C494</f>
        <v>Manager of HYL Production</v>
      </c>
      <c r="D545" s="5"/>
      <c r="F545" s="1" t="s">
        <v>55</v>
      </c>
      <c r="G545" s="21">
        <f t="shared" ref="G545:G548" si="497">SUM(I545:AE545)</f>
        <v>3.6863463151445064</v>
      </c>
      <c r="I545" s="41">
        <f>SUMIF('Quarterly Plant Model'!$I$2:$V$2,'Plant model'!I$2,'Quarterly Plant Model'!$I545:$V545)</f>
        <v>0</v>
      </c>
      <c r="J545" s="41">
        <f>SUMIF('Quarterly Plant Model'!$I$2:$V$2,'Plant model'!J$2,'Quarterly Plant Model'!$I545:$V545)</f>
        <v>0</v>
      </c>
      <c r="K545" s="41">
        <f>SUMIF('Quarterly Plant Model'!$I$2:$V$2,'Plant model'!K$2,'Quarterly Plant Model'!$I545:$V545)</f>
        <v>9.215865787861266E-2</v>
      </c>
      <c r="L545" s="41">
        <f>SUMIF('Quarterly Plant Model'!$I$2:$V$2,'Plant model'!L$2,'Quarterly Plant Model'!$I545:$V545)</f>
        <v>9.215865787861266E-2</v>
      </c>
      <c r="M545" s="21">
        <f t="shared" ref="M545:AE545" si="498">(M443+M494)*M289/1000000</f>
        <v>0.18431731575722532</v>
      </c>
      <c r="N545" s="21">
        <f t="shared" si="498"/>
        <v>0.18431731575722532</v>
      </c>
      <c r="O545" s="21">
        <f t="shared" si="498"/>
        <v>0.18431731575722532</v>
      </c>
      <c r="P545" s="21">
        <f t="shared" si="498"/>
        <v>0.18431731575722532</v>
      </c>
      <c r="Q545" s="21">
        <f t="shared" si="498"/>
        <v>0.18431731575722532</v>
      </c>
      <c r="R545" s="21">
        <f t="shared" si="498"/>
        <v>0.18431731575722532</v>
      </c>
      <c r="S545" s="21">
        <f t="shared" si="498"/>
        <v>0.18431731575722532</v>
      </c>
      <c r="T545" s="21">
        <f t="shared" si="498"/>
        <v>0.18431731575722532</v>
      </c>
      <c r="U545" s="21">
        <f t="shared" si="498"/>
        <v>0.18431731575722532</v>
      </c>
      <c r="V545" s="21">
        <f t="shared" si="498"/>
        <v>0.18431731575722532</v>
      </c>
      <c r="W545" s="21">
        <f t="shared" si="498"/>
        <v>0.18431731575722532</v>
      </c>
      <c r="X545" s="21">
        <f t="shared" si="498"/>
        <v>0.18431731575722532</v>
      </c>
      <c r="Y545" s="21">
        <f t="shared" si="498"/>
        <v>0.18431731575722532</v>
      </c>
      <c r="Z545" s="21">
        <f t="shared" si="498"/>
        <v>0.18431731575722532</v>
      </c>
      <c r="AA545" s="21">
        <f t="shared" si="498"/>
        <v>0.18431731575722532</v>
      </c>
      <c r="AB545" s="21">
        <f t="shared" si="498"/>
        <v>0.18431731575722532</v>
      </c>
      <c r="AC545" s="21">
        <f t="shared" si="498"/>
        <v>0.18431731575722532</v>
      </c>
      <c r="AD545" s="21">
        <f t="shared" si="498"/>
        <v>0.18431731575722532</v>
      </c>
      <c r="AE545" s="21">
        <f t="shared" si="498"/>
        <v>0.18431731575722532</v>
      </c>
      <c r="AF545" s="1"/>
    </row>
    <row r="546" spans="3:32" x14ac:dyDescent="0.2">
      <c r="C546" s="5" t="str">
        <f>C495</f>
        <v>Supervisor/Team Leader of HYL</v>
      </c>
      <c r="D546" s="5"/>
      <c r="F546" s="1" t="s">
        <v>55</v>
      </c>
      <c r="G546" s="21">
        <f t="shared" si="497"/>
        <v>6.5193206826252332</v>
      </c>
      <c r="I546" s="41">
        <f>SUMIF('Quarterly Plant Model'!$I$2:$V$2,'Plant model'!I$2,'Quarterly Plant Model'!$I546:$V546)</f>
        <v>0</v>
      </c>
      <c r="J546" s="41">
        <f>SUMIF('Quarterly Plant Model'!$I$2:$V$2,'Plant model'!J$2,'Quarterly Plant Model'!$I546:$V546)</f>
        <v>0</v>
      </c>
      <c r="K546" s="41">
        <f>SUMIF('Quarterly Plant Model'!$I$2:$V$2,'Plant model'!K$2,'Quarterly Plant Model'!$I546:$V546)</f>
        <v>0.16298301706563087</v>
      </c>
      <c r="L546" s="41">
        <f>SUMIF('Quarterly Plant Model'!$I$2:$V$2,'Plant model'!L$2,'Quarterly Plant Model'!$I546:$V546)</f>
        <v>0.16298301706563087</v>
      </c>
      <c r="M546" s="21">
        <f t="shared" ref="M546:AE546" si="499">(M444+M495)*M290/1000000</f>
        <v>0.32596603413126174</v>
      </c>
      <c r="N546" s="21">
        <f t="shared" si="499"/>
        <v>0.32596603413126174</v>
      </c>
      <c r="O546" s="21">
        <f t="shared" si="499"/>
        <v>0.32596603413126174</v>
      </c>
      <c r="P546" s="21">
        <f t="shared" si="499"/>
        <v>0.32596603413126174</v>
      </c>
      <c r="Q546" s="21">
        <f t="shared" si="499"/>
        <v>0.32596603413126174</v>
      </c>
      <c r="R546" s="21">
        <f t="shared" si="499"/>
        <v>0.32596603413126174</v>
      </c>
      <c r="S546" s="21">
        <f t="shared" si="499"/>
        <v>0.32596603413126174</v>
      </c>
      <c r="T546" s="21">
        <f t="shared" si="499"/>
        <v>0.32596603413126174</v>
      </c>
      <c r="U546" s="21">
        <f t="shared" si="499"/>
        <v>0.32596603413126174</v>
      </c>
      <c r="V546" s="21">
        <f t="shared" si="499"/>
        <v>0.32596603413126174</v>
      </c>
      <c r="W546" s="21">
        <f t="shared" si="499"/>
        <v>0.32596603413126174</v>
      </c>
      <c r="X546" s="21">
        <f t="shared" si="499"/>
        <v>0.32596603413126174</v>
      </c>
      <c r="Y546" s="21">
        <f t="shared" si="499"/>
        <v>0.32596603413126174</v>
      </c>
      <c r="Z546" s="21">
        <f t="shared" si="499"/>
        <v>0.32596603413126174</v>
      </c>
      <c r="AA546" s="21">
        <f t="shared" si="499"/>
        <v>0.32596603413126174</v>
      </c>
      <c r="AB546" s="21">
        <f t="shared" si="499"/>
        <v>0.32596603413126174</v>
      </c>
      <c r="AC546" s="21">
        <f t="shared" si="499"/>
        <v>0.32596603413126174</v>
      </c>
      <c r="AD546" s="21">
        <f t="shared" si="499"/>
        <v>0.32596603413126174</v>
      </c>
      <c r="AE546" s="21">
        <f t="shared" si="499"/>
        <v>0.32596603413126174</v>
      </c>
      <c r="AF546" s="1"/>
    </row>
    <row r="547" spans="3:32" x14ac:dyDescent="0.2">
      <c r="C547" s="5" t="str">
        <f>C496</f>
        <v>Senior Operator - Mechanical</v>
      </c>
      <c r="D547" s="5"/>
      <c r="F547" s="1" t="s">
        <v>55</v>
      </c>
      <c r="G547" s="21">
        <f t="shared" si="497"/>
        <v>5.47050243392406</v>
      </c>
      <c r="I547" s="41">
        <f>SUMIF('Quarterly Plant Model'!$I$2:$V$2,'Plant model'!I$2,'Quarterly Plant Model'!$I547:$V547)</f>
        <v>0</v>
      </c>
      <c r="J547" s="41">
        <f>SUMIF('Quarterly Plant Model'!$I$2:$V$2,'Plant model'!J$2,'Quarterly Plant Model'!$I547:$V547)</f>
        <v>0</v>
      </c>
      <c r="K547" s="41">
        <f>SUMIF('Quarterly Plant Model'!$I$2:$V$2,'Plant model'!K$2,'Quarterly Plant Model'!$I547:$V547)</f>
        <v>0.13676256084810151</v>
      </c>
      <c r="L547" s="41">
        <f>SUMIF('Quarterly Plant Model'!$I$2:$V$2,'Plant model'!L$2,'Quarterly Plant Model'!$I547:$V547)</f>
        <v>0.13676256084810151</v>
      </c>
      <c r="M547" s="21">
        <f t="shared" ref="M547:AE547" si="500">(M445+M496)*M291/1000000</f>
        <v>0.27352512169620302</v>
      </c>
      <c r="N547" s="21">
        <f t="shared" si="500"/>
        <v>0.27352512169620302</v>
      </c>
      <c r="O547" s="21">
        <f t="shared" si="500"/>
        <v>0.27352512169620302</v>
      </c>
      <c r="P547" s="21">
        <f t="shared" si="500"/>
        <v>0.27352512169620302</v>
      </c>
      <c r="Q547" s="21">
        <f t="shared" si="500"/>
        <v>0.27352512169620302</v>
      </c>
      <c r="R547" s="21">
        <f t="shared" si="500"/>
        <v>0.27352512169620302</v>
      </c>
      <c r="S547" s="21">
        <f t="shared" si="500"/>
        <v>0.27352512169620302</v>
      </c>
      <c r="T547" s="21">
        <f t="shared" si="500"/>
        <v>0.27352512169620302</v>
      </c>
      <c r="U547" s="21">
        <f t="shared" si="500"/>
        <v>0.27352512169620302</v>
      </c>
      <c r="V547" s="21">
        <f t="shared" si="500"/>
        <v>0.27352512169620302</v>
      </c>
      <c r="W547" s="21">
        <f t="shared" si="500"/>
        <v>0.27352512169620302</v>
      </c>
      <c r="X547" s="21">
        <f t="shared" si="500"/>
        <v>0.27352512169620302</v>
      </c>
      <c r="Y547" s="21">
        <f t="shared" si="500"/>
        <v>0.27352512169620302</v>
      </c>
      <c r="Z547" s="21">
        <f t="shared" si="500"/>
        <v>0.27352512169620302</v>
      </c>
      <c r="AA547" s="21">
        <f t="shared" si="500"/>
        <v>0.27352512169620302</v>
      </c>
      <c r="AB547" s="21">
        <f t="shared" si="500"/>
        <v>0.27352512169620302</v>
      </c>
      <c r="AC547" s="21">
        <f t="shared" si="500"/>
        <v>0.27352512169620302</v>
      </c>
      <c r="AD547" s="21">
        <f t="shared" si="500"/>
        <v>0.27352512169620302</v>
      </c>
      <c r="AE547" s="21">
        <f t="shared" si="500"/>
        <v>0.27352512169620302</v>
      </c>
      <c r="AF547" s="1"/>
    </row>
    <row r="548" spans="3:32" x14ac:dyDescent="0.2">
      <c r="C548" s="5" t="str">
        <f>C497</f>
        <v>Operator</v>
      </c>
      <c r="D548" s="5"/>
      <c r="F548" s="1" t="s">
        <v>55</v>
      </c>
      <c r="G548" s="21">
        <f t="shared" si="497"/>
        <v>7.8248611804873693</v>
      </c>
      <c r="I548" s="41">
        <f>SUMIF('Quarterly Plant Model'!$I$2:$V$2,'Plant model'!I$2,'Quarterly Plant Model'!$I548:$V548)</f>
        <v>0</v>
      </c>
      <c r="J548" s="41">
        <f>SUMIF('Quarterly Plant Model'!$I$2:$V$2,'Plant model'!J$2,'Quarterly Plant Model'!$I548:$V548)</f>
        <v>0</v>
      </c>
      <c r="K548" s="41">
        <f>SUMIF('Quarterly Plant Model'!$I$2:$V$2,'Plant model'!K$2,'Quarterly Plant Model'!$I548:$V548)</f>
        <v>0.19562152951218414</v>
      </c>
      <c r="L548" s="41">
        <f>SUMIF('Quarterly Plant Model'!$I$2:$V$2,'Plant model'!L$2,'Quarterly Plant Model'!$I548:$V548)</f>
        <v>0.19562152951218414</v>
      </c>
      <c r="M548" s="21">
        <f t="shared" ref="M548:AE548" si="501">(M446+M497)*M292/1000000</f>
        <v>0.39124305902436829</v>
      </c>
      <c r="N548" s="21">
        <f t="shared" si="501"/>
        <v>0.39124305902436829</v>
      </c>
      <c r="O548" s="21">
        <f t="shared" si="501"/>
        <v>0.39124305902436829</v>
      </c>
      <c r="P548" s="21">
        <f t="shared" si="501"/>
        <v>0.39124305902436829</v>
      </c>
      <c r="Q548" s="21">
        <f t="shared" si="501"/>
        <v>0.39124305902436829</v>
      </c>
      <c r="R548" s="21">
        <f t="shared" si="501"/>
        <v>0.39124305902436829</v>
      </c>
      <c r="S548" s="21">
        <f t="shared" si="501"/>
        <v>0.39124305902436829</v>
      </c>
      <c r="T548" s="21">
        <f t="shared" si="501"/>
        <v>0.39124305902436829</v>
      </c>
      <c r="U548" s="21">
        <f t="shared" si="501"/>
        <v>0.39124305902436829</v>
      </c>
      <c r="V548" s="21">
        <f t="shared" si="501"/>
        <v>0.39124305902436829</v>
      </c>
      <c r="W548" s="21">
        <f t="shared" si="501"/>
        <v>0.39124305902436829</v>
      </c>
      <c r="X548" s="21">
        <f t="shared" si="501"/>
        <v>0.39124305902436829</v>
      </c>
      <c r="Y548" s="21">
        <f t="shared" si="501"/>
        <v>0.39124305902436829</v>
      </c>
      <c r="Z548" s="21">
        <f t="shared" si="501"/>
        <v>0.39124305902436829</v>
      </c>
      <c r="AA548" s="21">
        <f t="shared" si="501"/>
        <v>0.39124305902436829</v>
      </c>
      <c r="AB548" s="21">
        <f t="shared" si="501"/>
        <v>0.39124305902436829</v>
      </c>
      <c r="AC548" s="21">
        <f t="shared" si="501"/>
        <v>0.39124305902436829</v>
      </c>
      <c r="AD548" s="21">
        <f t="shared" si="501"/>
        <v>0.39124305902436829</v>
      </c>
      <c r="AE548" s="21">
        <f t="shared" si="501"/>
        <v>0.39124305902436829</v>
      </c>
      <c r="AF548" s="1"/>
    </row>
    <row r="549" spans="3:32" x14ac:dyDescent="0.2">
      <c r="C549" s="20" t="s">
        <v>45</v>
      </c>
      <c r="D549" s="20"/>
      <c r="F549" s="9" t="s">
        <v>55</v>
      </c>
      <c r="G549" s="44">
        <f>SUM(G545:G548)</f>
        <v>23.501030612181168</v>
      </c>
      <c r="I549" s="44">
        <f>SUM(I545:I548)</f>
        <v>0</v>
      </c>
      <c r="J549" s="44">
        <f>SUM(J545:J548)</f>
        <v>0</v>
      </c>
      <c r="K549" s="44">
        <f>SUM(K545:K548)</f>
        <v>0.58752576530452916</v>
      </c>
      <c r="L549" s="44">
        <f t="shared" ref="L549:AE549" si="502">SUM(L545:L548)</f>
        <v>0.58752576530452916</v>
      </c>
      <c r="M549" s="44">
        <f t="shared" si="502"/>
        <v>1.1750515306090583</v>
      </c>
      <c r="N549" s="44">
        <f t="shared" si="502"/>
        <v>1.1750515306090583</v>
      </c>
      <c r="O549" s="44">
        <f t="shared" si="502"/>
        <v>1.1750515306090583</v>
      </c>
      <c r="P549" s="44">
        <f t="shared" si="502"/>
        <v>1.1750515306090583</v>
      </c>
      <c r="Q549" s="44">
        <f t="shared" si="502"/>
        <v>1.1750515306090583</v>
      </c>
      <c r="R549" s="44">
        <f t="shared" si="502"/>
        <v>1.1750515306090583</v>
      </c>
      <c r="S549" s="44">
        <f t="shared" si="502"/>
        <v>1.1750515306090583</v>
      </c>
      <c r="T549" s="44">
        <f t="shared" si="502"/>
        <v>1.1750515306090583</v>
      </c>
      <c r="U549" s="44">
        <f t="shared" si="502"/>
        <v>1.1750515306090583</v>
      </c>
      <c r="V549" s="44">
        <f t="shared" si="502"/>
        <v>1.1750515306090583</v>
      </c>
      <c r="W549" s="44">
        <f t="shared" si="502"/>
        <v>1.1750515306090583</v>
      </c>
      <c r="X549" s="44">
        <f t="shared" si="502"/>
        <v>1.1750515306090583</v>
      </c>
      <c r="Y549" s="44">
        <f t="shared" si="502"/>
        <v>1.1750515306090583</v>
      </c>
      <c r="Z549" s="44">
        <f t="shared" si="502"/>
        <v>1.1750515306090583</v>
      </c>
      <c r="AA549" s="44">
        <f t="shared" si="502"/>
        <v>1.1750515306090583</v>
      </c>
      <c r="AB549" s="44">
        <f t="shared" si="502"/>
        <v>1.1750515306090583</v>
      </c>
      <c r="AC549" s="44">
        <f t="shared" si="502"/>
        <v>1.1750515306090583</v>
      </c>
      <c r="AD549" s="44">
        <f t="shared" si="502"/>
        <v>1.1750515306090583</v>
      </c>
      <c r="AE549" s="44">
        <f t="shared" si="502"/>
        <v>1.1750515306090583</v>
      </c>
      <c r="AF549" s="1"/>
    </row>
    <row r="550" spans="3:32" x14ac:dyDescent="0.2">
      <c r="C550" s="5"/>
      <c r="D550" s="5"/>
      <c r="AF550" s="1"/>
    </row>
    <row r="551" spans="3:32" x14ac:dyDescent="0.2">
      <c r="C551" s="47" t="str">
        <f>C295</f>
        <v>Cold Processing</v>
      </c>
      <c r="D551" s="5"/>
      <c r="AF551" s="1"/>
    </row>
    <row r="552" spans="3:32" x14ac:dyDescent="0.2">
      <c r="C552" s="5" t="str">
        <f>C296</f>
        <v>Manager of Cold Processing Production</v>
      </c>
      <c r="D552" s="5"/>
      <c r="F552" s="1" t="s">
        <v>55</v>
      </c>
      <c r="I552" s="41">
        <f>SUMIF('Quarterly Plant Model'!$I$2:$V$2,'Plant model'!I$2,'Quarterly Plant Model'!$I552:$V552)</f>
        <v>0</v>
      </c>
      <c r="J552" s="41">
        <f>SUMIF('Quarterly Plant Model'!$I$2:$V$2,'Plant model'!J$2,'Quarterly Plant Model'!$I552:$V552)</f>
        <v>0</v>
      </c>
      <c r="K552" s="41">
        <f>SUMIF('Quarterly Plant Model'!$I$2:$V$2,'Plant model'!K$2,'Quarterly Plant Model'!$I552:$V552)</f>
        <v>9.215865787861266E-2</v>
      </c>
      <c r="L552" s="41">
        <f>SUMIF('Quarterly Plant Model'!$I$2:$V$2,'Plant model'!L$2,'Quarterly Plant Model'!$I552:$V552)</f>
        <v>9.215865787861266E-2</v>
      </c>
      <c r="M552" s="21">
        <f t="shared" ref="M552:AE552" si="503">(M449+M500)*M296/1000000</f>
        <v>0.18431731575722532</v>
      </c>
      <c r="N552" s="21">
        <f t="shared" si="503"/>
        <v>0.18431731575722532</v>
      </c>
      <c r="O552" s="21">
        <f t="shared" si="503"/>
        <v>0.18431731575722532</v>
      </c>
      <c r="P552" s="21">
        <f t="shared" si="503"/>
        <v>0.18431731575722532</v>
      </c>
      <c r="Q552" s="21">
        <f t="shared" si="503"/>
        <v>0.18431731575722532</v>
      </c>
      <c r="R552" s="21">
        <f t="shared" si="503"/>
        <v>0.18431731575722532</v>
      </c>
      <c r="S552" s="21">
        <f t="shared" si="503"/>
        <v>0.18431731575722532</v>
      </c>
      <c r="T552" s="21">
        <f t="shared" si="503"/>
        <v>0.18431731575722532</v>
      </c>
      <c r="U552" s="21">
        <f t="shared" si="503"/>
        <v>0.18431731575722532</v>
      </c>
      <c r="V552" s="21">
        <f t="shared" si="503"/>
        <v>0.18431731575722532</v>
      </c>
      <c r="W552" s="21">
        <f t="shared" si="503"/>
        <v>0.18431731575722532</v>
      </c>
      <c r="X552" s="21">
        <f t="shared" si="503"/>
        <v>0.18431731575722532</v>
      </c>
      <c r="Y552" s="21">
        <f t="shared" si="503"/>
        <v>0.18431731575722532</v>
      </c>
      <c r="Z552" s="21">
        <f t="shared" si="503"/>
        <v>0.18431731575722532</v>
      </c>
      <c r="AA552" s="21">
        <f t="shared" si="503"/>
        <v>0.18431731575722532</v>
      </c>
      <c r="AB552" s="21">
        <f t="shared" si="503"/>
        <v>0.18431731575722532</v>
      </c>
      <c r="AC552" s="21">
        <f t="shared" si="503"/>
        <v>0.18431731575722532</v>
      </c>
      <c r="AD552" s="21">
        <f t="shared" si="503"/>
        <v>0.18431731575722532</v>
      </c>
      <c r="AE552" s="21">
        <f t="shared" si="503"/>
        <v>0.18431731575722532</v>
      </c>
      <c r="AF552" s="1"/>
    </row>
    <row r="553" spans="3:32" x14ac:dyDescent="0.2">
      <c r="C553" s="5" t="str">
        <f>C297</f>
        <v xml:space="preserve">Senior Operator </v>
      </c>
      <c r="D553" s="5"/>
      <c r="F553" s="1" t="s">
        <v>55</v>
      </c>
      <c r="I553" s="41">
        <f>SUMIF('Quarterly Plant Model'!$I$2:$V$2,'Plant model'!I$2,'Quarterly Plant Model'!$I553:$V553)</f>
        <v>0</v>
      </c>
      <c r="J553" s="41">
        <f>SUMIF('Quarterly Plant Model'!$I$2:$V$2,'Plant model'!J$2,'Quarterly Plant Model'!$I553:$V553)</f>
        <v>0</v>
      </c>
      <c r="K553" s="41">
        <f>SUMIF('Quarterly Plant Model'!$I$2:$V$2,'Plant model'!K$2,'Quarterly Plant Model'!$I553:$V553)</f>
        <v>0.12365233273933683</v>
      </c>
      <c r="L553" s="41">
        <f>SUMIF('Quarterly Plant Model'!$I$2:$V$2,'Plant model'!L$2,'Quarterly Plant Model'!$I553:$V553)</f>
        <v>0.12365233273933683</v>
      </c>
      <c r="M553" s="21">
        <f t="shared" ref="M553:AE553" si="504">(M450+M501)*M297/1000000</f>
        <v>0.24730466547867366</v>
      </c>
      <c r="N553" s="21">
        <f t="shared" si="504"/>
        <v>0.24730466547867366</v>
      </c>
      <c r="O553" s="21">
        <f t="shared" si="504"/>
        <v>0.24730466547867366</v>
      </c>
      <c r="P553" s="21">
        <f t="shared" si="504"/>
        <v>0.24730466547867366</v>
      </c>
      <c r="Q553" s="21">
        <f t="shared" si="504"/>
        <v>0.24730466547867366</v>
      </c>
      <c r="R553" s="21">
        <f t="shared" si="504"/>
        <v>0.24730466547867366</v>
      </c>
      <c r="S553" s="21">
        <f t="shared" si="504"/>
        <v>0.24730466547867366</v>
      </c>
      <c r="T553" s="21">
        <f t="shared" si="504"/>
        <v>0.24730466547867366</v>
      </c>
      <c r="U553" s="21">
        <f t="shared" si="504"/>
        <v>0.24730466547867366</v>
      </c>
      <c r="V553" s="21">
        <f t="shared" si="504"/>
        <v>0.24730466547867366</v>
      </c>
      <c r="W553" s="21">
        <f t="shared" si="504"/>
        <v>0.24730466547867366</v>
      </c>
      <c r="X553" s="21">
        <f t="shared" si="504"/>
        <v>0.24730466547867366</v>
      </c>
      <c r="Y553" s="21">
        <f t="shared" si="504"/>
        <v>0.24730466547867366</v>
      </c>
      <c r="Z553" s="21">
        <f t="shared" si="504"/>
        <v>0.24730466547867366</v>
      </c>
      <c r="AA553" s="21">
        <f t="shared" si="504"/>
        <v>0.24730466547867366</v>
      </c>
      <c r="AB553" s="21">
        <f t="shared" si="504"/>
        <v>0.24730466547867366</v>
      </c>
      <c r="AC553" s="21">
        <f t="shared" si="504"/>
        <v>0.24730466547867366</v>
      </c>
      <c r="AD553" s="21">
        <f t="shared" si="504"/>
        <v>0.24730466547867366</v>
      </c>
      <c r="AE553" s="21">
        <f t="shared" si="504"/>
        <v>0.24730466547867366</v>
      </c>
      <c r="AF553" s="1"/>
    </row>
    <row r="554" spans="3:32" x14ac:dyDescent="0.2">
      <c r="C554" s="5" t="str">
        <f>C298</f>
        <v>Operator</v>
      </c>
      <c r="D554" s="5"/>
      <c r="F554" s="1" t="s">
        <v>55</v>
      </c>
      <c r="I554" s="41">
        <f>SUMIF('Quarterly Plant Model'!$I$2:$V$2,'Plant model'!I$2,'Quarterly Plant Model'!$I554:$V554)</f>
        <v>0</v>
      </c>
      <c r="J554" s="41">
        <f>SUMIF('Quarterly Plant Model'!$I$2:$V$2,'Plant model'!J$2,'Quarterly Plant Model'!$I554:$V554)</f>
        <v>0</v>
      </c>
      <c r="K554" s="41">
        <f>SUMIF('Quarterly Plant Model'!$I$2:$V$2,'Plant model'!K$2,'Quarterly Plant Model'!$I554:$V554)</f>
        <v>0</v>
      </c>
      <c r="L554" s="41">
        <f>SUMIF('Quarterly Plant Model'!$I$2:$V$2,'Plant model'!L$2,'Quarterly Plant Model'!$I554:$V554)</f>
        <v>0</v>
      </c>
      <c r="M554" s="21">
        <f t="shared" ref="M554:AE554" si="505">(M451+M502)*M298/1000000</f>
        <v>0</v>
      </c>
      <c r="N554" s="21">
        <f t="shared" si="505"/>
        <v>0</v>
      </c>
      <c r="O554" s="21">
        <f t="shared" si="505"/>
        <v>0</v>
      </c>
      <c r="P554" s="21">
        <f t="shared" si="505"/>
        <v>0</v>
      </c>
      <c r="Q554" s="21">
        <f t="shared" si="505"/>
        <v>0</v>
      </c>
      <c r="R554" s="21">
        <f t="shared" si="505"/>
        <v>0</v>
      </c>
      <c r="S554" s="21">
        <f t="shared" si="505"/>
        <v>0</v>
      </c>
      <c r="T554" s="21">
        <f t="shared" si="505"/>
        <v>0</v>
      </c>
      <c r="U554" s="21">
        <f t="shared" si="505"/>
        <v>0</v>
      </c>
      <c r="V554" s="21">
        <f t="shared" si="505"/>
        <v>0</v>
      </c>
      <c r="W554" s="21">
        <f t="shared" si="505"/>
        <v>0</v>
      </c>
      <c r="X554" s="21">
        <f t="shared" si="505"/>
        <v>0</v>
      </c>
      <c r="Y554" s="21">
        <f t="shared" si="505"/>
        <v>0</v>
      </c>
      <c r="Z554" s="21">
        <f t="shared" si="505"/>
        <v>0</v>
      </c>
      <c r="AA554" s="21">
        <f t="shared" si="505"/>
        <v>0</v>
      </c>
      <c r="AB554" s="21">
        <f t="shared" si="505"/>
        <v>0</v>
      </c>
      <c r="AC554" s="21">
        <f t="shared" si="505"/>
        <v>0</v>
      </c>
      <c r="AD554" s="21">
        <f t="shared" si="505"/>
        <v>0</v>
      </c>
      <c r="AE554" s="21">
        <f t="shared" si="505"/>
        <v>0</v>
      </c>
      <c r="AF554" s="1"/>
    </row>
    <row r="555" spans="3:32" x14ac:dyDescent="0.2">
      <c r="C555" s="20" t="s">
        <v>45</v>
      </c>
      <c r="D555" s="5"/>
      <c r="F555" s="9" t="s">
        <v>55</v>
      </c>
      <c r="I555" s="44">
        <f>SUM(I552:I554)</f>
        <v>0</v>
      </c>
      <c r="J555" s="44">
        <f>SUM(J552:J554)</f>
        <v>0</v>
      </c>
      <c r="K555" s="44">
        <f>SUM(K552:K554)</f>
        <v>0.21581099061794951</v>
      </c>
      <c r="L555" s="44">
        <f>SUM(L552:L554)</f>
        <v>0.21581099061794951</v>
      </c>
      <c r="M555" s="44">
        <f t="shared" ref="M555:AE555" si="506">SUM(M552:M554)</f>
        <v>0.43162198123589901</v>
      </c>
      <c r="N555" s="44">
        <f t="shared" si="506"/>
        <v>0.43162198123589901</v>
      </c>
      <c r="O555" s="44">
        <f t="shared" si="506"/>
        <v>0.43162198123589901</v>
      </c>
      <c r="P555" s="44">
        <f t="shared" si="506"/>
        <v>0.43162198123589901</v>
      </c>
      <c r="Q555" s="44">
        <f t="shared" si="506"/>
        <v>0.43162198123589901</v>
      </c>
      <c r="R555" s="44">
        <f t="shared" si="506"/>
        <v>0.43162198123589901</v>
      </c>
      <c r="S555" s="44">
        <f t="shared" si="506"/>
        <v>0.43162198123589901</v>
      </c>
      <c r="T555" s="44">
        <f t="shared" si="506"/>
        <v>0.43162198123589901</v>
      </c>
      <c r="U555" s="44">
        <f t="shared" si="506"/>
        <v>0.43162198123589901</v>
      </c>
      <c r="V555" s="44">
        <f t="shared" si="506"/>
        <v>0.43162198123589901</v>
      </c>
      <c r="W555" s="44">
        <f t="shared" si="506"/>
        <v>0.43162198123589901</v>
      </c>
      <c r="X555" s="44">
        <f t="shared" si="506"/>
        <v>0.43162198123589901</v>
      </c>
      <c r="Y555" s="44">
        <f t="shared" si="506"/>
        <v>0.43162198123589901</v>
      </c>
      <c r="Z555" s="44">
        <f t="shared" si="506"/>
        <v>0.43162198123589901</v>
      </c>
      <c r="AA555" s="44">
        <f t="shared" si="506"/>
        <v>0.43162198123589901</v>
      </c>
      <c r="AB555" s="44">
        <f t="shared" si="506"/>
        <v>0.43162198123589901</v>
      </c>
      <c r="AC555" s="44">
        <f t="shared" si="506"/>
        <v>0.43162198123589901</v>
      </c>
      <c r="AD555" s="44">
        <f t="shared" si="506"/>
        <v>0.43162198123589901</v>
      </c>
      <c r="AE555" s="44">
        <f t="shared" si="506"/>
        <v>0.43162198123589901</v>
      </c>
      <c r="AF555" s="1"/>
    </row>
    <row r="556" spans="3:32" x14ac:dyDescent="0.2">
      <c r="C556" s="5"/>
      <c r="D556" s="5"/>
      <c r="AF556" s="1"/>
    </row>
    <row r="557" spans="3:32" x14ac:dyDescent="0.2">
      <c r="C557" s="47" t="str">
        <f t="shared" ref="C557:C564" si="507">C504</f>
        <v>Shared Personnel</v>
      </c>
      <c r="D557" s="47"/>
      <c r="F557" s="1" t="s">
        <v>55</v>
      </c>
      <c r="AF557" s="1"/>
    </row>
    <row r="558" spans="3:32" x14ac:dyDescent="0.2">
      <c r="C558" s="5" t="str">
        <f t="shared" si="507"/>
        <v>Maintenance Manager</v>
      </c>
      <c r="D558" s="47"/>
      <c r="F558" s="1" t="s">
        <v>55</v>
      </c>
      <c r="I558" s="41">
        <f>SUMIF('Quarterly Plant Model'!$I$2:$V$2,'Plant model'!I$2,'Quarterly Plant Model'!$I558:$V558)</f>
        <v>0</v>
      </c>
      <c r="J558" s="41">
        <f>SUMIF('Quarterly Plant Model'!$I$2:$V$2,'Plant model'!J$2,'Quarterly Plant Model'!$I558:$V558)</f>
        <v>0</v>
      </c>
      <c r="K558" s="41">
        <f>SUMIF('Quarterly Plant Model'!$I$2:$V$2,'Plant model'!K$2,'Quarterly Plant Model'!$I558:$V558)</f>
        <v>7.5002155742009496E-2</v>
      </c>
      <c r="L558" s="41">
        <f>SUMIF('Quarterly Plant Model'!$I$2:$V$2,'Plant model'!L$2,'Quarterly Plant Model'!$I558:$V558)</f>
        <v>7.5002155742009496E-2</v>
      </c>
      <c r="M558" s="21">
        <f t="shared" ref="M558:AE558" si="508">SUM(M454+M505)*M302/1000000</f>
        <v>0.15000431148401899</v>
      </c>
      <c r="N558" s="21">
        <f t="shared" si="508"/>
        <v>0.15000431148401899</v>
      </c>
      <c r="O558" s="21">
        <f t="shared" si="508"/>
        <v>0.15000431148401899</v>
      </c>
      <c r="P558" s="21">
        <f t="shared" si="508"/>
        <v>0.15000431148401899</v>
      </c>
      <c r="Q558" s="21">
        <f t="shared" si="508"/>
        <v>0.15000431148401899</v>
      </c>
      <c r="R558" s="21">
        <f t="shared" si="508"/>
        <v>0.15000431148401899</v>
      </c>
      <c r="S558" s="21">
        <f t="shared" si="508"/>
        <v>0.15000431148401899</v>
      </c>
      <c r="T558" s="21">
        <f t="shared" si="508"/>
        <v>0.15000431148401899</v>
      </c>
      <c r="U558" s="21">
        <f t="shared" si="508"/>
        <v>0.15000431148401899</v>
      </c>
      <c r="V558" s="21">
        <f t="shared" si="508"/>
        <v>0.15000431148401899</v>
      </c>
      <c r="W558" s="21">
        <f t="shared" si="508"/>
        <v>0.15000431148401899</v>
      </c>
      <c r="X558" s="21">
        <f t="shared" si="508"/>
        <v>0.15000431148401899</v>
      </c>
      <c r="Y558" s="21">
        <f t="shared" si="508"/>
        <v>0.15000431148401899</v>
      </c>
      <c r="Z558" s="21">
        <f t="shared" si="508"/>
        <v>0.15000431148401899</v>
      </c>
      <c r="AA558" s="21">
        <f t="shared" si="508"/>
        <v>0.15000431148401899</v>
      </c>
      <c r="AB558" s="21">
        <f t="shared" si="508"/>
        <v>0.15000431148401899</v>
      </c>
      <c r="AC558" s="21">
        <f t="shared" si="508"/>
        <v>0.15000431148401899</v>
      </c>
      <c r="AD558" s="21">
        <f t="shared" si="508"/>
        <v>0.15000431148401899</v>
      </c>
      <c r="AE558" s="21">
        <f t="shared" si="508"/>
        <v>0.15000431148401899</v>
      </c>
      <c r="AF558" s="1"/>
    </row>
    <row r="559" spans="3:32" x14ac:dyDescent="0.2">
      <c r="C559" s="5" t="str">
        <f t="shared" si="507"/>
        <v>Mechanical Engineer</v>
      </c>
      <c r="D559" s="47"/>
      <c r="F559" s="1" t="s">
        <v>55</v>
      </c>
      <c r="I559" s="41">
        <f>SUMIF('Quarterly Plant Model'!$I$2:$V$2,'Plant model'!I$2,'Quarterly Plant Model'!$I559:$V559)</f>
        <v>0</v>
      </c>
      <c r="J559" s="41">
        <f>SUMIF('Quarterly Plant Model'!$I$2:$V$2,'Plant model'!J$2,'Quarterly Plant Model'!$I559:$V559)</f>
        <v>0</v>
      </c>
      <c r="K559" s="41">
        <f>SUMIF('Quarterly Plant Model'!$I$2:$V$2,'Plant model'!K$2,'Quarterly Plant Model'!$I559:$V559)</f>
        <v>5.5236997892764157E-2</v>
      </c>
      <c r="L559" s="41">
        <f>SUMIF('Quarterly Plant Model'!$I$2:$V$2,'Plant model'!L$2,'Quarterly Plant Model'!$I559:$V559)</f>
        <v>5.5236997892764157E-2</v>
      </c>
      <c r="M559" s="21">
        <f t="shared" ref="M559:AE559" si="509">SUM(M455+M506)*M303/1000000</f>
        <v>0.11047399578552831</v>
      </c>
      <c r="N559" s="21">
        <f t="shared" si="509"/>
        <v>0.11047399578552831</v>
      </c>
      <c r="O559" s="21">
        <f t="shared" si="509"/>
        <v>0.11047399578552831</v>
      </c>
      <c r="P559" s="21">
        <f t="shared" si="509"/>
        <v>0.11047399578552831</v>
      </c>
      <c r="Q559" s="21">
        <f t="shared" si="509"/>
        <v>0.11047399578552831</v>
      </c>
      <c r="R559" s="21">
        <f t="shared" si="509"/>
        <v>0.11047399578552831</v>
      </c>
      <c r="S559" s="21">
        <f t="shared" si="509"/>
        <v>0.11047399578552831</v>
      </c>
      <c r="T559" s="21">
        <f t="shared" si="509"/>
        <v>0.11047399578552831</v>
      </c>
      <c r="U559" s="21">
        <f t="shared" si="509"/>
        <v>0.11047399578552831</v>
      </c>
      <c r="V559" s="21">
        <f t="shared" si="509"/>
        <v>0.11047399578552831</v>
      </c>
      <c r="W559" s="21">
        <f t="shared" si="509"/>
        <v>0.11047399578552831</v>
      </c>
      <c r="X559" s="21">
        <f t="shared" si="509"/>
        <v>0.11047399578552831</v>
      </c>
      <c r="Y559" s="21">
        <f t="shared" si="509"/>
        <v>0.11047399578552831</v>
      </c>
      <c r="Z559" s="21">
        <f t="shared" si="509"/>
        <v>0.11047399578552831</v>
      </c>
      <c r="AA559" s="21">
        <f t="shared" si="509"/>
        <v>0.11047399578552831</v>
      </c>
      <c r="AB559" s="21">
        <f t="shared" si="509"/>
        <v>0.11047399578552831</v>
      </c>
      <c r="AC559" s="21">
        <f t="shared" si="509"/>
        <v>0.11047399578552831</v>
      </c>
      <c r="AD559" s="21">
        <f t="shared" si="509"/>
        <v>0.11047399578552831</v>
      </c>
      <c r="AE559" s="21">
        <f t="shared" si="509"/>
        <v>0.11047399578552831</v>
      </c>
      <c r="AF559" s="1"/>
    </row>
    <row r="560" spans="3:32" x14ac:dyDescent="0.2">
      <c r="C560" s="5" t="str">
        <f t="shared" si="507"/>
        <v>Electrical Engineer</v>
      </c>
      <c r="D560" s="47"/>
      <c r="F560" s="1" t="s">
        <v>55</v>
      </c>
      <c r="I560" s="41">
        <f>SUMIF('Quarterly Plant Model'!$I$2:$V$2,'Plant model'!I$2,'Quarterly Plant Model'!$I560:$V560)</f>
        <v>0</v>
      </c>
      <c r="J560" s="41">
        <f>SUMIF('Quarterly Plant Model'!$I$2:$V$2,'Plant model'!J$2,'Quarterly Plant Model'!$I560:$V560)</f>
        <v>0</v>
      </c>
      <c r="K560" s="41">
        <f>SUMIF('Quarterly Plant Model'!$I$2:$V$2,'Plant model'!K$2,'Quarterly Plant Model'!$I560:$V560)</f>
        <v>5.5236997892764157E-2</v>
      </c>
      <c r="L560" s="41">
        <f>SUMIF('Quarterly Plant Model'!$I$2:$V$2,'Plant model'!L$2,'Quarterly Plant Model'!$I560:$V560)</f>
        <v>5.5236997892764157E-2</v>
      </c>
      <c r="M560" s="21">
        <f t="shared" ref="M560:AE560" si="510">SUM(M456+M507)*M304/1000000</f>
        <v>0.11047399578552831</v>
      </c>
      <c r="N560" s="21">
        <f t="shared" si="510"/>
        <v>0.11047399578552831</v>
      </c>
      <c r="O560" s="21">
        <f t="shared" si="510"/>
        <v>0.11047399578552831</v>
      </c>
      <c r="P560" s="21">
        <f t="shared" si="510"/>
        <v>0.11047399578552831</v>
      </c>
      <c r="Q560" s="21">
        <f t="shared" si="510"/>
        <v>0.11047399578552831</v>
      </c>
      <c r="R560" s="21">
        <f t="shared" si="510"/>
        <v>0.11047399578552831</v>
      </c>
      <c r="S560" s="21">
        <f t="shared" si="510"/>
        <v>0.11047399578552831</v>
      </c>
      <c r="T560" s="21">
        <f t="shared" si="510"/>
        <v>0.11047399578552831</v>
      </c>
      <c r="U560" s="21">
        <f t="shared" si="510"/>
        <v>0.11047399578552831</v>
      </c>
      <c r="V560" s="21">
        <f t="shared" si="510"/>
        <v>0.11047399578552831</v>
      </c>
      <c r="W560" s="21">
        <f t="shared" si="510"/>
        <v>0.11047399578552831</v>
      </c>
      <c r="X560" s="21">
        <f t="shared" si="510"/>
        <v>0.11047399578552831</v>
      </c>
      <c r="Y560" s="21">
        <f t="shared" si="510"/>
        <v>0.11047399578552831</v>
      </c>
      <c r="Z560" s="21">
        <f t="shared" si="510"/>
        <v>0.11047399578552831</v>
      </c>
      <c r="AA560" s="21">
        <f t="shared" si="510"/>
        <v>0.11047399578552831</v>
      </c>
      <c r="AB560" s="21">
        <f t="shared" si="510"/>
        <v>0.11047399578552831</v>
      </c>
      <c r="AC560" s="21">
        <f t="shared" si="510"/>
        <v>0.11047399578552831</v>
      </c>
      <c r="AD560" s="21">
        <f t="shared" si="510"/>
        <v>0.11047399578552831</v>
      </c>
      <c r="AE560" s="21">
        <f t="shared" si="510"/>
        <v>0.11047399578552831</v>
      </c>
      <c r="AF560" s="1"/>
    </row>
    <row r="561" spans="3:32" x14ac:dyDescent="0.2">
      <c r="C561" s="5" t="str">
        <f t="shared" si="507"/>
        <v>Information Systems Technician</v>
      </c>
      <c r="D561" s="47"/>
      <c r="F561" s="1" t="s">
        <v>55</v>
      </c>
      <c r="I561" s="41">
        <f>SUMIF('Quarterly Plant Model'!$I$2:$V$2,'Plant model'!I$2,'Quarterly Plant Model'!$I561:$V561)</f>
        <v>0</v>
      </c>
      <c r="J561" s="41">
        <f>SUMIF('Quarterly Plant Model'!$I$2:$V$2,'Plant model'!J$2,'Quarterly Plant Model'!$I561:$V561)</f>
        <v>0</v>
      </c>
      <c r="K561" s="41">
        <f>SUMIF('Quarterly Plant Model'!$I$2:$V$2,'Plant model'!K$2,'Quarterly Plant Model'!$I561:$V561)</f>
        <v>8.1491508532815435E-2</v>
      </c>
      <c r="L561" s="41">
        <f>SUMIF('Quarterly Plant Model'!$I$2:$V$2,'Plant model'!L$2,'Quarterly Plant Model'!$I561:$V561)</f>
        <v>8.1491508532815435E-2</v>
      </c>
      <c r="M561" s="21">
        <f t="shared" ref="M561:AE561" si="511">SUM(M457+M508)*M305/1000000</f>
        <v>0.16298301706563087</v>
      </c>
      <c r="N561" s="21">
        <f t="shared" si="511"/>
        <v>0.16298301706563087</v>
      </c>
      <c r="O561" s="21">
        <f t="shared" si="511"/>
        <v>0.16298301706563087</v>
      </c>
      <c r="P561" s="21">
        <f t="shared" si="511"/>
        <v>0.16298301706563087</v>
      </c>
      <c r="Q561" s="21">
        <f t="shared" si="511"/>
        <v>0.16298301706563087</v>
      </c>
      <c r="R561" s="21">
        <f t="shared" si="511"/>
        <v>0.16298301706563087</v>
      </c>
      <c r="S561" s="21">
        <f t="shared" si="511"/>
        <v>0.16298301706563087</v>
      </c>
      <c r="T561" s="21">
        <f t="shared" si="511"/>
        <v>0.16298301706563087</v>
      </c>
      <c r="U561" s="21">
        <f t="shared" si="511"/>
        <v>0.16298301706563087</v>
      </c>
      <c r="V561" s="21">
        <f t="shared" si="511"/>
        <v>0.16298301706563087</v>
      </c>
      <c r="W561" s="21">
        <f t="shared" si="511"/>
        <v>0.16298301706563087</v>
      </c>
      <c r="X561" s="21">
        <f t="shared" si="511"/>
        <v>0.16298301706563087</v>
      </c>
      <c r="Y561" s="21">
        <f t="shared" si="511"/>
        <v>0.16298301706563087</v>
      </c>
      <c r="Z561" s="21">
        <f t="shared" si="511"/>
        <v>0.16298301706563087</v>
      </c>
      <c r="AA561" s="21">
        <f t="shared" si="511"/>
        <v>0.16298301706563087</v>
      </c>
      <c r="AB561" s="21">
        <f t="shared" si="511"/>
        <v>0.16298301706563087</v>
      </c>
      <c r="AC561" s="21">
        <f t="shared" si="511"/>
        <v>0.16298301706563087</v>
      </c>
      <c r="AD561" s="21">
        <f t="shared" si="511"/>
        <v>0.16298301706563087</v>
      </c>
      <c r="AE561" s="21">
        <f t="shared" si="511"/>
        <v>0.16298301706563087</v>
      </c>
      <c r="AF561" s="1"/>
    </row>
    <row r="562" spans="3:32" x14ac:dyDescent="0.2">
      <c r="C562" s="5" t="str">
        <f t="shared" si="507"/>
        <v>Craft Maintenance - Electrical</v>
      </c>
      <c r="D562" s="47"/>
      <c r="F562" s="1" t="s">
        <v>55</v>
      </c>
      <c r="I562" s="41">
        <f>SUMIF('Quarterly Plant Model'!$I$2:$V$2,'Plant model'!I$2,'Quarterly Plant Model'!$I562:$V562)</f>
        <v>0</v>
      </c>
      <c r="J562" s="41">
        <f>SUMIF('Quarterly Plant Model'!$I$2:$V$2,'Plant model'!J$2,'Quarterly Plant Model'!$I562:$V562)</f>
        <v>0</v>
      </c>
      <c r="K562" s="41">
        <f>SUMIF('Quarterly Plant Model'!$I$2:$V$2,'Plant model'!K$2,'Quarterly Plant Model'!$I562:$V562)</f>
        <v>0.27352512169620302</v>
      </c>
      <c r="L562" s="41">
        <f>SUMIF('Quarterly Plant Model'!$I$2:$V$2,'Plant model'!L$2,'Quarterly Plant Model'!$I562:$V562)</f>
        <v>0.27352512169620302</v>
      </c>
      <c r="M562" s="21">
        <f t="shared" ref="M562:AE562" si="512">SUM(M458+M509)*M306/1000000</f>
        <v>0.54705024339240604</v>
      </c>
      <c r="N562" s="21">
        <f t="shared" si="512"/>
        <v>0.54705024339240604</v>
      </c>
      <c r="O562" s="21">
        <f t="shared" si="512"/>
        <v>0.54705024339240604</v>
      </c>
      <c r="P562" s="21">
        <f t="shared" si="512"/>
        <v>0.54705024339240604</v>
      </c>
      <c r="Q562" s="21">
        <f t="shared" si="512"/>
        <v>0.54705024339240604</v>
      </c>
      <c r="R562" s="21">
        <f t="shared" si="512"/>
        <v>0.54705024339240604</v>
      </c>
      <c r="S562" s="21">
        <f t="shared" si="512"/>
        <v>0.54705024339240604</v>
      </c>
      <c r="T562" s="21">
        <f t="shared" si="512"/>
        <v>0.54705024339240604</v>
      </c>
      <c r="U562" s="21">
        <f t="shared" si="512"/>
        <v>0.54705024339240604</v>
      </c>
      <c r="V562" s="21">
        <f t="shared" si="512"/>
        <v>0.54705024339240604</v>
      </c>
      <c r="W562" s="21">
        <f t="shared" si="512"/>
        <v>0.54705024339240604</v>
      </c>
      <c r="X562" s="21">
        <f t="shared" si="512"/>
        <v>0.54705024339240604</v>
      </c>
      <c r="Y562" s="21">
        <f t="shared" si="512"/>
        <v>0.54705024339240604</v>
      </c>
      <c r="Z562" s="21">
        <f t="shared" si="512"/>
        <v>0.54705024339240604</v>
      </c>
      <c r="AA562" s="21">
        <f t="shared" si="512"/>
        <v>0.54705024339240604</v>
      </c>
      <c r="AB562" s="21">
        <f t="shared" si="512"/>
        <v>0.54705024339240604</v>
      </c>
      <c r="AC562" s="21">
        <f t="shared" si="512"/>
        <v>0.54705024339240604</v>
      </c>
      <c r="AD562" s="21">
        <f t="shared" si="512"/>
        <v>0.54705024339240604</v>
      </c>
      <c r="AE562" s="21">
        <f t="shared" si="512"/>
        <v>0.54705024339240604</v>
      </c>
      <c r="AF562" s="1"/>
    </row>
    <row r="563" spans="3:32" x14ac:dyDescent="0.2">
      <c r="C563" s="5" t="str">
        <f t="shared" si="507"/>
        <v>Craft Maintenance - Mechanical</v>
      </c>
      <c r="D563" s="47"/>
      <c r="F563" s="1" t="s">
        <v>55</v>
      </c>
      <c r="I563" s="41">
        <f>SUMIF('Quarterly Plant Model'!$I$2:$V$2,'Plant model'!I$2,'Quarterly Plant Model'!$I563:$V563)</f>
        <v>0</v>
      </c>
      <c r="J563" s="41">
        <f>SUMIF('Quarterly Plant Model'!$I$2:$V$2,'Plant model'!J$2,'Quarterly Plant Model'!$I563:$V563)</f>
        <v>0</v>
      </c>
      <c r="K563" s="41">
        <f>SUMIF('Quarterly Plant Model'!$I$2:$V$2,'Plant model'!K$2,'Quarterly Plant Model'!$I563:$V563)</f>
        <v>0.30771576190822841</v>
      </c>
      <c r="L563" s="41">
        <f>SUMIF('Quarterly Plant Model'!$I$2:$V$2,'Plant model'!L$2,'Quarterly Plant Model'!$I563:$V563)</f>
        <v>0.30771576190822841</v>
      </c>
      <c r="M563" s="21">
        <f t="shared" ref="M563:AE563" si="513">SUM(M459+M510)*M307/1000000</f>
        <v>0.61543152381645683</v>
      </c>
      <c r="N563" s="21">
        <f t="shared" si="513"/>
        <v>0.61543152381645683</v>
      </c>
      <c r="O563" s="21">
        <f t="shared" si="513"/>
        <v>0.61543152381645683</v>
      </c>
      <c r="P563" s="21">
        <f t="shared" si="513"/>
        <v>0.61543152381645683</v>
      </c>
      <c r="Q563" s="21">
        <f t="shared" si="513"/>
        <v>0.61543152381645683</v>
      </c>
      <c r="R563" s="21">
        <f t="shared" si="513"/>
        <v>0.61543152381645683</v>
      </c>
      <c r="S563" s="21">
        <f t="shared" si="513"/>
        <v>0.61543152381645683</v>
      </c>
      <c r="T563" s="21">
        <f t="shared" si="513"/>
        <v>0.61543152381645683</v>
      </c>
      <c r="U563" s="21">
        <f t="shared" si="513"/>
        <v>0.61543152381645683</v>
      </c>
      <c r="V563" s="21">
        <f t="shared" si="513"/>
        <v>0.61543152381645683</v>
      </c>
      <c r="W563" s="21">
        <f t="shared" si="513"/>
        <v>0.61543152381645683</v>
      </c>
      <c r="X563" s="21">
        <f t="shared" si="513"/>
        <v>0.61543152381645683</v>
      </c>
      <c r="Y563" s="21">
        <f t="shared" si="513"/>
        <v>0.61543152381645683</v>
      </c>
      <c r="Z563" s="21">
        <f t="shared" si="513"/>
        <v>0.61543152381645683</v>
      </c>
      <c r="AA563" s="21">
        <f t="shared" si="513"/>
        <v>0.61543152381645683</v>
      </c>
      <c r="AB563" s="21">
        <f t="shared" si="513"/>
        <v>0.61543152381645683</v>
      </c>
      <c r="AC563" s="21">
        <f t="shared" si="513"/>
        <v>0.61543152381645683</v>
      </c>
      <c r="AD563" s="21">
        <f t="shared" si="513"/>
        <v>0.61543152381645683</v>
      </c>
      <c r="AE563" s="21">
        <f t="shared" si="513"/>
        <v>0.61543152381645683</v>
      </c>
      <c r="AF563" s="1"/>
    </row>
    <row r="564" spans="3:32" x14ac:dyDescent="0.2">
      <c r="C564" s="5" t="str">
        <f t="shared" si="507"/>
        <v>Quality Control Engineer</v>
      </c>
      <c r="D564" s="47"/>
      <c r="F564" s="1" t="s">
        <v>55</v>
      </c>
      <c r="I564" s="41">
        <f>SUMIF('Quarterly Plant Model'!$I$2:$V$2,'Plant model'!I$2,'Quarterly Plant Model'!$I564:$V564)</f>
        <v>0</v>
      </c>
      <c r="J564" s="41">
        <f>SUMIF('Quarterly Plant Model'!$I$2:$V$2,'Plant model'!J$2,'Quarterly Plant Model'!$I564:$V564)</f>
        <v>0</v>
      </c>
      <c r="K564" s="41">
        <f>SUMIF('Quarterly Plant Model'!$I$2:$V$2,'Plant model'!K$2,'Quarterly Plant Model'!$I564:$V564)</f>
        <v>3.0913083184834208E-2</v>
      </c>
      <c r="L564" s="41">
        <f>SUMIF('Quarterly Plant Model'!$I$2:$V$2,'Plant model'!L$2,'Quarterly Plant Model'!$I564:$V564)</f>
        <v>3.0913083184834208E-2</v>
      </c>
      <c r="M564" s="21">
        <f t="shared" ref="M564:AE564" si="514">SUM(M460+M511)*M308/1000000</f>
        <v>6.1826166369668416E-2</v>
      </c>
      <c r="N564" s="21">
        <f t="shared" si="514"/>
        <v>6.1826166369668416E-2</v>
      </c>
      <c r="O564" s="21">
        <f t="shared" si="514"/>
        <v>6.1826166369668416E-2</v>
      </c>
      <c r="P564" s="21">
        <f t="shared" si="514"/>
        <v>6.1826166369668416E-2</v>
      </c>
      <c r="Q564" s="21">
        <f t="shared" si="514"/>
        <v>6.1826166369668416E-2</v>
      </c>
      <c r="R564" s="21">
        <f t="shared" si="514"/>
        <v>6.1826166369668416E-2</v>
      </c>
      <c r="S564" s="21">
        <f t="shared" si="514"/>
        <v>6.1826166369668416E-2</v>
      </c>
      <c r="T564" s="21">
        <f t="shared" si="514"/>
        <v>6.1826166369668416E-2</v>
      </c>
      <c r="U564" s="21">
        <f t="shared" si="514"/>
        <v>6.1826166369668416E-2</v>
      </c>
      <c r="V564" s="21">
        <f t="shared" si="514"/>
        <v>6.1826166369668416E-2</v>
      </c>
      <c r="W564" s="21">
        <f t="shared" si="514"/>
        <v>6.1826166369668416E-2</v>
      </c>
      <c r="X564" s="21">
        <f t="shared" si="514"/>
        <v>6.1826166369668416E-2</v>
      </c>
      <c r="Y564" s="21">
        <f t="shared" si="514"/>
        <v>6.1826166369668416E-2</v>
      </c>
      <c r="Z564" s="21">
        <f t="shared" si="514"/>
        <v>6.1826166369668416E-2</v>
      </c>
      <c r="AA564" s="21">
        <f t="shared" si="514"/>
        <v>6.1826166369668416E-2</v>
      </c>
      <c r="AB564" s="21">
        <f t="shared" si="514"/>
        <v>6.1826166369668416E-2</v>
      </c>
      <c r="AC564" s="21">
        <f t="shared" si="514"/>
        <v>6.1826166369668416E-2</v>
      </c>
      <c r="AD564" s="21">
        <f t="shared" si="514"/>
        <v>6.1826166369668416E-2</v>
      </c>
      <c r="AE564" s="21">
        <f t="shared" si="514"/>
        <v>6.1826166369668416E-2</v>
      </c>
      <c r="AF564" s="1"/>
    </row>
    <row r="565" spans="3:32" x14ac:dyDescent="0.2">
      <c r="C565" s="20" t="s">
        <v>43</v>
      </c>
      <c r="D565" s="20"/>
      <c r="E565" s="9"/>
      <c r="F565" s="9" t="s">
        <v>55</v>
      </c>
      <c r="G565" s="9"/>
      <c r="H565" s="9"/>
      <c r="I565" s="44">
        <f>SUM(I558:I564)</f>
        <v>0</v>
      </c>
      <c r="J565" s="44">
        <f>SUM(J558:J564)</f>
        <v>0</v>
      </c>
      <c r="K565" s="44">
        <f>SUM(K558:K564)</f>
        <v>0.87912162684961881</v>
      </c>
      <c r="L565" s="44">
        <f>SUM(L558:L564)</f>
        <v>0.87912162684961881</v>
      </c>
      <c r="M565" s="44">
        <f t="shared" ref="M565:AE565" si="515">SUM(M558:M564)</f>
        <v>1.7582432536992376</v>
      </c>
      <c r="N565" s="44">
        <f t="shared" si="515"/>
        <v>1.7582432536992376</v>
      </c>
      <c r="O565" s="44">
        <f t="shared" si="515"/>
        <v>1.7582432536992376</v>
      </c>
      <c r="P565" s="44">
        <f t="shared" si="515"/>
        <v>1.7582432536992376</v>
      </c>
      <c r="Q565" s="44">
        <f t="shared" si="515"/>
        <v>1.7582432536992376</v>
      </c>
      <c r="R565" s="44">
        <f t="shared" si="515"/>
        <v>1.7582432536992376</v>
      </c>
      <c r="S565" s="44">
        <f t="shared" si="515"/>
        <v>1.7582432536992376</v>
      </c>
      <c r="T565" s="44">
        <f t="shared" si="515"/>
        <v>1.7582432536992376</v>
      </c>
      <c r="U565" s="44">
        <f t="shared" si="515"/>
        <v>1.7582432536992376</v>
      </c>
      <c r="V565" s="44">
        <f t="shared" si="515"/>
        <v>1.7582432536992376</v>
      </c>
      <c r="W565" s="44">
        <f t="shared" si="515"/>
        <v>1.7582432536992376</v>
      </c>
      <c r="X565" s="44">
        <f t="shared" si="515"/>
        <v>1.7582432536992376</v>
      </c>
      <c r="Y565" s="44">
        <f t="shared" si="515"/>
        <v>1.7582432536992376</v>
      </c>
      <c r="Z565" s="44">
        <f t="shared" si="515"/>
        <v>1.7582432536992376</v>
      </c>
      <c r="AA565" s="44">
        <f t="shared" si="515"/>
        <v>1.7582432536992376</v>
      </c>
      <c r="AB565" s="44">
        <f t="shared" si="515"/>
        <v>1.7582432536992376</v>
      </c>
      <c r="AC565" s="44">
        <f t="shared" si="515"/>
        <v>1.7582432536992376</v>
      </c>
      <c r="AD565" s="44">
        <f t="shared" si="515"/>
        <v>1.7582432536992376</v>
      </c>
      <c r="AE565" s="44">
        <f t="shared" si="515"/>
        <v>1.7582432536992376</v>
      </c>
      <c r="AF565" s="1"/>
    </row>
    <row r="566" spans="3:32" x14ac:dyDescent="0.2">
      <c r="C566" s="5"/>
      <c r="D566" s="5"/>
      <c r="AF566" s="1"/>
    </row>
    <row r="567" spans="3:32" x14ac:dyDescent="0.2">
      <c r="C567" s="47" t="str">
        <f>C513</f>
        <v>Selling, General &amp; Administrative</v>
      </c>
      <c r="D567" s="47"/>
      <c r="AF567" s="1"/>
    </row>
    <row r="568" spans="3:32" x14ac:dyDescent="0.2">
      <c r="C568" s="5" t="str">
        <f t="shared" ref="C568:C576" si="516">C312</f>
        <v>CEO, CFO, COO</v>
      </c>
      <c r="D568" s="5"/>
      <c r="F568" s="1" t="s">
        <v>55</v>
      </c>
      <c r="I568" s="41">
        <f>SUMIF('Quarterly Plant Model'!$I$2:$V$2,'Plant model'!I$2,'Quarterly Plant Model'!$I568:$V568)</f>
        <v>0</v>
      </c>
      <c r="J568" s="41">
        <f>SUMIF('Quarterly Plant Model'!$I$2:$V$2,'Plant model'!J$2,'Quarterly Plant Model'!$I568:$V568)</f>
        <v>0</v>
      </c>
      <c r="K568" s="41">
        <f>SUMIF('Quarterly Plant Model'!$I$2:$V$2,'Plant model'!K$2,'Quarterly Plant Model'!$I568:$V568)</f>
        <v>0.36952671247208924</v>
      </c>
      <c r="L568" s="41">
        <f>SUMIF('Quarterly Plant Model'!$I$2:$V$2,'Plant model'!L$2,'Quarterly Plant Model'!$I568:$V568)</f>
        <v>0.36952671247208924</v>
      </c>
      <c r="M568" s="21">
        <f t="shared" ref="M568:AE568" si="517">(M463+M514)*M312/1000000</f>
        <v>0.73905342494417847</v>
      </c>
      <c r="N568" s="21">
        <f t="shared" si="517"/>
        <v>0.73905342494417847</v>
      </c>
      <c r="O568" s="21">
        <f t="shared" si="517"/>
        <v>0.73905342494417847</v>
      </c>
      <c r="P568" s="21">
        <f t="shared" si="517"/>
        <v>0.73905342494417847</v>
      </c>
      <c r="Q568" s="21">
        <f t="shared" si="517"/>
        <v>0.73905342494417847</v>
      </c>
      <c r="R568" s="21">
        <f t="shared" si="517"/>
        <v>0.73905342494417847</v>
      </c>
      <c r="S568" s="21">
        <f t="shared" si="517"/>
        <v>0.73905342494417847</v>
      </c>
      <c r="T568" s="21">
        <f t="shared" si="517"/>
        <v>0.73905342494417847</v>
      </c>
      <c r="U568" s="21">
        <f t="shared" si="517"/>
        <v>0.73905342494417847</v>
      </c>
      <c r="V568" s="21">
        <f t="shared" si="517"/>
        <v>0.73905342494417847</v>
      </c>
      <c r="W568" s="21">
        <f t="shared" si="517"/>
        <v>0.73905342494417847</v>
      </c>
      <c r="X568" s="21">
        <f t="shared" si="517"/>
        <v>0.73905342494417847</v>
      </c>
      <c r="Y568" s="21">
        <f t="shared" si="517"/>
        <v>0.73905342494417847</v>
      </c>
      <c r="Z568" s="21">
        <f t="shared" si="517"/>
        <v>0.73905342494417847</v>
      </c>
      <c r="AA568" s="21">
        <f t="shared" si="517"/>
        <v>0.73905342494417847</v>
      </c>
      <c r="AB568" s="21">
        <f t="shared" si="517"/>
        <v>0.73905342494417847</v>
      </c>
      <c r="AC568" s="21">
        <f t="shared" si="517"/>
        <v>0.73905342494417847</v>
      </c>
      <c r="AD568" s="21">
        <f t="shared" si="517"/>
        <v>0.73905342494417847</v>
      </c>
      <c r="AE568" s="21">
        <f t="shared" si="517"/>
        <v>0.73905342494417847</v>
      </c>
      <c r="AF568" s="1"/>
    </row>
    <row r="569" spans="3:32" x14ac:dyDescent="0.2">
      <c r="C569" s="5" t="str">
        <f t="shared" si="516"/>
        <v>Administrator</v>
      </c>
      <c r="D569" s="5"/>
      <c r="F569" s="1" t="s">
        <v>55</v>
      </c>
      <c r="I569" s="41">
        <f>SUMIF('Quarterly Plant Model'!$I$2:$V$2,'Plant model'!I$2,'Quarterly Plant Model'!$I569:$V569)</f>
        <v>0</v>
      </c>
      <c r="J569" s="41">
        <f>SUMIF('Quarterly Plant Model'!$I$2:$V$2,'Plant model'!J$2,'Quarterly Plant Model'!$I569:$V569)</f>
        <v>0</v>
      </c>
      <c r="K569" s="41">
        <f>SUMIF('Quarterly Plant Model'!$I$2:$V$2,'Plant model'!K$2,'Quarterly Plant Model'!$I569:$V569)</f>
        <v>4.723094517204416E-2</v>
      </c>
      <c r="L569" s="41">
        <f>SUMIF('Quarterly Plant Model'!$I$2:$V$2,'Plant model'!L$2,'Quarterly Plant Model'!$I569:$V569)</f>
        <v>4.723094517204416E-2</v>
      </c>
      <c r="M569" s="21">
        <f t="shared" ref="M569:AE569" si="518">(M464+M515)*M313/1000000</f>
        <v>9.446189034408832E-2</v>
      </c>
      <c r="N569" s="21">
        <f t="shared" si="518"/>
        <v>9.446189034408832E-2</v>
      </c>
      <c r="O569" s="21">
        <f t="shared" si="518"/>
        <v>9.446189034408832E-2</v>
      </c>
      <c r="P569" s="21">
        <f t="shared" si="518"/>
        <v>9.446189034408832E-2</v>
      </c>
      <c r="Q569" s="21">
        <f t="shared" si="518"/>
        <v>9.446189034408832E-2</v>
      </c>
      <c r="R569" s="21">
        <f t="shared" si="518"/>
        <v>9.446189034408832E-2</v>
      </c>
      <c r="S569" s="21">
        <f t="shared" si="518"/>
        <v>9.446189034408832E-2</v>
      </c>
      <c r="T569" s="21">
        <f t="shared" si="518"/>
        <v>9.446189034408832E-2</v>
      </c>
      <c r="U569" s="21">
        <f t="shared" si="518"/>
        <v>9.446189034408832E-2</v>
      </c>
      <c r="V569" s="21">
        <f t="shared" si="518"/>
        <v>9.446189034408832E-2</v>
      </c>
      <c r="W569" s="21">
        <f t="shared" si="518"/>
        <v>9.446189034408832E-2</v>
      </c>
      <c r="X569" s="21">
        <f t="shared" si="518"/>
        <v>9.446189034408832E-2</v>
      </c>
      <c r="Y569" s="21">
        <f t="shared" si="518"/>
        <v>9.446189034408832E-2</v>
      </c>
      <c r="Z569" s="21">
        <f t="shared" si="518"/>
        <v>9.446189034408832E-2</v>
      </c>
      <c r="AA569" s="21">
        <f t="shared" si="518"/>
        <v>9.446189034408832E-2</v>
      </c>
      <c r="AB569" s="21">
        <f t="shared" si="518"/>
        <v>9.446189034408832E-2</v>
      </c>
      <c r="AC569" s="21">
        <f t="shared" si="518"/>
        <v>9.446189034408832E-2</v>
      </c>
      <c r="AD569" s="21">
        <f t="shared" si="518"/>
        <v>9.446189034408832E-2</v>
      </c>
      <c r="AE569" s="21">
        <f t="shared" si="518"/>
        <v>9.446189034408832E-2</v>
      </c>
      <c r="AF569" s="1"/>
    </row>
    <row r="570" spans="3:32" x14ac:dyDescent="0.2">
      <c r="C570" s="5" t="str">
        <f t="shared" si="516"/>
        <v xml:space="preserve">Accounting </v>
      </c>
      <c r="D570" s="5"/>
      <c r="F570" s="1" t="s">
        <v>55</v>
      </c>
      <c r="I570" s="41">
        <f>SUMIF('Quarterly Plant Model'!$I$2:$V$2,'Plant model'!I$2,'Quarterly Plant Model'!$I570:$V570)</f>
        <v>0</v>
      </c>
      <c r="J570" s="41">
        <f>SUMIF('Quarterly Plant Model'!$I$2:$V$2,'Plant model'!J$2,'Quarterly Plant Model'!$I570:$V570)</f>
        <v>0</v>
      </c>
      <c r="K570" s="41">
        <f>SUMIF('Quarterly Plant Model'!$I$2:$V$2,'Plant model'!K$2,'Quarterly Plant Model'!$I570:$V570)</f>
        <v>0.14190260496237012</v>
      </c>
      <c r="L570" s="41">
        <f>SUMIF('Quarterly Plant Model'!$I$2:$V$2,'Plant model'!L$2,'Quarterly Plant Model'!$I570:$V570)</f>
        <v>0.14190260496237012</v>
      </c>
      <c r="M570" s="21">
        <f t="shared" ref="M570:AE570" si="519">(M465+M516)*M314/1000000</f>
        <v>0.28380520992474023</v>
      </c>
      <c r="N570" s="21">
        <f t="shared" si="519"/>
        <v>0.28380520992474023</v>
      </c>
      <c r="O570" s="21">
        <f t="shared" si="519"/>
        <v>0.28380520992474023</v>
      </c>
      <c r="P570" s="21">
        <f t="shared" si="519"/>
        <v>0.28380520992474023</v>
      </c>
      <c r="Q570" s="21">
        <f t="shared" si="519"/>
        <v>0.28380520992474023</v>
      </c>
      <c r="R570" s="21">
        <f t="shared" si="519"/>
        <v>0.28380520992474023</v>
      </c>
      <c r="S570" s="21">
        <f t="shared" si="519"/>
        <v>0.28380520992474023</v>
      </c>
      <c r="T570" s="21">
        <f t="shared" si="519"/>
        <v>0.28380520992474023</v>
      </c>
      <c r="U570" s="21">
        <f t="shared" si="519"/>
        <v>0.28380520992474023</v>
      </c>
      <c r="V570" s="21">
        <f t="shared" si="519"/>
        <v>0.28380520992474023</v>
      </c>
      <c r="W570" s="21">
        <f t="shared" si="519"/>
        <v>0.28380520992474023</v>
      </c>
      <c r="X570" s="21">
        <f t="shared" si="519"/>
        <v>0.28380520992474023</v>
      </c>
      <c r="Y570" s="21">
        <f t="shared" si="519"/>
        <v>0.28380520992474023</v>
      </c>
      <c r="Z570" s="21">
        <f t="shared" si="519"/>
        <v>0.28380520992474023</v>
      </c>
      <c r="AA570" s="21">
        <f t="shared" si="519"/>
        <v>0.28380520992474023</v>
      </c>
      <c r="AB570" s="21">
        <f t="shared" si="519"/>
        <v>0.28380520992474023</v>
      </c>
      <c r="AC570" s="21">
        <f t="shared" si="519"/>
        <v>0.28380520992474023</v>
      </c>
      <c r="AD570" s="21">
        <f t="shared" si="519"/>
        <v>0.28380520992474023</v>
      </c>
      <c r="AE570" s="21">
        <f t="shared" si="519"/>
        <v>0.28380520992474023</v>
      </c>
      <c r="AF570" s="1"/>
    </row>
    <row r="571" spans="3:32" x14ac:dyDescent="0.2">
      <c r="C571" s="5" t="str">
        <f t="shared" si="516"/>
        <v>Purchasing - Buyer</v>
      </c>
      <c r="D571" s="5"/>
      <c r="F571" s="1" t="s">
        <v>55</v>
      </c>
      <c r="I571" s="41">
        <f>SUMIF('Quarterly Plant Model'!$I$2:$V$2,'Plant model'!I$2,'Quarterly Plant Model'!$I571:$V571)</f>
        <v>0</v>
      </c>
      <c r="J571" s="41">
        <f>SUMIF('Quarterly Plant Model'!$I$2:$V$2,'Plant model'!J$2,'Quarterly Plant Model'!$I571:$V571)</f>
        <v>0</v>
      </c>
      <c r="K571" s="41">
        <f>SUMIF('Quarterly Plant Model'!$I$2:$V$2,'Plant model'!K$2,'Quarterly Plant Model'!$I571:$V571)</f>
        <v>5.4467791088082251E-2</v>
      </c>
      <c r="L571" s="41">
        <f>SUMIF('Quarterly Plant Model'!$I$2:$V$2,'Plant model'!L$2,'Quarterly Plant Model'!$I571:$V571)</f>
        <v>5.4467791088082251E-2</v>
      </c>
      <c r="M571" s="21">
        <f t="shared" ref="M571:AE571" si="520">(M466+M517)*M315/1000000</f>
        <v>0.1089355821761645</v>
      </c>
      <c r="N571" s="21">
        <f t="shared" si="520"/>
        <v>0.1089355821761645</v>
      </c>
      <c r="O571" s="21">
        <f t="shared" si="520"/>
        <v>0.1089355821761645</v>
      </c>
      <c r="P571" s="21">
        <f t="shared" si="520"/>
        <v>0.1089355821761645</v>
      </c>
      <c r="Q571" s="21">
        <f t="shared" si="520"/>
        <v>0.1089355821761645</v>
      </c>
      <c r="R571" s="21">
        <f t="shared" si="520"/>
        <v>0.1089355821761645</v>
      </c>
      <c r="S571" s="21">
        <f t="shared" si="520"/>
        <v>0.1089355821761645</v>
      </c>
      <c r="T571" s="21">
        <f t="shared" si="520"/>
        <v>0.1089355821761645</v>
      </c>
      <c r="U571" s="21">
        <f t="shared" si="520"/>
        <v>0.1089355821761645</v>
      </c>
      <c r="V571" s="21">
        <f t="shared" si="520"/>
        <v>0.1089355821761645</v>
      </c>
      <c r="W571" s="21">
        <f t="shared" si="520"/>
        <v>0.1089355821761645</v>
      </c>
      <c r="X571" s="21">
        <f t="shared" si="520"/>
        <v>0.1089355821761645</v>
      </c>
      <c r="Y571" s="21">
        <f t="shared" si="520"/>
        <v>0.1089355821761645</v>
      </c>
      <c r="Z571" s="21">
        <f t="shared" si="520"/>
        <v>0.1089355821761645</v>
      </c>
      <c r="AA571" s="21">
        <f t="shared" si="520"/>
        <v>0.1089355821761645</v>
      </c>
      <c r="AB571" s="21">
        <f t="shared" si="520"/>
        <v>0.1089355821761645</v>
      </c>
      <c r="AC571" s="21">
        <f t="shared" si="520"/>
        <v>0.1089355821761645</v>
      </c>
      <c r="AD571" s="21">
        <f t="shared" si="520"/>
        <v>0.1089355821761645</v>
      </c>
      <c r="AE571" s="21">
        <f t="shared" si="520"/>
        <v>0.1089355821761645</v>
      </c>
      <c r="AF571" s="1"/>
    </row>
    <row r="572" spans="3:32" x14ac:dyDescent="0.2">
      <c r="C572" s="5" t="str">
        <f t="shared" si="516"/>
        <v>Purchasing - Receiving</v>
      </c>
      <c r="D572" s="5"/>
      <c r="F572" s="1" t="s">
        <v>55</v>
      </c>
      <c r="I572" s="41">
        <f>SUMIF('Quarterly Plant Model'!$I$2:$V$2,'Plant model'!I$2,'Quarterly Plant Model'!$I572:$V572)</f>
        <v>0</v>
      </c>
      <c r="J572" s="41">
        <f>SUMIF('Quarterly Plant Model'!$I$2:$V$2,'Plant model'!J$2,'Quarterly Plant Model'!$I572:$V572)</f>
        <v>0</v>
      </c>
      <c r="K572" s="41">
        <f>SUMIF('Quarterly Plant Model'!$I$2:$V$2,'Plant model'!K$2,'Quarterly Plant Model'!$I572:$V572)</f>
        <v>4.84370861580505E-2</v>
      </c>
      <c r="L572" s="41">
        <f>SUMIF('Quarterly Plant Model'!$I$2:$V$2,'Plant model'!L$2,'Quarterly Plant Model'!$I572:$V572)</f>
        <v>4.84370861580505E-2</v>
      </c>
      <c r="M572" s="21">
        <f t="shared" ref="M572:AE572" si="521">(M467+M518)*M316/1000000</f>
        <v>9.6874172316101001E-2</v>
      </c>
      <c r="N572" s="21">
        <f t="shared" si="521"/>
        <v>9.6874172316101001E-2</v>
      </c>
      <c r="O572" s="21">
        <f t="shared" si="521"/>
        <v>9.6874172316101001E-2</v>
      </c>
      <c r="P572" s="21">
        <f t="shared" si="521"/>
        <v>9.6874172316101001E-2</v>
      </c>
      <c r="Q572" s="21">
        <f t="shared" si="521"/>
        <v>9.6874172316101001E-2</v>
      </c>
      <c r="R572" s="21">
        <f t="shared" si="521"/>
        <v>9.6874172316101001E-2</v>
      </c>
      <c r="S572" s="21">
        <f t="shared" si="521"/>
        <v>9.6874172316101001E-2</v>
      </c>
      <c r="T572" s="21">
        <f t="shared" si="521"/>
        <v>9.6874172316101001E-2</v>
      </c>
      <c r="U572" s="21">
        <f t="shared" si="521"/>
        <v>9.6874172316101001E-2</v>
      </c>
      <c r="V572" s="21">
        <f t="shared" si="521"/>
        <v>9.6874172316101001E-2</v>
      </c>
      <c r="W572" s="21">
        <f t="shared" si="521"/>
        <v>9.6874172316101001E-2</v>
      </c>
      <c r="X572" s="21">
        <f t="shared" si="521"/>
        <v>9.6874172316101001E-2</v>
      </c>
      <c r="Y572" s="21">
        <f t="shared" si="521"/>
        <v>9.6874172316101001E-2</v>
      </c>
      <c r="Z572" s="21">
        <f t="shared" si="521"/>
        <v>9.6874172316101001E-2</v>
      </c>
      <c r="AA572" s="21">
        <f t="shared" si="521"/>
        <v>9.6874172316101001E-2</v>
      </c>
      <c r="AB572" s="21">
        <f t="shared" si="521"/>
        <v>9.6874172316101001E-2</v>
      </c>
      <c r="AC572" s="21">
        <f t="shared" si="521"/>
        <v>9.6874172316101001E-2</v>
      </c>
      <c r="AD572" s="21">
        <f t="shared" si="521"/>
        <v>9.6874172316101001E-2</v>
      </c>
      <c r="AE572" s="21">
        <f t="shared" si="521"/>
        <v>9.6874172316101001E-2</v>
      </c>
      <c r="AF572" s="1"/>
    </row>
    <row r="573" spans="3:32" x14ac:dyDescent="0.2">
      <c r="C573" s="5" t="str">
        <f t="shared" si="516"/>
        <v>Human Resources/Safety Manager/Training</v>
      </c>
      <c r="D573" s="5"/>
      <c r="F573" s="1" t="s">
        <v>55</v>
      </c>
      <c r="I573" s="41">
        <f>SUMIF('Quarterly Plant Model'!$I$2:$V$2,'Plant model'!I$2,'Quarterly Plant Model'!$I573:$V573)</f>
        <v>0</v>
      </c>
      <c r="J573" s="41">
        <f>SUMIF('Quarterly Plant Model'!$I$2:$V$2,'Plant model'!J$2,'Quarterly Plant Model'!$I573:$V573)</f>
        <v>0</v>
      </c>
      <c r="K573" s="41">
        <f>SUMIF('Quarterly Plant Model'!$I$2:$V$2,'Plant model'!K$2,'Quarterly Plant Model'!$I573:$V573)</f>
        <v>8.8046622587197768E-2</v>
      </c>
      <c r="L573" s="41">
        <f>SUMIF('Quarterly Plant Model'!$I$2:$V$2,'Plant model'!L$2,'Quarterly Plant Model'!$I573:$V573)</f>
        <v>8.8046622587197768E-2</v>
      </c>
      <c r="M573" s="21">
        <f t="shared" ref="M573:AE573" si="522">(M468+M519)*M317/1000000</f>
        <v>0.17609324517439554</v>
      </c>
      <c r="N573" s="21">
        <f t="shared" si="522"/>
        <v>0.17609324517439554</v>
      </c>
      <c r="O573" s="21">
        <f t="shared" si="522"/>
        <v>0.17609324517439554</v>
      </c>
      <c r="P573" s="21">
        <f t="shared" si="522"/>
        <v>0.17609324517439554</v>
      </c>
      <c r="Q573" s="21">
        <f t="shared" si="522"/>
        <v>0.17609324517439554</v>
      </c>
      <c r="R573" s="21">
        <f t="shared" si="522"/>
        <v>0.17609324517439554</v>
      </c>
      <c r="S573" s="21">
        <f t="shared" si="522"/>
        <v>0.17609324517439554</v>
      </c>
      <c r="T573" s="21">
        <f t="shared" si="522"/>
        <v>0.17609324517439554</v>
      </c>
      <c r="U573" s="21">
        <f t="shared" si="522"/>
        <v>0.17609324517439554</v>
      </c>
      <c r="V573" s="21">
        <f t="shared" si="522"/>
        <v>0.17609324517439554</v>
      </c>
      <c r="W573" s="21">
        <f t="shared" si="522"/>
        <v>0.17609324517439554</v>
      </c>
      <c r="X573" s="21">
        <f t="shared" si="522"/>
        <v>0.17609324517439554</v>
      </c>
      <c r="Y573" s="21">
        <f t="shared" si="522"/>
        <v>0.17609324517439554</v>
      </c>
      <c r="Z573" s="21">
        <f t="shared" si="522"/>
        <v>0.17609324517439554</v>
      </c>
      <c r="AA573" s="21">
        <f t="shared" si="522"/>
        <v>0.17609324517439554</v>
      </c>
      <c r="AB573" s="21">
        <f t="shared" si="522"/>
        <v>0.17609324517439554</v>
      </c>
      <c r="AC573" s="21">
        <f t="shared" si="522"/>
        <v>0.17609324517439554</v>
      </c>
      <c r="AD573" s="21">
        <f t="shared" si="522"/>
        <v>0.17609324517439554</v>
      </c>
      <c r="AE573" s="21">
        <f t="shared" si="522"/>
        <v>0.17609324517439554</v>
      </c>
      <c r="AF573" s="1"/>
    </row>
    <row r="574" spans="3:32" x14ac:dyDescent="0.2">
      <c r="C574" s="5" t="str">
        <f t="shared" si="516"/>
        <v>Sales Administrator</v>
      </c>
      <c r="D574" s="5"/>
      <c r="F574" s="1" t="s">
        <v>55</v>
      </c>
      <c r="I574" s="41">
        <f>SUMIF('Quarterly Plant Model'!$I$2:$V$2,'Plant model'!I$2,'Quarterly Plant Model'!$I574:$V574)</f>
        <v>0</v>
      </c>
      <c r="J574" s="41">
        <f>SUMIF('Quarterly Plant Model'!$I$2:$V$2,'Plant model'!J$2,'Quarterly Plant Model'!$I574:$V574)</f>
        <v>0</v>
      </c>
      <c r="K574" s="41">
        <f>SUMIF('Quarterly Plant Model'!$I$2:$V$2,'Plant model'!K$2,'Quarterly Plant Model'!$I574:$V574)</f>
        <v>4.723094517204416E-2</v>
      </c>
      <c r="L574" s="41">
        <f>SUMIF('Quarterly Plant Model'!$I$2:$V$2,'Plant model'!L$2,'Quarterly Plant Model'!$I574:$V574)</f>
        <v>4.723094517204416E-2</v>
      </c>
      <c r="M574" s="21">
        <f t="shared" ref="M574:AE574" si="523">(M469+M520)*M318/1000000</f>
        <v>9.446189034408832E-2</v>
      </c>
      <c r="N574" s="21">
        <f t="shared" si="523"/>
        <v>9.446189034408832E-2</v>
      </c>
      <c r="O574" s="21">
        <f t="shared" si="523"/>
        <v>9.446189034408832E-2</v>
      </c>
      <c r="P574" s="21">
        <f t="shared" si="523"/>
        <v>9.446189034408832E-2</v>
      </c>
      <c r="Q574" s="21">
        <f t="shared" si="523"/>
        <v>9.446189034408832E-2</v>
      </c>
      <c r="R574" s="21">
        <f t="shared" si="523"/>
        <v>9.446189034408832E-2</v>
      </c>
      <c r="S574" s="21">
        <f t="shared" si="523"/>
        <v>9.446189034408832E-2</v>
      </c>
      <c r="T574" s="21">
        <f t="shared" si="523"/>
        <v>9.446189034408832E-2</v>
      </c>
      <c r="U574" s="21">
        <f t="shared" si="523"/>
        <v>9.446189034408832E-2</v>
      </c>
      <c r="V574" s="21">
        <f t="shared" si="523"/>
        <v>9.446189034408832E-2</v>
      </c>
      <c r="W574" s="21">
        <f t="shared" si="523"/>
        <v>9.446189034408832E-2</v>
      </c>
      <c r="X574" s="21">
        <f t="shared" si="523"/>
        <v>9.446189034408832E-2</v>
      </c>
      <c r="Y574" s="21">
        <f t="shared" si="523"/>
        <v>9.446189034408832E-2</v>
      </c>
      <c r="Z574" s="21">
        <f t="shared" si="523"/>
        <v>9.446189034408832E-2</v>
      </c>
      <c r="AA574" s="21">
        <f t="shared" si="523"/>
        <v>9.446189034408832E-2</v>
      </c>
      <c r="AB574" s="21">
        <f t="shared" si="523"/>
        <v>9.446189034408832E-2</v>
      </c>
      <c r="AC574" s="21">
        <f t="shared" si="523"/>
        <v>9.446189034408832E-2</v>
      </c>
      <c r="AD574" s="21">
        <f t="shared" si="523"/>
        <v>9.446189034408832E-2</v>
      </c>
      <c r="AE574" s="21">
        <f t="shared" si="523"/>
        <v>9.446189034408832E-2</v>
      </c>
      <c r="AF574" s="1"/>
    </row>
    <row r="575" spans="3:32" x14ac:dyDescent="0.2">
      <c r="C575" s="5" t="str">
        <f t="shared" si="516"/>
        <v>Inside Sales</v>
      </c>
      <c r="D575" s="5"/>
      <c r="F575" s="1" t="s">
        <v>55</v>
      </c>
      <c r="I575" s="41">
        <f>SUMIF('Quarterly Plant Model'!$I$2:$V$2,'Plant model'!I$2,'Quarterly Plant Model'!$I575:$V575)</f>
        <v>0</v>
      </c>
      <c r="J575" s="41">
        <f>SUMIF('Quarterly Plant Model'!$I$2:$V$2,'Plant model'!J$2,'Quarterly Plant Model'!$I575:$V575)</f>
        <v>0</v>
      </c>
      <c r="K575" s="41">
        <f>SUMIF('Quarterly Plant Model'!$I$2:$V$2,'Plant model'!K$2,'Quarterly Plant Model'!$I575:$V575)</f>
        <v>7.4972187850190206E-2</v>
      </c>
      <c r="L575" s="41">
        <f>SUMIF('Quarterly Plant Model'!$I$2:$V$2,'Plant model'!L$2,'Quarterly Plant Model'!$I575:$V575)</f>
        <v>7.4972187850190206E-2</v>
      </c>
      <c r="M575" s="21">
        <f t="shared" ref="M575:AE575" si="524">(M470+M521)*M319/1000000</f>
        <v>0.14994437570038041</v>
      </c>
      <c r="N575" s="21">
        <f t="shared" si="524"/>
        <v>0.14994437570038041</v>
      </c>
      <c r="O575" s="21">
        <f t="shared" si="524"/>
        <v>0.14994437570038041</v>
      </c>
      <c r="P575" s="21">
        <f t="shared" si="524"/>
        <v>0.14994437570038041</v>
      </c>
      <c r="Q575" s="21">
        <f t="shared" si="524"/>
        <v>0.14994437570038041</v>
      </c>
      <c r="R575" s="21">
        <f t="shared" si="524"/>
        <v>0.14994437570038041</v>
      </c>
      <c r="S575" s="21">
        <f t="shared" si="524"/>
        <v>0.14994437570038041</v>
      </c>
      <c r="T575" s="21">
        <f t="shared" si="524"/>
        <v>0.14994437570038041</v>
      </c>
      <c r="U575" s="21">
        <f t="shared" si="524"/>
        <v>0.14994437570038041</v>
      </c>
      <c r="V575" s="21">
        <f t="shared" si="524"/>
        <v>0.14994437570038041</v>
      </c>
      <c r="W575" s="21">
        <f t="shared" si="524"/>
        <v>0.14994437570038041</v>
      </c>
      <c r="X575" s="21">
        <f t="shared" si="524"/>
        <v>0.14994437570038041</v>
      </c>
      <c r="Y575" s="21">
        <f t="shared" si="524"/>
        <v>0.14994437570038041</v>
      </c>
      <c r="Z575" s="21">
        <f t="shared" si="524"/>
        <v>0.14994437570038041</v>
      </c>
      <c r="AA575" s="21">
        <f t="shared" si="524"/>
        <v>0.14994437570038041</v>
      </c>
      <c r="AB575" s="21">
        <f t="shared" si="524"/>
        <v>0.14994437570038041</v>
      </c>
      <c r="AC575" s="21">
        <f t="shared" si="524"/>
        <v>0.14994437570038041</v>
      </c>
      <c r="AD575" s="21">
        <f t="shared" si="524"/>
        <v>0.14994437570038041</v>
      </c>
      <c r="AE575" s="21">
        <f t="shared" si="524"/>
        <v>0.14994437570038041</v>
      </c>
      <c r="AF575" s="1"/>
    </row>
    <row r="576" spans="3:32" x14ac:dyDescent="0.2">
      <c r="C576" s="5" t="str">
        <f t="shared" si="516"/>
        <v>Shipping Manager</v>
      </c>
      <c r="D576" s="5"/>
      <c r="F576" s="1" t="s">
        <v>55</v>
      </c>
      <c r="I576" s="41">
        <f>SUMIF('Quarterly Plant Model'!$I$2:$V$2,'Plant model'!I$2,'Quarterly Plant Model'!$I576:$V576)</f>
        <v>0</v>
      </c>
      <c r="J576" s="41">
        <f>SUMIF('Quarterly Plant Model'!$I$2:$V$2,'Plant model'!J$2,'Quarterly Plant Model'!$I576:$V576)</f>
        <v>0</v>
      </c>
      <c r="K576" s="41">
        <f>SUMIF('Quarterly Plant Model'!$I$2:$V$2,'Plant model'!K$2,'Quarterly Plant Model'!$I576:$V576)</f>
        <v>4.6532151320142733E-2</v>
      </c>
      <c r="L576" s="41">
        <f>SUMIF('Quarterly Plant Model'!$I$2:$V$2,'Plant model'!L$2,'Quarterly Plant Model'!$I576:$V576)</f>
        <v>4.6532151320142733E-2</v>
      </c>
      <c r="M576" s="21">
        <f t="shared" ref="M576:AE576" si="525">(M471+M522)*M320/1000000</f>
        <v>9.3064302640285465E-2</v>
      </c>
      <c r="N576" s="21">
        <f t="shared" si="525"/>
        <v>9.3064302640285465E-2</v>
      </c>
      <c r="O576" s="21">
        <f t="shared" si="525"/>
        <v>9.3064302640285465E-2</v>
      </c>
      <c r="P576" s="21">
        <f t="shared" si="525"/>
        <v>9.3064302640285465E-2</v>
      </c>
      <c r="Q576" s="21">
        <f t="shared" si="525"/>
        <v>9.3064302640285465E-2</v>
      </c>
      <c r="R576" s="21">
        <f t="shared" si="525"/>
        <v>9.3064302640285465E-2</v>
      </c>
      <c r="S576" s="21">
        <f t="shared" si="525"/>
        <v>9.3064302640285465E-2</v>
      </c>
      <c r="T576" s="21">
        <f t="shared" si="525"/>
        <v>9.3064302640285465E-2</v>
      </c>
      <c r="U576" s="21">
        <f t="shared" si="525"/>
        <v>9.3064302640285465E-2</v>
      </c>
      <c r="V576" s="21">
        <f t="shared" si="525"/>
        <v>9.3064302640285465E-2</v>
      </c>
      <c r="W576" s="21">
        <f t="shared" si="525"/>
        <v>9.3064302640285465E-2</v>
      </c>
      <c r="X576" s="21">
        <f t="shared" si="525"/>
        <v>9.3064302640285465E-2</v>
      </c>
      <c r="Y576" s="21">
        <f t="shared" si="525"/>
        <v>9.3064302640285465E-2</v>
      </c>
      <c r="Z576" s="21">
        <f t="shared" si="525"/>
        <v>9.3064302640285465E-2</v>
      </c>
      <c r="AA576" s="21">
        <f t="shared" si="525"/>
        <v>9.3064302640285465E-2</v>
      </c>
      <c r="AB576" s="21">
        <f t="shared" si="525"/>
        <v>9.3064302640285465E-2</v>
      </c>
      <c r="AC576" s="21">
        <f t="shared" si="525"/>
        <v>9.3064302640285465E-2</v>
      </c>
      <c r="AD576" s="21">
        <f t="shared" si="525"/>
        <v>9.3064302640285465E-2</v>
      </c>
      <c r="AE576" s="21">
        <f t="shared" si="525"/>
        <v>9.3064302640285465E-2</v>
      </c>
      <c r="AF576" s="1"/>
    </row>
    <row r="577" spans="2:32" x14ac:dyDescent="0.2">
      <c r="C577" s="20" t="s">
        <v>45</v>
      </c>
      <c r="D577" s="20"/>
      <c r="E577" s="9"/>
      <c r="F577" s="9" t="s">
        <v>55</v>
      </c>
      <c r="G577" s="9"/>
      <c r="H577" s="9"/>
      <c r="I577" s="44">
        <f>SUM(I568:I576)</f>
        <v>0</v>
      </c>
      <c r="J577" s="44">
        <f>SUM(J568:J576)</f>
        <v>0</v>
      </c>
      <c r="K577" s="44">
        <f>SUM(K568:K576)</f>
        <v>0.91834704678221124</v>
      </c>
      <c r="L577" s="44">
        <f>SUM(L568:L576)</f>
        <v>0.91834704678221124</v>
      </c>
      <c r="M577" s="44">
        <f t="shared" ref="M577:AE577" si="526">SUM(M568:M576)</f>
        <v>1.8366940935644225</v>
      </c>
      <c r="N577" s="44">
        <f t="shared" si="526"/>
        <v>1.8366940935644225</v>
      </c>
      <c r="O577" s="44">
        <f t="shared" si="526"/>
        <v>1.8366940935644225</v>
      </c>
      <c r="P577" s="44">
        <f t="shared" si="526"/>
        <v>1.8366940935644225</v>
      </c>
      <c r="Q577" s="44">
        <f t="shared" si="526"/>
        <v>1.8366940935644225</v>
      </c>
      <c r="R577" s="44">
        <f t="shared" si="526"/>
        <v>1.8366940935644225</v>
      </c>
      <c r="S577" s="44">
        <f t="shared" si="526"/>
        <v>1.8366940935644225</v>
      </c>
      <c r="T577" s="44">
        <f t="shared" si="526"/>
        <v>1.8366940935644225</v>
      </c>
      <c r="U577" s="44">
        <f t="shared" si="526"/>
        <v>1.8366940935644225</v>
      </c>
      <c r="V577" s="44">
        <f t="shared" si="526"/>
        <v>1.8366940935644225</v>
      </c>
      <c r="W577" s="44">
        <f t="shared" si="526"/>
        <v>1.8366940935644225</v>
      </c>
      <c r="X577" s="44">
        <f t="shared" si="526"/>
        <v>1.8366940935644225</v>
      </c>
      <c r="Y577" s="44">
        <f t="shared" si="526"/>
        <v>1.8366940935644225</v>
      </c>
      <c r="Z577" s="44">
        <f t="shared" si="526"/>
        <v>1.8366940935644225</v>
      </c>
      <c r="AA577" s="44">
        <f t="shared" si="526"/>
        <v>1.8366940935644225</v>
      </c>
      <c r="AB577" s="44">
        <f t="shared" si="526"/>
        <v>1.8366940935644225</v>
      </c>
      <c r="AC577" s="44">
        <f t="shared" si="526"/>
        <v>1.8366940935644225</v>
      </c>
      <c r="AD577" s="44">
        <f t="shared" si="526"/>
        <v>1.8366940935644225</v>
      </c>
      <c r="AE577" s="44">
        <f t="shared" si="526"/>
        <v>1.8366940935644225</v>
      </c>
      <c r="AF577" s="1"/>
    </row>
    <row r="578" spans="2:32" x14ac:dyDescent="0.2">
      <c r="C578" s="5"/>
      <c r="D578" s="5"/>
      <c r="AF578" s="1"/>
    </row>
    <row r="579" spans="2:32" x14ac:dyDescent="0.2">
      <c r="C579" s="5" t="str">
        <f>C323</f>
        <v>Contingency</v>
      </c>
      <c r="D579" s="5"/>
      <c r="F579" s="1" t="s">
        <v>55</v>
      </c>
      <c r="I579" s="41">
        <f>SUMIF('Quarterly Plant Model'!$I$2:$V$2,'Plant model'!I$2,'Quarterly Plant Model'!$I579:$V579)</f>
        <v>0</v>
      </c>
      <c r="J579" s="41">
        <f>SUMIF('Quarterly Plant Model'!$I$2:$V$2,'Plant model'!J$2,'Quarterly Plant Model'!$I579:$V579)</f>
        <v>0</v>
      </c>
      <c r="K579" s="41">
        <f>SUMIF('Quarterly Plant Model'!$I$2:$V$2,'Plant model'!K$2,'Quarterly Plant Model'!$I579:$V579)</f>
        <v>0</v>
      </c>
      <c r="L579" s="41">
        <f>SUMIF('Quarterly Plant Model'!$I$2:$V$2,'Plant model'!L$2,'Quarterly Plant Model'!$I579:$V579)</f>
        <v>0</v>
      </c>
      <c r="M579" s="21">
        <f t="shared" ref="M579:AE579" si="527">SUM(M473+M524)*M323/1000000</f>
        <v>0</v>
      </c>
      <c r="N579" s="21">
        <f t="shared" si="527"/>
        <v>0</v>
      </c>
      <c r="O579" s="21">
        <f t="shared" si="527"/>
        <v>0</v>
      </c>
      <c r="P579" s="21">
        <f t="shared" si="527"/>
        <v>0</v>
      </c>
      <c r="Q579" s="21">
        <f t="shared" si="527"/>
        <v>0</v>
      </c>
      <c r="R579" s="21">
        <f t="shared" si="527"/>
        <v>0</v>
      </c>
      <c r="S579" s="21">
        <f t="shared" si="527"/>
        <v>0</v>
      </c>
      <c r="T579" s="21">
        <f t="shared" si="527"/>
        <v>0</v>
      </c>
      <c r="U579" s="21">
        <f t="shared" si="527"/>
        <v>0</v>
      </c>
      <c r="V579" s="21">
        <f t="shared" si="527"/>
        <v>0</v>
      </c>
      <c r="W579" s="21">
        <f t="shared" si="527"/>
        <v>0</v>
      </c>
      <c r="X579" s="21">
        <f t="shared" si="527"/>
        <v>0</v>
      </c>
      <c r="Y579" s="21">
        <f t="shared" si="527"/>
        <v>0</v>
      </c>
      <c r="Z579" s="21">
        <f t="shared" si="527"/>
        <v>0</v>
      </c>
      <c r="AA579" s="21">
        <f t="shared" si="527"/>
        <v>0</v>
      </c>
      <c r="AB579" s="21">
        <f t="shared" si="527"/>
        <v>0</v>
      </c>
      <c r="AC579" s="21">
        <f t="shared" si="527"/>
        <v>0</v>
      </c>
      <c r="AD579" s="21">
        <f t="shared" si="527"/>
        <v>0</v>
      </c>
      <c r="AE579" s="21">
        <f t="shared" si="527"/>
        <v>0</v>
      </c>
      <c r="AF579" s="1"/>
    </row>
    <row r="580" spans="2:32" x14ac:dyDescent="0.2">
      <c r="C580" s="5"/>
      <c r="D580" s="5"/>
      <c r="AF580" s="1"/>
    </row>
    <row r="581" spans="2:32" x14ac:dyDescent="0.2">
      <c r="C581" s="20" t="s">
        <v>56</v>
      </c>
      <c r="D581" s="20"/>
      <c r="F581" s="9" t="s">
        <v>55</v>
      </c>
      <c r="H581" s="33"/>
      <c r="I581" s="44">
        <f>I536+I542+I549+I555+I565+I577+I579</f>
        <v>0</v>
      </c>
      <c r="J581" s="44">
        <f>J536+J542+J549+J555+J565+J577+J579</f>
        <v>0</v>
      </c>
      <c r="K581" s="44">
        <f>K536+K542+K549+K555+K565+K577+K579</f>
        <v>4.0835758894295058</v>
      </c>
      <c r="L581" s="44">
        <f t="shared" ref="L581:AE581" si="528">L536+L542+L549+L555+L565+L577+L579</f>
        <v>4.0835758894295058</v>
      </c>
      <c r="M581" s="44">
        <f t="shared" si="528"/>
        <v>8.1671517788590116</v>
      </c>
      <c r="N581" s="44">
        <f t="shared" si="528"/>
        <v>8.1671517788590116</v>
      </c>
      <c r="O581" s="44">
        <f t="shared" si="528"/>
        <v>8.1671517788590116</v>
      </c>
      <c r="P581" s="44">
        <f t="shared" si="528"/>
        <v>8.1671517788590116</v>
      </c>
      <c r="Q581" s="44">
        <f t="shared" si="528"/>
        <v>8.1671517788590116</v>
      </c>
      <c r="R581" s="44">
        <f t="shared" si="528"/>
        <v>8.1671517788590116</v>
      </c>
      <c r="S581" s="44">
        <f t="shared" si="528"/>
        <v>8.1671517788590116</v>
      </c>
      <c r="T581" s="44">
        <f t="shared" si="528"/>
        <v>8.1671517788590116</v>
      </c>
      <c r="U581" s="44">
        <f t="shared" si="528"/>
        <v>8.1671517788590116</v>
      </c>
      <c r="V581" s="44">
        <f t="shared" si="528"/>
        <v>8.1671517788590116</v>
      </c>
      <c r="W581" s="44">
        <f t="shared" si="528"/>
        <v>8.1671517788590116</v>
      </c>
      <c r="X581" s="44">
        <f t="shared" si="528"/>
        <v>8.1671517788590116</v>
      </c>
      <c r="Y581" s="44">
        <f t="shared" si="528"/>
        <v>8.1671517788590116</v>
      </c>
      <c r="Z581" s="44">
        <f t="shared" si="528"/>
        <v>8.1671517788590116</v>
      </c>
      <c r="AA581" s="44">
        <f t="shared" si="528"/>
        <v>8.1671517788590116</v>
      </c>
      <c r="AB581" s="44">
        <f t="shared" si="528"/>
        <v>8.1671517788590116</v>
      </c>
      <c r="AC581" s="44">
        <f t="shared" si="528"/>
        <v>8.1671517788590116</v>
      </c>
      <c r="AD581" s="44">
        <f t="shared" si="528"/>
        <v>8.1671517788590116</v>
      </c>
      <c r="AE581" s="44">
        <f t="shared" si="528"/>
        <v>8.1671517788590116</v>
      </c>
      <c r="AF581" s="1"/>
    </row>
    <row r="582" spans="2:32" x14ac:dyDescent="0.2">
      <c r="C582" s="5" t="s">
        <v>450</v>
      </c>
      <c r="D582" s="5"/>
      <c r="F582" s="1" t="s">
        <v>55</v>
      </c>
      <c r="I582" s="21">
        <f t="shared" ref="I582" si="529">1/(1+I477)*I581</f>
        <v>0</v>
      </c>
      <c r="J582" s="21">
        <f t="shared" ref="J582" si="530">1/(1+J477)*J581</f>
        <v>0</v>
      </c>
      <c r="K582" s="21">
        <f t="shared" ref="K582:AE582" si="531">1/(1+K477)*K581</f>
        <v>3.4029799078579215</v>
      </c>
      <c r="L582" s="21">
        <f t="shared" si="531"/>
        <v>3.4029799078579215</v>
      </c>
      <c r="M582" s="21">
        <f t="shared" si="531"/>
        <v>6.805959815715843</v>
      </c>
      <c r="N582" s="21">
        <f t="shared" si="531"/>
        <v>6.805959815715843</v>
      </c>
      <c r="O582" s="21">
        <f t="shared" si="531"/>
        <v>6.805959815715843</v>
      </c>
      <c r="P582" s="21">
        <f t="shared" si="531"/>
        <v>6.805959815715843</v>
      </c>
      <c r="Q582" s="21">
        <f t="shared" si="531"/>
        <v>6.805959815715843</v>
      </c>
      <c r="R582" s="21">
        <f t="shared" si="531"/>
        <v>6.805959815715843</v>
      </c>
      <c r="S582" s="21">
        <f t="shared" si="531"/>
        <v>6.805959815715843</v>
      </c>
      <c r="T582" s="21">
        <f t="shared" si="531"/>
        <v>6.805959815715843</v>
      </c>
      <c r="U582" s="21">
        <f t="shared" si="531"/>
        <v>6.805959815715843</v>
      </c>
      <c r="V582" s="21">
        <f t="shared" si="531"/>
        <v>6.805959815715843</v>
      </c>
      <c r="W582" s="21">
        <f t="shared" si="531"/>
        <v>6.805959815715843</v>
      </c>
      <c r="X582" s="21">
        <f t="shared" si="531"/>
        <v>6.805959815715843</v>
      </c>
      <c r="Y582" s="21">
        <f t="shared" si="531"/>
        <v>6.805959815715843</v>
      </c>
      <c r="Z582" s="21">
        <f t="shared" si="531"/>
        <v>6.805959815715843</v>
      </c>
      <c r="AA582" s="21">
        <f t="shared" si="531"/>
        <v>6.805959815715843</v>
      </c>
      <c r="AB582" s="21">
        <f t="shared" si="531"/>
        <v>6.805959815715843</v>
      </c>
      <c r="AC582" s="21">
        <f t="shared" si="531"/>
        <v>6.805959815715843</v>
      </c>
      <c r="AD582" s="21">
        <f t="shared" si="531"/>
        <v>6.805959815715843</v>
      </c>
      <c r="AE582" s="21">
        <f t="shared" si="531"/>
        <v>6.805959815715843</v>
      </c>
      <c r="AF582" s="1"/>
    </row>
    <row r="583" spans="2:32" x14ac:dyDescent="0.2">
      <c r="C583" s="5" t="s">
        <v>57</v>
      </c>
      <c r="D583" s="5"/>
      <c r="F583" s="1" t="s">
        <v>55</v>
      </c>
      <c r="I583" s="21">
        <f>I581-I582</f>
        <v>0</v>
      </c>
      <c r="J583" s="21">
        <f>J581-J582</f>
        <v>0</v>
      </c>
      <c r="K583" s="21">
        <f>K581-K582</f>
        <v>0.6805959815715843</v>
      </c>
      <c r="L583" s="21">
        <f>L581-L582</f>
        <v>0.6805959815715843</v>
      </c>
      <c r="M583" s="21">
        <f t="shared" ref="M583:AE583" si="532">M581-M582</f>
        <v>1.3611919631431686</v>
      </c>
      <c r="N583" s="21">
        <f t="shared" si="532"/>
        <v>1.3611919631431686</v>
      </c>
      <c r="O583" s="21">
        <f t="shared" si="532"/>
        <v>1.3611919631431686</v>
      </c>
      <c r="P583" s="21">
        <f t="shared" si="532"/>
        <v>1.3611919631431686</v>
      </c>
      <c r="Q583" s="21">
        <f t="shared" si="532"/>
        <v>1.3611919631431686</v>
      </c>
      <c r="R583" s="21">
        <f t="shared" si="532"/>
        <v>1.3611919631431686</v>
      </c>
      <c r="S583" s="21">
        <f t="shared" si="532"/>
        <v>1.3611919631431686</v>
      </c>
      <c r="T583" s="21">
        <f t="shared" si="532"/>
        <v>1.3611919631431686</v>
      </c>
      <c r="U583" s="21">
        <f t="shared" si="532"/>
        <v>1.3611919631431686</v>
      </c>
      <c r="V583" s="21">
        <f t="shared" si="532"/>
        <v>1.3611919631431686</v>
      </c>
      <c r="W583" s="21">
        <f t="shared" si="532"/>
        <v>1.3611919631431686</v>
      </c>
      <c r="X583" s="21">
        <f t="shared" si="532"/>
        <v>1.3611919631431686</v>
      </c>
      <c r="Y583" s="21">
        <f t="shared" si="532"/>
        <v>1.3611919631431686</v>
      </c>
      <c r="Z583" s="21">
        <f t="shared" si="532"/>
        <v>1.3611919631431686</v>
      </c>
      <c r="AA583" s="21">
        <f t="shared" si="532"/>
        <v>1.3611919631431686</v>
      </c>
      <c r="AB583" s="21">
        <f t="shared" si="532"/>
        <v>1.3611919631431686</v>
      </c>
      <c r="AC583" s="21">
        <f t="shared" si="532"/>
        <v>1.3611919631431686</v>
      </c>
      <c r="AD583" s="21">
        <f t="shared" si="532"/>
        <v>1.3611919631431686</v>
      </c>
      <c r="AE583" s="21">
        <f t="shared" si="532"/>
        <v>1.3611919631431686</v>
      </c>
      <c r="AF583" s="1"/>
    </row>
    <row r="584" spans="2:32" x14ac:dyDescent="0.2">
      <c r="C584" s="5"/>
      <c r="D584" s="5"/>
      <c r="K584" s="21"/>
      <c r="L584" s="21"/>
      <c r="M584" s="21"/>
      <c r="N584" s="21"/>
      <c r="O584" s="21"/>
      <c r="P584" s="21"/>
      <c r="Q584" s="21"/>
      <c r="R584" s="21"/>
      <c r="S584" s="21"/>
      <c r="T584" s="21"/>
      <c r="U584" s="21"/>
      <c r="V584" s="21"/>
      <c r="W584" s="21"/>
      <c r="X584" s="21"/>
      <c r="Y584" s="21"/>
      <c r="Z584" s="21"/>
      <c r="AA584" s="21"/>
      <c r="AB584" s="21"/>
      <c r="AC584" s="21"/>
      <c r="AD584" s="21"/>
      <c r="AE584" s="21"/>
      <c r="AF584" s="1"/>
    </row>
    <row r="585" spans="2:32" x14ac:dyDescent="0.2">
      <c r="C585" s="20" t="s">
        <v>58</v>
      </c>
      <c r="D585" s="20"/>
      <c r="F585" s="9" t="s">
        <v>51</v>
      </c>
      <c r="I585" s="49">
        <f t="shared" ref="I585" si="533">I581/I$325*1000000</f>
        <v>0</v>
      </c>
      <c r="J585" s="49">
        <f t="shared" ref="J585" si="534">J581/J$325*1000000</f>
        <v>0</v>
      </c>
      <c r="K585" s="49">
        <f t="shared" ref="K585:L587" si="535">K581/K$325*1000000</f>
        <v>37123.417176631869</v>
      </c>
      <c r="L585" s="49">
        <f t="shared" si="535"/>
        <v>37123.417176631869</v>
      </c>
      <c r="M585" s="49">
        <f t="shared" ref="M585:AE587" si="536">M581/M$325*1000000</f>
        <v>74246.834353263737</v>
      </c>
      <c r="N585" s="49">
        <f t="shared" si="536"/>
        <v>74246.834353263737</v>
      </c>
      <c r="O585" s="49">
        <f t="shared" si="536"/>
        <v>74246.834353263737</v>
      </c>
      <c r="P585" s="49">
        <f t="shared" si="536"/>
        <v>74246.834353263737</v>
      </c>
      <c r="Q585" s="49">
        <f t="shared" si="536"/>
        <v>74246.834353263737</v>
      </c>
      <c r="R585" s="49">
        <f t="shared" si="536"/>
        <v>74246.834353263737</v>
      </c>
      <c r="S585" s="49">
        <f t="shared" si="536"/>
        <v>74246.834353263737</v>
      </c>
      <c r="T585" s="49">
        <f t="shared" si="536"/>
        <v>74246.834353263737</v>
      </c>
      <c r="U585" s="49">
        <f t="shared" si="536"/>
        <v>74246.834353263737</v>
      </c>
      <c r="V585" s="49">
        <f t="shared" si="536"/>
        <v>74246.834353263737</v>
      </c>
      <c r="W585" s="49">
        <f t="shared" si="536"/>
        <v>74246.834353263737</v>
      </c>
      <c r="X585" s="49">
        <f t="shared" si="536"/>
        <v>74246.834353263737</v>
      </c>
      <c r="Y585" s="49">
        <f t="shared" si="536"/>
        <v>74246.834353263737</v>
      </c>
      <c r="Z585" s="49">
        <f t="shared" si="536"/>
        <v>74246.834353263737</v>
      </c>
      <c r="AA585" s="49">
        <f t="shared" si="536"/>
        <v>74246.834353263737</v>
      </c>
      <c r="AB585" s="49">
        <f t="shared" si="536"/>
        <v>74246.834353263737</v>
      </c>
      <c r="AC585" s="49">
        <f t="shared" si="536"/>
        <v>74246.834353263737</v>
      </c>
      <c r="AD585" s="49">
        <f t="shared" si="536"/>
        <v>74246.834353263737</v>
      </c>
      <c r="AE585" s="49">
        <f t="shared" si="536"/>
        <v>74246.834353263737</v>
      </c>
      <c r="AF585" s="1"/>
    </row>
    <row r="586" spans="2:32" x14ac:dyDescent="0.2">
      <c r="C586" s="5" t="s">
        <v>59</v>
      </c>
      <c r="D586" s="5"/>
      <c r="F586" s="1" t="s">
        <v>51</v>
      </c>
      <c r="I586" s="49">
        <f t="shared" ref="I586" si="537">I582/I$325*1000000</f>
        <v>0</v>
      </c>
      <c r="J586" s="49">
        <f t="shared" ref="J586" si="538">J582/J$325*1000000</f>
        <v>0</v>
      </c>
      <c r="K586" s="49">
        <f t="shared" si="535"/>
        <v>30936.180980526558</v>
      </c>
      <c r="L586" s="49">
        <f t="shared" si="535"/>
        <v>30936.180980526558</v>
      </c>
      <c r="M586" s="49">
        <f t="shared" si="536"/>
        <v>61872.361961053117</v>
      </c>
      <c r="N586" s="49">
        <f t="shared" si="536"/>
        <v>61872.361961053117</v>
      </c>
      <c r="O586" s="49">
        <f t="shared" si="536"/>
        <v>61872.361961053117</v>
      </c>
      <c r="P586" s="49">
        <f t="shared" si="536"/>
        <v>61872.361961053117</v>
      </c>
      <c r="Q586" s="49">
        <f t="shared" si="536"/>
        <v>61872.361961053117</v>
      </c>
      <c r="R586" s="49">
        <f t="shared" si="536"/>
        <v>61872.361961053117</v>
      </c>
      <c r="S586" s="49">
        <f t="shared" si="536"/>
        <v>61872.361961053117</v>
      </c>
      <c r="T586" s="49">
        <f t="shared" si="536"/>
        <v>61872.361961053117</v>
      </c>
      <c r="U586" s="49">
        <f t="shared" si="536"/>
        <v>61872.361961053117</v>
      </c>
      <c r="V586" s="49">
        <f t="shared" si="536"/>
        <v>61872.361961053117</v>
      </c>
      <c r="W586" s="49">
        <f t="shared" si="536"/>
        <v>61872.361961053117</v>
      </c>
      <c r="X586" s="49">
        <f t="shared" si="536"/>
        <v>61872.361961053117</v>
      </c>
      <c r="Y586" s="49">
        <f t="shared" si="536"/>
        <v>61872.361961053117</v>
      </c>
      <c r="Z586" s="49">
        <f t="shared" si="536"/>
        <v>61872.361961053117</v>
      </c>
      <c r="AA586" s="49">
        <f t="shared" si="536"/>
        <v>61872.361961053117</v>
      </c>
      <c r="AB586" s="49">
        <f t="shared" si="536"/>
        <v>61872.361961053117</v>
      </c>
      <c r="AC586" s="49">
        <f t="shared" si="536"/>
        <v>61872.361961053117</v>
      </c>
      <c r="AD586" s="49">
        <f t="shared" si="536"/>
        <v>61872.361961053117</v>
      </c>
      <c r="AE586" s="49">
        <f t="shared" si="536"/>
        <v>61872.361961053117</v>
      </c>
      <c r="AF586" s="1"/>
    </row>
    <row r="587" spans="2:32" x14ac:dyDescent="0.2">
      <c r="C587" s="5" t="s">
        <v>60</v>
      </c>
      <c r="D587" s="5"/>
      <c r="F587" s="1" t="s">
        <v>51</v>
      </c>
      <c r="I587" s="49">
        <f t="shared" ref="I587" si="539">I583/I$325*1000000</f>
        <v>0</v>
      </c>
      <c r="J587" s="49">
        <f t="shared" ref="J587" si="540">J583/J$325*1000000</f>
        <v>0</v>
      </c>
      <c r="K587" s="49">
        <f t="shared" si="535"/>
        <v>6187.236196105312</v>
      </c>
      <c r="L587" s="49">
        <f t="shared" si="535"/>
        <v>6187.236196105312</v>
      </c>
      <c r="M587" s="49">
        <f t="shared" si="536"/>
        <v>12374.472392210624</v>
      </c>
      <c r="N587" s="49">
        <f t="shared" si="536"/>
        <v>12374.472392210624</v>
      </c>
      <c r="O587" s="49">
        <f t="shared" si="536"/>
        <v>12374.472392210624</v>
      </c>
      <c r="P587" s="49">
        <f t="shared" si="536"/>
        <v>12374.472392210624</v>
      </c>
      <c r="Q587" s="49">
        <f t="shared" si="536"/>
        <v>12374.472392210624</v>
      </c>
      <c r="R587" s="49">
        <f t="shared" si="536"/>
        <v>12374.472392210624</v>
      </c>
      <c r="S587" s="49">
        <f t="shared" si="536"/>
        <v>12374.472392210624</v>
      </c>
      <c r="T587" s="49">
        <f t="shared" si="536"/>
        <v>12374.472392210624</v>
      </c>
      <c r="U587" s="49">
        <f t="shared" si="536"/>
        <v>12374.472392210624</v>
      </c>
      <c r="V587" s="49">
        <f t="shared" si="536"/>
        <v>12374.472392210624</v>
      </c>
      <c r="W587" s="49">
        <f t="shared" si="536"/>
        <v>12374.472392210624</v>
      </c>
      <c r="X587" s="49">
        <f t="shared" si="536"/>
        <v>12374.472392210624</v>
      </c>
      <c r="Y587" s="49">
        <f t="shared" si="536"/>
        <v>12374.472392210624</v>
      </c>
      <c r="Z587" s="49">
        <f t="shared" si="536"/>
        <v>12374.472392210624</v>
      </c>
      <c r="AA587" s="49">
        <f t="shared" si="536"/>
        <v>12374.472392210624</v>
      </c>
      <c r="AB587" s="49">
        <f t="shared" si="536"/>
        <v>12374.472392210624</v>
      </c>
      <c r="AC587" s="49">
        <f t="shared" si="536"/>
        <v>12374.472392210624</v>
      </c>
      <c r="AD587" s="49">
        <f t="shared" si="536"/>
        <v>12374.472392210624</v>
      </c>
      <c r="AE587" s="49">
        <f t="shared" si="536"/>
        <v>12374.472392210624</v>
      </c>
      <c r="AF587" s="1"/>
    </row>
    <row r="588" spans="2:32" x14ac:dyDescent="0.2">
      <c r="C588" s="5"/>
      <c r="D588" s="5"/>
      <c r="AF588" s="1"/>
    </row>
    <row r="589" spans="2:32" x14ac:dyDescent="0.2">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1"/>
    </row>
    <row r="590" spans="2:32" x14ac:dyDescent="0.2">
      <c r="C590" s="5"/>
      <c r="D590" s="5"/>
      <c r="AF590" s="1"/>
    </row>
    <row r="591" spans="2:32" x14ac:dyDescent="0.2">
      <c r="B591" s="10">
        <f>B267+0.1</f>
        <v>3.5000000000000004</v>
      </c>
      <c r="C591" s="20" t="s">
        <v>61</v>
      </c>
      <c r="D591" s="20"/>
      <c r="AF591" s="1"/>
    </row>
    <row r="592" spans="2:32" x14ac:dyDescent="0.2">
      <c r="C592" s="20"/>
      <c r="D592" s="234"/>
      <c r="E592" s="301"/>
      <c r="AF592" s="1"/>
    </row>
    <row r="593" spans="2:32" x14ac:dyDescent="0.2">
      <c r="C593" s="47" t="s">
        <v>441</v>
      </c>
      <c r="D593" s="234"/>
      <c r="E593" s="62" t="s">
        <v>685</v>
      </c>
      <c r="AF593" s="1"/>
    </row>
    <row r="594" spans="2:32" x14ac:dyDescent="0.2">
      <c r="C594" s="5" t="s">
        <v>807</v>
      </c>
      <c r="D594" s="234"/>
      <c r="E594" s="235">
        <f>0.042</f>
        <v>4.2000000000000003E-2</v>
      </c>
      <c r="F594" s="1" t="s">
        <v>62</v>
      </c>
      <c r="I594" s="26">
        <f t="shared" ref="I594" si="541">$E$594*I14</f>
        <v>3.2340000000000001E-2</v>
      </c>
      <c r="J594" s="26">
        <f t="shared" ref="J594" si="542">$E$594*J14</f>
        <v>3.2340000000000001E-2</v>
      </c>
      <c r="K594" s="26">
        <f t="shared" ref="K594:AE594" si="543">$E$594*K14</f>
        <v>3.2340000000000001E-2</v>
      </c>
      <c r="L594" s="26">
        <f t="shared" si="543"/>
        <v>3.2340000000000001E-2</v>
      </c>
      <c r="M594" s="26">
        <f t="shared" si="543"/>
        <v>3.2340000000000001E-2</v>
      </c>
      <c r="N594" s="26">
        <f t="shared" si="543"/>
        <v>3.2340000000000001E-2</v>
      </c>
      <c r="O594" s="26">
        <f t="shared" si="543"/>
        <v>3.2340000000000001E-2</v>
      </c>
      <c r="P594" s="26">
        <f t="shared" si="543"/>
        <v>3.2340000000000001E-2</v>
      </c>
      <c r="Q594" s="26">
        <f t="shared" si="543"/>
        <v>3.2340000000000001E-2</v>
      </c>
      <c r="R594" s="26">
        <f t="shared" si="543"/>
        <v>3.2340000000000001E-2</v>
      </c>
      <c r="S594" s="26">
        <f t="shared" si="543"/>
        <v>3.2340000000000001E-2</v>
      </c>
      <c r="T594" s="26">
        <f t="shared" si="543"/>
        <v>3.2340000000000001E-2</v>
      </c>
      <c r="U594" s="26">
        <f t="shared" si="543"/>
        <v>3.2340000000000001E-2</v>
      </c>
      <c r="V594" s="26">
        <f t="shared" si="543"/>
        <v>3.2340000000000001E-2</v>
      </c>
      <c r="W594" s="26">
        <f t="shared" si="543"/>
        <v>3.2340000000000001E-2</v>
      </c>
      <c r="X594" s="26">
        <f t="shared" si="543"/>
        <v>3.2340000000000001E-2</v>
      </c>
      <c r="Y594" s="26">
        <f t="shared" si="543"/>
        <v>3.2340000000000001E-2</v>
      </c>
      <c r="Z594" s="26">
        <f t="shared" si="543"/>
        <v>3.2340000000000001E-2</v>
      </c>
      <c r="AA594" s="26">
        <f t="shared" si="543"/>
        <v>3.2340000000000001E-2</v>
      </c>
      <c r="AB594" s="26">
        <f t="shared" si="543"/>
        <v>3.2340000000000001E-2</v>
      </c>
      <c r="AC594" s="26">
        <f t="shared" si="543"/>
        <v>3.2340000000000001E-2</v>
      </c>
      <c r="AD594" s="26">
        <f t="shared" si="543"/>
        <v>3.2340000000000001E-2</v>
      </c>
      <c r="AE594" s="26">
        <f t="shared" si="543"/>
        <v>3.2340000000000001E-2</v>
      </c>
      <c r="AF594" s="1"/>
    </row>
    <row r="595" spans="2:32" x14ac:dyDescent="0.2">
      <c r="C595" s="5" t="s">
        <v>808</v>
      </c>
      <c r="D595" s="234"/>
      <c r="E595" s="62"/>
      <c r="F595" s="1" t="s">
        <v>8</v>
      </c>
      <c r="I595" s="15">
        <v>0.2</v>
      </c>
      <c r="J595" s="15">
        <v>0.2</v>
      </c>
      <c r="K595" s="15">
        <v>0.2</v>
      </c>
      <c r="L595" s="15">
        <v>0.2</v>
      </c>
      <c r="M595" s="15">
        <v>0.2</v>
      </c>
      <c r="N595" s="15">
        <v>0.2</v>
      </c>
      <c r="O595" s="15">
        <v>0.2</v>
      </c>
      <c r="P595" s="15">
        <v>0.2</v>
      </c>
      <c r="Q595" s="15">
        <v>0.15</v>
      </c>
      <c r="R595" s="15">
        <v>0.1</v>
      </c>
      <c r="S595" s="15">
        <v>0.05</v>
      </c>
      <c r="T595" s="15">
        <v>0</v>
      </c>
      <c r="U595" s="15">
        <v>0</v>
      </c>
      <c r="V595" s="15">
        <v>0</v>
      </c>
      <c r="W595" s="15">
        <v>0</v>
      </c>
      <c r="X595" s="15">
        <v>0</v>
      </c>
      <c r="Y595" s="15">
        <v>0</v>
      </c>
      <c r="Z595" s="15">
        <v>0</v>
      </c>
      <c r="AA595" s="15">
        <v>0</v>
      </c>
      <c r="AB595" s="15">
        <v>0</v>
      </c>
      <c r="AC595" s="15">
        <v>0</v>
      </c>
      <c r="AD595" s="15">
        <v>0</v>
      </c>
      <c r="AE595" s="15">
        <v>0</v>
      </c>
      <c r="AF595" s="1"/>
    </row>
    <row r="596" spans="2:32" x14ac:dyDescent="0.2">
      <c r="C596" s="28" t="s">
        <v>21</v>
      </c>
      <c r="D596" s="301"/>
      <c r="E596" s="301"/>
      <c r="F596" s="1" t="s">
        <v>62</v>
      </c>
      <c r="G596" s="26">
        <f>AVERAGE(K596:AE596)</f>
        <v>3.0030000000000001E-2</v>
      </c>
      <c r="I596" s="26">
        <f>I594*(1-I595)</f>
        <v>2.5872000000000003E-2</v>
      </c>
      <c r="J596" s="26">
        <f>J594*(1-J595)</f>
        <v>2.5872000000000003E-2</v>
      </c>
      <c r="K596" s="26">
        <f>K594*(1-K595)</f>
        <v>2.5872000000000003E-2</v>
      </c>
      <c r="L596" s="26">
        <f t="shared" ref="L596:AE596" si="544">L594*(1-L595)</f>
        <v>2.5872000000000003E-2</v>
      </c>
      <c r="M596" s="26">
        <f t="shared" si="544"/>
        <v>2.5872000000000003E-2</v>
      </c>
      <c r="N596" s="26">
        <f t="shared" si="544"/>
        <v>2.5872000000000003E-2</v>
      </c>
      <c r="O596" s="26">
        <f t="shared" si="544"/>
        <v>2.5872000000000003E-2</v>
      </c>
      <c r="P596" s="26">
        <f t="shared" si="544"/>
        <v>2.5872000000000003E-2</v>
      </c>
      <c r="Q596" s="26">
        <f t="shared" si="544"/>
        <v>2.7489E-2</v>
      </c>
      <c r="R596" s="26">
        <f t="shared" si="544"/>
        <v>2.9106E-2</v>
      </c>
      <c r="S596" s="26">
        <f t="shared" si="544"/>
        <v>3.0723E-2</v>
      </c>
      <c r="T596" s="26">
        <f t="shared" si="544"/>
        <v>3.2340000000000001E-2</v>
      </c>
      <c r="U596" s="26">
        <f t="shared" si="544"/>
        <v>3.2340000000000001E-2</v>
      </c>
      <c r="V596" s="26">
        <f t="shared" si="544"/>
        <v>3.2340000000000001E-2</v>
      </c>
      <c r="W596" s="26">
        <f t="shared" si="544"/>
        <v>3.2340000000000001E-2</v>
      </c>
      <c r="X596" s="26">
        <f t="shared" si="544"/>
        <v>3.2340000000000001E-2</v>
      </c>
      <c r="Y596" s="26">
        <f t="shared" si="544"/>
        <v>3.2340000000000001E-2</v>
      </c>
      <c r="Z596" s="26">
        <f t="shared" si="544"/>
        <v>3.2340000000000001E-2</v>
      </c>
      <c r="AA596" s="26">
        <f t="shared" si="544"/>
        <v>3.2340000000000001E-2</v>
      </c>
      <c r="AB596" s="26">
        <f t="shared" si="544"/>
        <v>3.2340000000000001E-2</v>
      </c>
      <c r="AC596" s="26">
        <f t="shared" si="544"/>
        <v>3.2340000000000001E-2</v>
      </c>
      <c r="AD596" s="26">
        <f t="shared" si="544"/>
        <v>3.2340000000000001E-2</v>
      </c>
      <c r="AE596" s="26">
        <f t="shared" si="544"/>
        <v>3.2340000000000001E-2</v>
      </c>
      <c r="AF596" s="1"/>
    </row>
    <row r="597" spans="2:32" x14ac:dyDescent="0.2">
      <c r="C597" s="28" t="s">
        <v>22</v>
      </c>
      <c r="D597" s="120"/>
      <c r="E597" s="95">
        <v>0.25</v>
      </c>
      <c r="F597" s="1" t="s">
        <v>63</v>
      </c>
      <c r="G597" s="21">
        <f>AVERAGE(K597:AE597)</f>
        <v>0.19249999999999995</v>
      </c>
      <c r="I597" s="45">
        <f>$E597*I$14</f>
        <v>0.1925</v>
      </c>
      <c r="J597" s="45">
        <f>$E597*J$14</f>
        <v>0.1925</v>
      </c>
      <c r="K597" s="45">
        <f>$E597*K$14</f>
        <v>0.1925</v>
      </c>
      <c r="L597" s="45">
        <f>$E597*L$14</f>
        <v>0.1925</v>
      </c>
      <c r="M597" s="45">
        <f t="shared" ref="M597:AE597" si="545">$E597*M$14</f>
        <v>0.1925</v>
      </c>
      <c r="N597" s="45">
        <f t="shared" si="545"/>
        <v>0.1925</v>
      </c>
      <c r="O597" s="45">
        <f t="shared" si="545"/>
        <v>0.1925</v>
      </c>
      <c r="P597" s="45">
        <f t="shared" si="545"/>
        <v>0.1925</v>
      </c>
      <c r="Q597" s="45">
        <f t="shared" si="545"/>
        <v>0.1925</v>
      </c>
      <c r="R597" s="45">
        <f t="shared" si="545"/>
        <v>0.1925</v>
      </c>
      <c r="S597" s="45">
        <f t="shared" si="545"/>
        <v>0.1925</v>
      </c>
      <c r="T597" s="45">
        <f t="shared" si="545"/>
        <v>0.1925</v>
      </c>
      <c r="U597" s="45">
        <f t="shared" si="545"/>
        <v>0.1925</v>
      </c>
      <c r="V597" s="45">
        <f t="shared" si="545"/>
        <v>0.1925</v>
      </c>
      <c r="W597" s="45">
        <f t="shared" si="545"/>
        <v>0.1925</v>
      </c>
      <c r="X597" s="45">
        <f t="shared" si="545"/>
        <v>0.1925</v>
      </c>
      <c r="Y597" s="45">
        <f t="shared" si="545"/>
        <v>0.1925</v>
      </c>
      <c r="Z597" s="45">
        <f t="shared" si="545"/>
        <v>0.1925</v>
      </c>
      <c r="AA597" s="45">
        <f t="shared" si="545"/>
        <v>0.1925</v>
      </c>
      <c r="AB597" s="45">
        <f t="shared" si="545"/>
        <v>0.1925</v>
      </c>
      <c r="AC597" s="45">
        <f t="shared" si="545"/>
        <v>0.1925</v>
      </c>
      <c r="AD597" s="45">
        <f t="shared" si="545"/>
        <v>0.1925</v>
      </c>
      <c r="AE597" s="45">
        <f t="shared" si="545"/>
        <v>0.1925</v>
      </c>
      <c r="AF597" s="1"/>
    </row>
    <row r="598" spans="2:32" x14ac:dyDescent="0.2">
      <c r="C598" s="28" t="s">
        <v>23</v>
      </c>
      <c r="D598" s="120"/>
      <c r="E598" s="120"/>
      <c r="F598" s="1" t="s">
        <v>521</v>
      </c>
      <c r="G598" s="21">
        <f>AVERAGE(K598:AE598)</f>
        <v>5.3721895527142873</v>
      </c>
      <c r="I598" s="305">
        <v>5.5978602669999997</v>
      </c>
      <c r="J598" s="305">
        <v>5.5978602669999997</v>
      </c>
      <c r="K598" s="305">
        <v>5.5978602669999997</v>
      </c>
      <c r="L598" s="305">
        <v>5.3609060169999996</v>
      </c>
      <c r="M598" s="45">
        <f>L598</f>
        <v>5.3609060169999996</v>
      </c>
      <c r="N598" s="45">
        <f>M598</f>
        <v>5.3609060169999996</v>
      </c>
      <c r="O598" s="45">
        <f t="shared" ref="O598:AE598" si="546">N598</f>
        <v>5.3609060169999996</v>
      </c>
      <c r="P598" s="45">
        <f t="shared" si="546"/>
        <v>5.3609060169999996</v>
      </c>
      <c r="Q598" s="45">
        <f t="shared" si="546"/>
        <v>5.3609060169999996</v>
      </c>
      <c r="R598" s="45">
        <f t="shared" si="546"/>
        <v>5.3609060169999996</v>
      </c>
      <c r="S598" s="45">
        <f t="shared" si="546"/>
        <v>5.3609060169999996</v>
      </c>
      <c r="T598" s="45">
        <f t="shared" si="546"/>
        <v>5.3609060169999996</v>
      </c>
      <c r="U598" s="45">
        <f t="shared" si="546"/>
        <v>5.3609060169999996</v>
      </c>
      <c r="V598" s="45">
        <f t="shared" si="546"/>
        <v>5.3609060169999996</v>
      </c>
      <c r="W598" s="45">
        <f t="shared" si="546"/>
        <v>5.3609060169999996</v>
      </c>
      <c r="X598" s="45">
        <f t="shared" si="546"/>
        <v>5.3609060169999996</v>
      </c>
      <c r="Y598" s="45">
        <f t="shared" si="546"/>
        <v>5.3609060169999996</v>
      </c>
      <c r="Z598" s="45">
        <f t="shared" si="546"/>
        <v>5.3609060169999996</v>
      </c>
      <c r="AA598" s="45">
        <f t="shared" si="546"/>
        <v>5.3609060169999996</v>
      </c>
      <c r="AB598" s="45">
        <f t="shared" si="546"/>
        <v>5.3609060169999996</v>
      </c>
      <c r="AC598" s="45">
        <f t="shared" si="546"/>
        <v>5.3609060169999996</v>
      </c>
      <c r="AD598" s="45">
        <f t="shared" si="546"/>
        <v>5.3609060169999996</v>
      </c>
      <c r="AE598" s="45">
        <f t="shared" si="546"/>
        <v>5.3609060169999996</v>
      </c>
      <c r="AF598" s="1"/>
    </row>
    <row r="599" spans="2:32" x14ac:dyDescent="0.2">
      <c r="B599" s="5"/>
      <c r="C599" s="28" t="s">
        <v>23</v>
      </c>
      <c r="D599" s="120"/>
      <c r="E599" s="120"/>
      <c r="F599" s="1" t="s">
        <v>24</v>
      </c>
      <c r="G599" s="21">
        <f>AVERAGE(K599:AE599)</f>
        <v>4.1365859555900002</v>
      </c>
      <c r="I599" s="45">
        <f t="shared" ref="I599:AE599" si="547">I$598*I$14</f>
        <v>4.3103524055899998</v>
      </c>
      <c r="J599" s="45">
        <f t="shared" si="547"/>
        <v>4.3103524055899998</v>
      </c>
      <c r="K599" s="45">
        <f t="shared" si="547"/>
        <v>4.3103524055899998</v>
      </c>
      <c r="L599" s="45">
        <f t="shared" si="547"/>
        <v>4.1278976330899999</v>
      </c>
      <c r="M599" s="45">
        <f t="shared" si="547"/>
        <v>4.1278976330899999</v>
      </c>
      <c r="N599" s="45">
        <f t="shared" si="547"/>
        <v>4.1278976330899999</v>
      </c>
      <c r="O599" s="45">
        <f t="shared" si="547"/>
        <v>4.1278976330899999</v>
      </c>
      <c r="P599" s="45">
        <f t="shared" si="547"/>
        <v>4.1278976330899999</v>
      </c>
      <c r="Q599" s="45">
        <f t="shared" si="547"/>
        <v>4.1278976330899999</v>
      </c>
      <c r="R599" s="45">
        <f t="shared" si="547"/>
        <v>4.1278976330899999</v>
      </c>
      <c r="S599" s="45">
        <f t="shared" si="547"/>
        <v>4.1278976330899999</v>
      </c>
      <c r="T599" s="45">
        <f t="shared" si="547"/>
        <v>4.1278976330899999</v>
      </c>
      <c r="U599" s="45">
        <f t="shared" si="547"/>
        <v>4.1278976330899999</v>
      </c>
      <c r="V599" s="45">
        <f t="shared" si="547"/>
        <v>4.1278976330899999</v>
      </c>
      <c r="W599" s="45">
        <f t="shared" si="547"/>
        <v>4.1278976330899999</v>
      </c>
      <c r="X599" s="45">
        <f t="shared" si="547"/>
        <v>4.1278976330899999</v>
      </c>
      <c r="Y599" s="45">
        <f t="shared" si="547"/>
        <v>4.1278976330899999</v>
      </c>
      <c r="Z599" s="45">
        <f t="shared" si="547"/>
        <v>4.1278976330899999</v>
      </c>
      <c r="AA599" s="45">
        <f t="shared" si="547"/>
        <v>4.1278976330899999</v>
      </c>
      <c r="AB599" s="45">
        <f t="shared" si="547"/>
        <v>4.1278976330899999</v>
      </c>
      <c r="AC599" s="45">
        <f t="shared" si="547"/>
        <v>4.1278976330899999</v>
      </c>
      <c r="AD599" s="45">
        <f t="shared" si="547"/>
        <v>4.1278976330899999</v>
      </c>
      <c r="AE599" s="45">
        <f t="shared" si="547"/>
        <v>4.1278976330899999</v>
      </c>
      <c r="AF599" s="1"/>
    </row>
    <row r="600" spans="2:32" x14ac:dyDescent="0.2">
      <c r="C600" s="30"/>
      <c r="D600" s="11"/>
      <c r="E600" s="2"/>
      <c r="L600" s="52"/>
      <c r="M600" s="52"/>
      <c r="N600" s="52"/>
      <c r="O600" s="52"/>
      <c r="P600" s="52"/>
      <c r="Q600" s="52"/>
      <c r="R600" s="52"/>
      <c r="S600" s="52"/>
      <c r="T600" s="52"/>
      <c r="U600" s="52"/>
      <c r="V600" s="52"/>
      <c r="W600" s="52"/>
      <c r="X600" s="52"/>
      <c r="Y600" s="52"/>
      <c r="Z600" s="52"/>
      <c r="AA600" s="52"/>
      <c r="AB600" s="52"/>
      <c r="AC600" s="52"/>
      <c r="AD600" s="52"/>
      <c r="AE600" s="52"/>
      <c r="AF600" s="1"/>
    </row>
    <row r="601" spans="2:32" x14ac:dyDescent="0.2">
      <c r="C601" s="51"/>
      <c r="D601" s="11"/>
      <c r="E601" s="2"/>
      <c r="L601" s="52"/>
      <c r="M601" s="52"/>
      <c r="N601" s="52"/>
      <c r="O601" s="52"/>
      <c r="P601" s="52"/>
      <c r="Q601" s="52"/>
      <c r="R601" s="52"/>
      <c r="S601" s="52"/>
      <c r="T601" s="52"/>
      <c r="U601" s="52"/>
      <c r="V601" s="52"/>
      <c r="W601" s="52"/>
      <c r="X601" s="52"/>
      <c r="Y601" s="52"/>
      <c r="Z601" s="52"/>
      <c r="AA601" s="52"/>
      <c r="AB601" s="52"/>
      <c r="AC601" s="52"/>
      <c r="AD601" s="52"/>
      <c r="AE601" s="52"/>
      <c r="AF601" s="1"/>
    </row>
    <row r="602" spans="2:32" x14ac:dyDescent="0.2">
      <c r="C602" s="263" t="s">
        <v>442</v>
      </c>
      <c r="D602" s="11" t="s">
        <v>702</v>
      </c>
      <c r="E602" s="2" t="s">
        <v>309</v>
      </c>
      <c r="L602" s="52"/>
      <c r="M602" s="52"/>
      <c r="N602" s="52"/>
      <c r="O602" s="52"/>
      <c r="P602" s="52"/>
      <c r="Q602" s="52"/>
      <c r="R602" s="52"/>
      <c r="S602" s="52"/>
      <c r="T602" s="52"/>
      <c r="U602" s="52"/>
      <c r="V602" s="52"/>
      <c r="W602" s="52"/>
      <c r="X602" s="52"/>
      <c r="Y602" s="52"/>
      <c r="Z602" s="52"/>
      <c r="AA602" s="52"/>
      <c r="AB602" s="52"/>
      <c r="AC602" s="52"/>
      <c r="AD602" s="52"/>
      <c r="AE602" s="52"/>
      <c r="AF602" s="1"/>
    </row>
    <row r="603" spans="2:32" x14ac:dyDescent="0.2">
      <c r="C603" s="28" t="s">
        <v>399</v>
      </c>
      <c r="D603" s="95">
        <v>2.5</v>
      </c>
      <c r="E603" s="95">
        <v>12</v>
      </c>
      <c r="F603" s="1" t="s">
        <v>64</v>
      </c>
      <c r="G603" s="21">
        <f>AVERAGE(K603:AE603)</f>
        <v>12</v>
      </c>
      <c r="I603" s="45">
        <f>$E603*($E$10=0)+$D603*($E$10=1)</f>
        <v>12</v>
      </c>
      <c r="J603" s="45">
        <f>$E603*($E$10=0)+$D603*($E$10=1)</f>
        <v>12</v>
      </c>
      <c r="K603" s="45">
        <f>$E603*($E$10=0)+$D603*($E$10=1)</f>
        <v>12</v>
      </c>
      <c r="L603" s="45">
        <f t="shared" ref="L603:AE603" si="548">$E603*($E$10=0)+$D603*($E$10=1)</f>
        <v>12</v>
      </c>
      <c r="M603" s="45">
        <f t="shared" si="548"/>
        <v>12</v>
      </c>
      <c r="N603" s="45">
        <f t="shared" si="548"/>
        <v>12</v>
      </c>
      <c r="O603" s="45">
        <f t="shared" si="548"/>
        <v>12</v>
      </c>
      <c r="P603" s="45">
        <f t="shared" si="548"/>
        <v>12</v>
      </c>
      <c r="Q603" s="45">
        <f t="shared" si="548"/>
        <v>12</v>
      </c>
      <c r="R603" s="45">
        <f t="shared" si="548"/>
        <v>12</v>
      </c>
      <c r="S603" s="45">
        <f t="shared" si="548"/>
        <v>12</v>
      </c>
      <c r="T603" s="45">
        <f t="shared" si="548"/>
        <v>12</v>
      </c>
      <c r="U603" s="45">
        <f t="shared" si="548"/>
        <v>12</v>
      </c>
      <c r="V603" s="45">
        <f t="shared" si="548"/>
        <v>12</v>
      </c>
      <c r="W603" s="45">
        <f t="shared" si="548"/>
        <v>12</v>
      </c>
      <c r="X603" s="45">
        <f t="shared" si="548"/>
        <v>12</v>
      </c>
      <c r="Y603" s="45">
        <f t="shared" si="548"/>
        <v>12</v>
      </c>
      <c r="Z603" s="45">
        <f t="shared" si="548"/>
        <v>12</v>
      </c>
      <c r="AA603" s="45">
        <f t="shared" si="548"/>
        <v>12</v>
      </c>
      <c r="AB603" s="45">
        <f t="shared" si="548"/>
        <v>12</v>
      </c>
      <c r="AC603" s="45">
        <f t="shared" si="548"/>
        <v>12</v>
      </c>
      <c r="AD603" s="45">
        <f t="shared" si="548"/>
        <v>12</v>
      </c>
      <c r="AE603" s="45">
        <f t="shared" si="548"/>
        <v>12</v>
      </c>
      <c r="AF603" s="1"/>
    </row>
    <row r="604" spans="2:32" x14ac:dyDescent="0.2">
      <c r="C604" s="28" t="s">
        <v>688</v>
      </c>
      <c r="D604" s="120"/>
      <c r="E604" s="95">
        <v>2.6455439999999997</v>
      </c>
      <c r="F604" s="1" t="s">
        <v>64</v>
      </c>
      <c r="G604" s="21">
        <f>AVERAGE(K604:AE604)</f>
        <v>2.6455440000000001</v>
      </c>
      <c r="I604" s="45">
        <f t="shared" ref="I604:L606" si="549">$E604</f>
        <v>2.6455439999999997</v>
      </c>
      <c r="J604" s="45">
        <f t="shared" si="549"/>
        <v>2.6455439999999997</v>
      </c>
      <c r="K604" s="45">
        <f t="shared" si="549"/>
        <v>2.6455439999999997</v>
      </c>
      <c r="L604" s="45">
        <f t="shared" si="549"/>
        <v>2.6455439999999997</v>
      </c>
      <c r="M604" s="45">
        <f t="shared" ref="M604:AB606" si="550">$E604</f>
        <v>2.6455439999999997</v>
      </c>
      <c r="N604" s="45">
        <f t="shared" si="550"/>
        <v>2.6455439999999997</v>
      </c>
      <c r="O604" s="45">
        <f t="shared" si="550"/>
        <v>2.6455439999999997</v>
      </c>
      <c r="P604" s="45">
        <f t="shared" si="550"/>
        <v>2.6455439999999997</v>
      </c>
      <c r="Q604" s="45">
        <f t="shared" si="550"/>
        <v>2.6455439999999997</v>
      </c>
      <c r="R604" s="45">
        <f t="shared" si="550"/>
        <v>2.6455439999999997</v>
      </c>
      <c r="S604" s="45">
        <f t="shared" si="550"/>
        <v>2.6455439999999997</v>
      </c>
      <c r="T604" s="45">
        <f t="shared" si="550"/>
        <v>2.6455439999999997</v>
      </c>
      <c r="U604" s="45">
        <f t="shared" si="550"/>
        <v>2.6455439999999997</v>
      </c>
      <c r="V604" s="45">
        <f t="shared" si="550"/>
        <v>2.6455439999999997</v>
      </c>
      <c r="W604" s="45">
        <f t="shared" si="550"/>
        <v>2.6455439999999997</v>
      </c>
      <c r="X604" s="45">
        <f t="shared" si="550"/>
        <v>2.6455439999999997</v>
      </c>
      <c r="Y604" s="45">
        <f t="shared" si="550"/>
        <v>2.6455439999999997</v>
      </c>
      <c r="Z604" s="45">
        <f t="shared" si="550"/>
        <v>2.6455439999999997</v>
      </c>
      <c r="AA604" s="45">
        <f t="shared" si="550"/>
        <v>2.6455439999999997</v>
      </c>
      <c r="AB604" s="45">
        <f t="shared" si="550"/>
        <v>2.6455439999999997</v>
      </c>
      <c r="AC604" s="45">
        <f t="shared" ref="AC604:AE606" si="551">$E604</f>
        <v>2.6455439999999997</v>
      </c>
      <c r="AD604" s="45">
        <f t="shared" si="551"/>
        <v>2.6455439999999997</v>
      </c>
      <c r="AE604" s="45">
        <f t="shared" si="551"/>
        <v>2.6455439999999997</v>
      </c>
      <c r="AF604" s="1"/>
    </row>
    <row r="605" spans="2:32" x14ac:dyDescent="0.2">
      <c r="C605" s="28" t="s">
        <v>689</v>
      </c>
      <c r="D605" s="120"/>
      <c r="E605" s="95">
        <v>2.2487124000000001</v>
      </c>
      <c r="F605" s="1" t="s">
        <v>64</v>
      </c>
      <c r="G605" s="21">
        <f>AVERAGE(K605:AE605)</f>
        <v>2.2487124000000001</v>
      </c>
      <c r="I605" s="45">
        <f t="shared" si="549"/>
        <v>2.2487124000000001</v>
      </c>
      <c r="J605" s="45">
        <f t="shared" si="549"/>
        <v>2.2487124000000001</v>
      </c>
      <c r="K605" s="45">
        <f t="shared" si="549"/>
        <v>2.2487124000000001</v>
      </c>
      <c r="L605" s="45">
        <f t="shared" si="549"/>
        <v>2.2487124000000001</v>
      </c>
      <c r="M605" s="45">
        <f t="shared" si="550"/>
        <v>2.2487124000000001</v>
      </c>
      <c r="N605" s="45">
        <f t="shared" si="550"/>
        <v>2.2487124000000001</v>
      </c>
      <c r="O605" s="45">
        <f t="shared" si="550"/>
        <v>2.2487124000000001</v>
      </c>
      <c r="P605" s="45">
        <f t="shared" si="550"/>
        <v>2.2487124000000001</v>
      </c>
      <c r="Q605" s="45">
        <f t="shared" si="550"/>
        <v>2.2487124000000001</v>
      </c>
      <c r="R605" s="45">
        <f t="shared" si="550"/>
        <v>2.2487124000000001</v>
      </c>
      <c r="S605" s="45">
        <f t="shared" si="550"/>
        <v>2.2487124000000001</v>
      </c>
      <c r="T605" s="45">
        <f t="shared" si="550"/>
        <v>2.2487124000000001</v>
      </c>
      <c r="U605" s="45">
        <f t="shared" si="550"/>
        <v>2.2487124000000001</v>
      </c>
      <c r="V605" s="45">
        <f t="shared" si="550"/>
        <v>2.2487124000000001</v>
      </c>
      <c r="W605" s="45">
        <f t="shared" si="550"/>
        <v>2.2487124000000001</v>
      </c>
      <c r="X605" s="45">
        <f t="shared" si="550"/>
        <v>2.2487124000000001</v>
      </c>
      <c r="Y605" s="45">
        <f t="shared" si="550"/>
        <v>2.2487124000000001</v>
      </c>
      <c r="Z605" s="45">
        <f t="shared" si="550"/>
        <v>2.2487124000000001</v>
      </c>
      <c r="AA605" s="45">
        <f t="shared" si="550"/>
        <v>2.2487124000000001</v>
      </c>
      <c r="AB605" s="45">
        <f t="shared" si="550"/>
        <v>2.2487124000000001</v>
      </c>
      <c r="AC605" s="45">
        <f t="shared" si="551"/>
        <v>2.2487124000000001</v>
      </c>
      <c r="AD605" s="45">
        <f t="shared" si="551"/>
        <v>2.2487124000000001</v>
      </c>
      <c r="AE605" s="45">
        <f t="shared" si="551"/>
        <v>2.2487124000000001</v>
      </c>
      <c r="AF605" s="1"/>
    </row>
    <row r="606" spans="2:32" x14ac:dyDescent="0.2">
      <c r="C606" s="28" t="s">
        <v>690</v>
      </c>
      <c r="D606" s="120"/>
      <c r="E606" s="95">
        <v>2.2487124000000001</v>
      </c>
      <c r="F606" s="1" t="s">
        <v>64</v>
      </c>
      <c r="G606" s="21">
        <f>AVERAGE(K606:AE606)</f>
        <v>2.2487124000000001</v>
      </c>
      <c r="I606" s="45">
        <f t="shared" si="549"/>
        <v>2.2487124000000001</v>
      </c>
      <c r="J606" s="45">
        <f t="shared" si="549"/>
        <v>2.2487124000000001</v>
      </c>
      <c r="K606" s="45">
        <f t="shared" si="549"/>
        <v>2.2487124000000001</v>
      </c>
      <c r="L606" s="45">
        <f t="shared" si="549"/>
        <v>2.2487124000000001</v>
      </c>
      <c r="M606" s="45">
        <f t="shared" ref="M606:Z606" si="552">$E606</f>
        <v>2.2487124000000001</v>
      </c>
      <c r="N606" s="45">
        <f t="shared" si="552"/>
        <v>2.2487124000000001</v>
      </c>
      <c r="O606" s="45">
        <f t="shared" si="552"/>
        <v>2.2487124000000001</v>
      </c>
      <c r="P606" s="45">
        <f t="shared" si="552"/>
        <v>2.2487124000000001</v>
      </c>
      <c r="Q606" s="45">
        <f t="shared" si="552"/>
        <v>2.2487124000000001</v>
      </c>
      <c r="R606" s="45">
        <f t="shared" si="552"/>
        <v>2.2487124000000001</v>
      </c>
      <c r="S606" s="45">
        <f t="shared" si="552"/>
        <v>2.2487124000000001</v>
      </c>
      <c r="T606" s="45">
        <f t="shared" si="552"/>
        <v>2.2487124000000001</v>
      </c>
      <c r="U606" s="45">
        <f t="shared" si="552"/>
        <v>2.2487124000000001</v>
      </c>
      <c r="V606" s="45">
        <f t="shared" si="552"/>
        <v>2.2487124000000001</v>
      </c>
      <c r="W606" s="45">
        <f t="shared" si="552"/>
        <v>2.2487124000000001</v>
      </c>
      <c r="X606" s="45">
        <f t="shared" si="552"/>
        <v>2.2487124000000001</v>
      </c>
      <c r="Y606" s="45">
        <f t="shared" si="552"/>
        <v>2.2487124000000001</v>
      </c>
      <c r="Z606" s="45">
        <f t="shared" si="552"/>
        <v>2.2487124000000001</v>
      </c>
      <c r="AA606" s="45">
        <f t="shared" si="550"/>
        <v>2.2487124000000001</v>
      </c>
      <c r="AB606" s="45">
        <f t="shared" si="550"/>
        <v>2.2487124000000001</v>
      </c>
      <c r="AC606" s="45">
        <f t="shared" si="551"/>
        <v>2.2487124000000001</v>
      </c>
      <c r="AD606" s="45">
        <f t="shared" si="551"/>
        <v>2.2487124000000001</v>
      </c>
      <c r="AE606" s="45">
        <f t="shared" si="551"/>
        <v>2.2487124000000001</v>
      </c>
      <c r="AF606" s="1"/>
    </row>
    <row r="607" spans="2:32" x14ac:dyDescent="0.2">
      <c r="C607" s="5"/>
      <c r="D607" s="5"/>
      <c r="AF607" s="1"/>
    </row>
    <row r="608" spans="2:32" x14ac:dyDescent="0.2">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1"/>
    </row>
    <row r="609" spans="2:32" x14ac:dyDescent="0.2">
      <c r="C609" s="5"/>
      <c r="D609" s="5"/>
      <c r="AF609" s="1"/>
    </row>
    <row r="610" spans="2:32" x14ac:dyDescent="0.2">
      <c r="B610" s="10">
        <f>B591+0.1</f>
        <v>3.6000000000000005</v>
      </c>
      <c r="C610" s="20" t="s">
        <v>364</v>
      </c>
      <c r="D610" s="20"/>
      <c r="AF610" s="1"/>
    </row>
    <row r="611" spans="2:32" x14ac:dyDescent="0.2">
      <c r="C611" s="5"/>
      <c r="D611" s="5"/>
      <c r="AF611" s="1"/>
    </row>
    <row r="612" spans="2:32" x14ac:dyDescent="0.2">
      <c r="B612" s="24">
        <f>B610+0.01</f>
        <v>3.6100000000000003</v>
      </c>
      <c r="C612" s="20" t="s">
        <v>65</v>
      </c>
      <c r="D612" s="20"/>
      <c r="AF612" s="1"/>
    </row>
    <row r="613" spans="2:32" x14ac:dyDescent="0.2">
      <c r="B613" s="24"/>
      <c r="C613" s="5" t="str">
        <f>C145</f>
        <v>Iron Ore Pellets</v>
      </c>
      <c r="D613" s="5"/>
      <c r="F613" s="1" t="s">
        <v>55</v>
      </c>
      <c r="G613" s="21">
        <f>SUM(I613:AE613)</f>
        <v>1618.7354852964954</v>
      </c>
      <c r="H613" s="5"/>
      <c r="I613" s="41">
        <f>SUMIF('Quarterly Plant Model'!$I$2:$V$2,'Plant model'!I$2,'Quarterly Plant Model'!$I613:$V613)</f>
        <v>0</v>
      </c>
      <c r="J613" s="41">
        <f>SUMIF('Quarterly Plant Model'!$I$2:$V$2,'Plant model'!J$2,'Quarterly Plant Model'!$I613:$V613)</f>
        <v>0</v>
      </c>
      <c r="K613" s="41">
        <f>SUMIF('Quarterly Plant Model'!$I$2:$V$2,'Plant model'!K$2,'Quarterly Plant Model'!$I613:$V613)</f>
        <v>25.532105446316962</v>
      </c>
      <c r="L613" s="41">
        <f>SUMIF('Quarterly Plant Model'!$I$2:$V$2,'Plant model'!L$2,'Quarterly Plant Model'!$I613:$V613)</f>
        <v>40.851368714107139</v>
      </c>
      <c r="M613" s="21">
        <f t="shared" ref="M613:AE613" si="553">M191*M199</f>
        <v>81.702737428214277</v>
      </c>
      <c r="N613" s="21">
        <f t="shared" si="553"/>
        <v>81.702737428214277</v>
      </c>
      <c r="O613" s="21">
        <f t="shared" si="553"/>
        <v>81.702737428214277</v>
      </c>
      <c r="P613" s="21">
        <f t="shared" si="553"/>
        <v>81.702737428214277</v>
      </c>
      <c r="Q613" s="21">
        <f t="shared" si="553"/>
        <v>81.702737428214277</v>
      </c>
      <c r="R613" s="21">
        <f t="shared" si="553"/>
        <v>81.702737428214277</v>
      </c>
      <c r="S613" s="21">
        <f t="shared" si="553"/>
        <v>81.702737428214277</v>
      </c>
      <c r="T613" s="21">
        <f t="shared" si="553"/>
        <v>81.702737428214277</v>
      </c>
      <c r="U613" s="21">
        <f t="shared" si="553"/>
        <v>81.702737428214277</v>
      </c>
      <c r="V613" s="21">
        <f t="shared" si="553"/>
        <v>81.702737428214277</v>
      </c>
      <c r="W613" s="21">
        <f t="shared" si="553"/>
        <v>81.702737428214277</v>
      </c>
      <c r="X613" s="21">
        <f t="shared" si="553"/>
        <v>81.702737428214277</v>
      </c>
      <c r="Y613" s="21">
        <f t="shared" si="553"/>
        <v>81.702737428214277</v>
      </c>
      <c r="Z613" s="21">
        <f t="shared" si="553"/>
        <v>81.702737428214277</v>
      </c>
      <c r="AA613" s="21">
        <f t="shared" si="553"/>
        <v>81.702737428214277</v>
      </c>
      <c r="AB613" s="21">
        <f t="shared" si="553"/>
        <v>81.702737428214277</v>
      </c>
      <c r="AC613" s="21">
        <f t="shared" si="553"/>
        <v>81.702737428214277</v>
      </c>
      <c r="AD613" s="21">
        <f t="shared" si="553"/>
        <v>81.702737428214277</v>
      </c>
      <c r="AE613" s="21">
        <f t="shared" si="553"/>
        <v>81.702737428214277</v>
      </c>
      <c r="AF613" s="1"/>
    </row>
    <row r="614" spans="2:32" x14ac:dyDescent="0.2">
      <c r="C614" s="5" t="str">
        <f>C146</f>
        <v>Lime</v>
      </c>
      <c r="D614" s="5"/>
      <c r="F614" s="1" t="s">
        <v>55</v>
      </c>
      <c r="G614" s="21">
        <f t="shared" ref="G614:G616" si="554">SUM(I614:AE614)</f>
        <v>68.668433329500004</v>
      </c>
      <c r="H614" s="5"/>
      <c r="I614" s="41">
        <f>SUMIF('Quarterly Plant Model'!$I$2:$V$2,'Plant model'!I$2,'Quarterly Plant Model'!$I614:$V614)</f>
        <v>0</v>
      </c>
      <c r="J614" s="41">
        <f>SUMIF('Quarterly Plant Model'!$I$2:$V$2,'Plant model'!J$2,'Quarterly Plant Model'!$I614:$V614)</f>
        <v>0</v>
      </c>
      <c r="K614" s="41">
        <f>SUMIF('Quarterly Plant Model'!$I$2:$V$2,'Plant model'!K$2,'Quarterly Plant Model'!$I614:$V614)</f>
        <v>1.0830983175000002</v>
      </c>
      <c r="L614" s="41">
        <f>SUMIF('Quarterly Plant Model'!$I$2:$V$2,'Plant model'!L$2,'Quarterly Plant Model'!$I614:$V614)</f>
        <v>1.732957308</v>
      </c>
      <c r="M614" s="21">
        <f t="shared" ref="M614:AE614" si="555">M251*M255</f>
        <v>3.4659146160000001</v>
      </c>
      <c r="N614" s="21">
        <f t="shared" si="555"/>
        <v>3.4659146160000001</v>
      </c>
      <c r="O614" s="21">
        <f t="shared" si="555"/>
        <v>3.4659146160000001</v>
      </c>
      <c r="P614" s="21">
        <f t="shared" si="555"/>
        <v>3.4659146160000001</v>
      </c>
      <c r="Q614" s="21">
        <f t="shared" si="555"/>
        <v>3.4659146160000001</v>
      </c>
      <c r="R614" s="21">
        <f t="shared" si="555"/>
        <v>3.4659146160000001</v>
      </c>
      <c r="S614" s="21">
        <f t="shared" si="555"/>
        <v>3.4659146160000001</v>
      </c>
      <c r="T614" s="21">
        <f t="shared" si="555"/>
        <v>3.4659146160000001</v>
      </c>
      <c r="U614" s="21">
        <f t="shared" si="555"/>
        <v>3.4659146160000001</v>
      </c>
      <c r="V614" s="21">
        <f t="shared" si="555"/>
        <v>3.4659146160000001</v>
      </c>
      <c r="W614" s="21">
        <f t="shared" si="555"/>
        <v>3.4659146160000001</v>
      </c>
      <c r="X614" s="21">
        <f t="shared" si="555"/>
        <v>3.4659146160000001</v>
      </c>
      <c r="Y614" s="21">
        <f t="shared" si="555"/>
        <v>3.4659146160000001</v>
      </c>
      <c r="Z614" s="21">
        <f t="shared" si="555"/>
        <v>3.4659146160000001</v>
      </c>
      <c r="AA614" s="21">
        <f t="shared" si="555"/>
        <v>3.4659146160000001</v>
      </c>
      <c r="AB614" s="21">
        <f t="shared" si="555"/>
        <v>3.4659146160000001</v>
      </c>
      <c r="AC614" s="21">
        <f t="shared" si="555"/>
        <v>3.4659146160000001</v>
      </c>
      <c r="AD614" s="21">
        <f t="shared" si="555"/>
        <v>3.4659146160000001</v>
      </c>
      <c r="AE614" s="21">
        <f t="shared" si="555"/>
        <v>3.4659146160000001</v>
      </c>
      <c r="AF614" s="1"/>
    </row>
    <row r="615" spans="2:32" x14ac:dyDescent="0.2">
      <c r="C615" s="5" t="s">
        <v>575</v>
      </c>
      <c r="D615" s="5"/>
      <c r="F615" s="1" t="s">
        <v>55</v>
      </c>
      <c r="G615" s="21">
        <f t="shared" si="554"/>
        <v>2.5756249999999987</v>
      </c>
      <c r="H615" s="5"/>
      <c r="I615" s="41">
        <f>SUMIF('Quarterly Plant Model'!$I$2:$V$2,'Plant model'!I$2,'Quarterly Plant Model'!$I615:$V615)</f>
        <v>0</v>
      </c>
      <c r="J615" s="41">
        <f>SUMIF('Quarterly Plant Model'!$I$2:$V$2,'Plant model'!J$2,'Quarterly Plant Model'!$I615:$V615)</f>
        <v>0</v>
      </c>
      <c r="K615" s="41">
        <f>SUMIF('Quarterly Plant Model'!$I$2:$V$2,'Plant model'!K$2,'Quarterly Plant Model'!$I615:$V615)</f>
        <v>4.0625000000000001E-2</v>
      </c>
      <c r="L615" s="41">
        <f>SUMIF('Quarterly Plant Model'!$I$2:$V$2,'Plant model'!L$2,'Quarterly Plant Model'!$I615:$V615)</f>
        <v>6.5000000000000002E-2</v>
      </c>
      <c r="M615" s="21">
        <f t="shared" ref="M615:AE615" si="556">M261*M262</f>
        <v>0.13</v>
      </c>
      <c r="N615" s="21">
        <f t="shared" si="556"/>
        <v>0.13</v>
      </c>
      <c r="O615" s="21">
        <f t="shared" si="556"/>
        <v>0.13</v>
      </c>
      <c r="P615" s="21">
        <f t="shared" si="556"/>
        <v>0.13</v>
      </c>
      <c r="Q615" s="21">
        <f t="shared" si="556"/>
        <v>0.13</v>
      </c>
      <c r="R615" s="21">
        <f t="shared" si="556"/>
        <v>0.13</v>
      </c>
      <c r="S615" s="21">
        <f t="shared" si="556"/>
        <v>0.13</v>
      </c>
      <c r="T615" s="21">
        <f t="shared" si="556"/>
        <v>0.13</v>
      </c>
      <c r="U615" s="21">
        <f t="shared" si="556"/>
        <v>0.13</v>
      </c>
      <c r="V615" s="21">
        <f t="shared" si="556"/>
        <v>0.13</v>
      </c>
      <c r="W615" s="21">
        <f t="shared" si="556"/>
        <v>0.13</v>
      </c>
      <c r="X615" s="21">
        <f t="shared" si="556"/>
        <v>0.13</v>
      </c>
      <c r="Y615" s="21">
        <f t="shared" si="556"/>
        <v>0.13</v>
      </c>
      <c r="Z615" s="21">
        <f t="shared" si="556"/>
        <v>0.13</v>
      </c>
      <c r="AA615" s="21">
        <f t="shared" si="556"/>
        <v>0.13</v>
      </c>
      <c r="AB615" s="21">
        <f t="shared" si="556"/>
        <v>0.13</v>
      </c>
      <c r="AC615" s="21">
        <f t="shared" si="556"/>
        <v>0.13</v>
      </c>
      <c r="AD615" s="21">
        <f t="shared" si="556"/>
        <v>0.13</v>
      </c>
      <c r="AE615" s="21">
        <f t="shared" si="556"/>
        <v>0.13</v>
      </c>
      <c r="AF615" s="1"/>
    </row>
    <row r="616" spans="2:32" x14ac:dyDescent="0.2">
      <c r="C616" s="20" t="s">
        <v>45</v>
      </c>
      <c r="D616" s="20"/>
      <c r="F616" s="9" t="s">
        <v>55</v>
      </c>
      <c r="G616" s="44">
        <f t="shared" si="554"/>
        <v>1689.9795436259958</v>
      </c>
      <c r="H616" s="5"/>
      <c r="I616" s="44">
        <f>SUM(I613:I615)</f>
        <v>0</v>
      </c>
      <c r="J616" s="44">
        <f>SUM(J613:J615)</f>
        <v>0</v>
      </c>
      <c r="K616" s="44">
        <f>SUM(K613:K615)</f>
        <v>26.65582876381696</v>
      </c>
      <c r="L616" s="44">
        <f t="shared" ref="L616:AE616" si="557">SUM(L613:L615)</f>
        <v>42.64932602210714</v>
      </c>
      <c r="M616" s="44">
        <f t="shared" si="557"/>
        <v>85.298652044214279</v>
      </c>
      <c r="N616" s="44">
        <f t="shared" si="557"/>
        <v>85.298652044214279</v>
      </c>
      <c r="O616" s="44">
        <f t="shared" si="557"/>
        <v>85.298652044214279</v>
      </c>
      <c r="P616" s="44">
        <f t="shared" si="557"/>
        <v>85.298652044214279</v>
      </c>
      <c r="Q616" s="44">
        <f t="shared" si="557"/>
        <v>85.298652044214279</v>
      </c>
      <c r="R616" s="44">
        <f t="shared" si="557"/>
        <v>85.298652044214279</v>
      </c>
      <c r="S616" s="44">
        <f t="shared" si="557"/>
        <v>85.298652044214279</v>
      </c>
      <c r="T616" s="44">
        <f t="shared" si="557"/>
        <v>85.298652044214279</v>
      </c>
      <c r="U616" s="44">
        <f t="shared" si="557"/>
        <v>85.298652044214279</v>
      </c>
      <c r="V616" s="44">
        <f t="shared" si="557"/>
        <v>85.298652044214279</v>
      </c>
      <c r="W616" s="44">
        <f t="shared" si="557"/>
        <v>85.298652044214279</v>
      </c>
      <c r="X616" s="44">
        <f t="shared" si="557"/>
        <v>85.298652044214279</v>
      </c>
      <c r="Y616" s="44">
        <f t="shared" si="557"/>
        <v>85.298652044214279</v>
      </c>
      <c r="Z616" s="44">
        <f t="shared" si="557"/>
        <v>85.298652044214279</v>
      </c>
      <c r="AA616" s="44">
        <f t="shared" si="557"/>
        <v>85.298652044214279</v>
      </c>
      <c r="AB616" s="44">
        <f t="shared" si="557"/>
        <v>85.298652044214279</v>
      </c>
      <c r="AC616" s="44">
        <f t="shared" si="557"/>
        <v>85.298652044214279</v>
      </c>
      <c r="AD616" s="44">
        <f t="shared" si="557"/>
        <v>85.298652044214279</v>
      </c>
      <c r="AE616" s="44">
        <f t="shared" si="557"/>
        <v>85.298652044214279</v>
      </c>
      <c r="AF616" s="1"/>
    </row>
    <row r="617" spans="2:32" x14ac:dyDescent="0.2">
      <c r="C617" s="5"/>
      <c r="D617" s="5"/>
      <c r="H617" s="5"/>
      <c r="AF617" s="1"/>
    </row>
    <row r="618" spans="2:32" x14ac:dyDescent="0.2">
      <c r="B618" s="24">
        <f>B612+0.01</f>
        <v>3.62</v>
      </c>
      <c r="C618" s="20" t="str">
        <f>C153</f>
        <v>Storage &amp; Cold Processing</v>
      </c>
      <c r="D618" s="5"/>
      <c r="H618" s="5"/>
      <c r="AF618" s="1"/>
    </row>
    <row r="619" spans="2:32" x14ac:dyDescent="0.2">
      <c r="C619" s="5"/>
      <c r="D619" s="5"/>
      <c r="H619" s="5"/>
      <c r="AF619" s="1"/>
    </row>
    <row r="620" spans="2:32" x14ac:dyDescent="0.2">
      <c r="C620" s="5" t="str">
        <f>C155</f>
        <v>Electricity</v>
      </c>
      <c r="D620" s="5"/>
      <c r="F620" s="1" t="s">
        <v>55</v>
      </c>
      <c r="G620" s="21">
        <f t="shared" ref="G620:G622" si="558">SUM(I620:AE620)</f>
        <v>1.0436419606534315</v>
      </c>
      <c r="H620" s="5"/>
      <c r="I620" s="41">
        <f>SUMIF('Quarterly Plant Model'!$I$2:$V$2,'Plant model'!I$2,'Quarterly Plant Model'!$I620:$V620)</f>
        <v>0</v>
      </c>
      <c r="J620" s="41">
        <f>SUMIF('Quarterly Plant Model'!$I$2:$V$2,'Plant model'!J$2,'Quarterly Plant Model'!$I620:$V620)</f>
        <v>0</v>
      </c>
      <c r="K620" s="41">
        <f>SUMIF('Quarterly Plant Model'!$I$2:$V$2,'Plant model'!K$2,'Quarterly Plant Model'!$I620:$V620)</f>
        <v>1.4065255534412829E-2</v>
      </c>
      <c r="L620" s="41">
        <f>SUMIF('Quarterly Plant Model'!$I$2:$V$2,'Plant model'!L$2,'Quarterly Plant Model'!$I620:$V620)</f>
        <v>2.2504408855060526E-2</v>
      </c>
      <c r="M620" s="21">
        <f t="shared" ref="M620:AE620" si="559">M155*M596*M$104</f>
        <v>4.5008817710121052E-2</v>
      </c>
      <c r="N620" s="21">
        <f t="shared" si="559"/>
        <v>4.5008817710121052E-2</v>
      </c>
      <c r="O620" s="21">
        <f t="shared" si="559"/>
        <v>4.5008817710121052E-2</v>
      </c>
      <c r="P620" s="21">
        <f t="shared" si="559"/>
        <v>4.5008817710121052E-2</v>
      </c>
      <c r="Q620" s="21">
        <f t="shared" si="559"/>
        <v>4.7821868817003614E-2</v>
      </c>
      <c r="R620" s="21">
        <f t="shared" si="559"/>
        <v>5.0634919923886176E-2</v>
      </c>
      <c r="S620" s="21">
        <f t="shared" si="559"/>
        <v>5.3447971030768739E-2</v>
      </c>
      <c r="T620" s="21">
        <f t="shared" si="559"/>
        <v>5.6261022137651308E-2</v>
      </c>
      <c r="U620" s="21">
        <f t="shared" si="559"/>
        <v>5.6261022137651308E-2</v>
      </c>
      <c r="V620" s="21">
        <f t="shared" si="559"/>
        <v>5.6261022137651308E-2</v>
      </c>
      <c r="W620" s="21">
        <f t="shared" si="559"/>
        <v>5.6261022137651308E-2</v>
      </c>
      <c r="X620" s="21">
        <f t="shared" si="559"/>
        <v>5.6261022137651308E-2</v>
      </c>
      <c r="Y620" s="21">
        <f t="shared" si="559"/>
        <v>5.6261022137651308E-2</v>
      </c>
      <c r="Z620" s="21">
        <f t="shared" si="559"/>
        <v>5.6261022137651308E-2</v>
      </c>
      <c r="AA620" s="21">
        <f t="shared" si="559"/>
        <v>5.6261022137651308E-2</v>
      </c>
      <c r="AB620" s="21">
        <f t="shared" si="559"/>
        <v>5.6261022137651308E-2</v>
      </c>
      <c r="AC620" s="21">
        <f t="shared" si="559"/>
        <v>5.6261022137651308E-2</v>
      </c>
      <c r="AD620" s="21">
        <f t="shared" si="559"/>
        <v>5.6261022137651308E-2</v>
      </c>
      <c r="AE620" s="21">
        <f t="shared" si="559"/>
        <v>5.6261022137651308E-2</v>
      </c>
      <c r="AF620" s="1"/>
    </row>
    <row r="621" spans="2:32" x14ac:dyDescent="0.2">
      <c r="C621" s="5" t="str">
        <f>C156</f>
        <v>Maintenance &amp; Supplies</v>
      </c>
      <c r="D621" s="5"/>
      <c r="F621" s="1" t="s">
        <v>55</v>
      </c>
      <c r="G621" s="21">
        <f t="shared" si="558"/>
        <v>2.3765800000000001</v>
      </c>
      <c r="H621" s="5"/>
      <c r="I621" s="41">
        <f>SUMIF('Quarterly Plant Model'!$I$2:$V$2,'Plant model'!I$2,'Quarterly Plant Model'!$I621:$V621)</f>
        <v>0</v>
      </c>
      <c r="J621" s="41">
        <f>SUMIF('Quarterly Plant Model'!$I$2:$V$2,'Plant model'!J$2,'Quarterly Plant Model'!$I621:$V621)</f>
        <v>0</v>
      </c>
      <c r="K621" s="41">
        <f>SUMIF('Quarterly Plant Model'!$I$2:$V$2,'Plant model'!K$2,'Quarterly Plant Model'!$I621:$V621)</f>
        <v>5.9414500000000002E-2</v>
      </c>
      <c r="L621" s="41">
        <f>SUMIF('Quarterly Plant Model'!$I$2:$V$2,'Plant model'!L$2,'Quarterly Plant Model'!$I621:$V621)</f>
        <v>5.9414500000000002E-2</v>
      </c>
      <c r="M621" s="21">
        <f t="shared" ref="M621:AE621" si="560">M156</f>
        <v>0.118829</v>
      </c>
      <c r="N621" s="21">
        <f t="shared" si="560"/>
        <v>0.118829</v>
      </c>
      <c r="O621" s="21">
        <f t="shared" si="560"/>
        <v>0.118829</v>
      </c>
      <c r="P621" s="21">
        <f t="shared" si="560"/>
        <v>0.118829</v>
      </c>
      <c r="Q621" s="21">
        <f t="shared" si="560"/>
        <v>0.118829</v>
      </c>
      <c r="R621" s="21">
        <f t="shared" si="560"/>
        <v>0.118829</v>
      </c>
      <c r="S621" s="21">
        <f t="shared" si="560"/>
        <v>0.118829</v>
      </c>
      <c r="T621" s="21">
        <f t="shared" si="560"/>
        <v>0.118829</v>
      </c>
      <c r="U621" s="21">
        <f t="shared" si="560"/>
        <v>0.118829</v>
      </c>
      <c r="V621" s="21">
        <f t="shared" si="560"/>
        <v>0.118829</v>
      </c>
      <c r="W621" s="21">
        <f t="shared" si="560"/>
        <v>0.118829</v>
      </c>
      <c r="X621" s="21">
        <f t="shared" si="560"/>
        <v>0.118829</v>
      </c>
      <c r="Y621" s="21">
        <f t="shared" si="560"/>
        <v>0.118829</v>
      </c>
      <c r="Z621" s="21">
        <f t="shared" si="560"/>
        <v>0.118829</v>
      </c>
      <c r="AA621" s="21">
        <f t="shared" si="560"/>
        <v>0.118829</v>
      </c>
      <c r="AB621" s="21">
        <f t="shared" si="560"/>
        <v>0.118829</v>
      </c>
      <c r="AC621" s="21">
        <f t="shared" si="560"/>
        <v>0.118829</v>
      </c>
      <c r="AD621" s="21">
        <f t="shared" si="560"/>
        <v>0.118829</v>
      </c>
      <c r="AE621" s="21">
        <f t="shared" si="560"/>
        <v>0.118829</v>
      </c>
      <c r="AF621" s="1"/>
    </row>
    <row r="622" spans="2:32" x14ac:dyDescent="0.2">
      <c r="C622" s="20" t="s">
        <v>45</v>
      </c>
      <c r="D622" s="5"/>
      <c r="F622" s="9" t="s">
        <v>55</v>
      </c>
      <c r="G622" s="44">
        <f t="shared" si="558"/>
        <v>3.4202219606534312</v>
      </c>
      <c r="H622" s="5"/>
      <c r="I622" s="44">
        <f t="shared" ref="I622:AE622" si="561">SUM(I620:I621)</f>
        <v>0</v>
      </c>
      <c r="J622" s="44">
        <f t="shared" si="561"/>
        <v>0</v>
      </c>
      <c r="K622" s="44">
        <f t="shared" si="561"/>
        <v>7.3479755534412827E-2</v>
      </c>
      <c r="L622" s="44">
        <f t="shared" si="561"/>
        <v>8.1918908855060535E-2</v>
      </c>
      <c r="M622" s="44">
        <f t="shared" si="561"/>
        <v>0.16383781771012107</v>
      </c>
      <c r="N622" s="44">
        <f t="shared" si="561"/>
        <v>0.16383781771012107</v>
      </c>
      <c r="O622" s="44">
        <f t="shared" si="561"/>
        <v>0.16383781771012107</v>
      </c>
      <c r="P622" s="44">
        <f t="shared" si="561"/>
        <v>0.16383781771012107</v>
      </c>
      <c r="Q622" s="44">
        <f t="shared" si="561"/>
        <v>0.16665086881700361</v>
      </c>
      <c r="R622" s="44">
        <f t="shared" si="561"/>
        <v>0.16946391992388618</v>
      </c>
      <c r="S622" s="44">
        <f t="shared" si="561"/>
        <v>0.17227697103076875</v>
      </c>
      <c r="T622" s="44">
        <f t="shared" si="561"/>
        <v>0.17509002213765132</v>
      </c>
      <c r="U622" s="44">
        <f t="shared" si="561"/>
        <v>0.17509002213765132</v>
      </c>
      <c r="V622" s="44">
        <f t="shared" si="561"/>
        <v>0.17509002213765132</v>
      </c>
      <c r="W622" s="44">
        <f t="shared" si="561"/>
        <v>0.17509002213765132</v>
      </c>
      <c r="X622" s="44">
        <f t="shared" si="561"/>
        <v>0.17509002213765132</v>
      </c>
      <c r="Y622" s="44">
        <f t="shared" si="561"/>
        <v>0.17509002213765132</v>
      </c>
      <c r="Z622" s="44">
        <f t="shared" si="561"/>
        <v>0.17509002213765132</v>
      </c>
      <c r="AA622" s="44">
        <f t="shared" si="561"/>
        <v>0.17509002213765132</v>
      </c>
      <c r="AB622" s="44">
        <f t="shared" si="561"/>
        <v>0.17509002213765132</v>
      </c>
      <c r="AC622" s="44">
        <f t="shared" si="561"/>
        <v>0.17509002213765132</v>
      </c>
      <c r="AD622" s="44">
        <f t="shared" si="561"/>
        <v>0.17509002213765132</v>
      </c>
      <c r="AE622" s="44">
        <f t="shared" si="561"/>
        <v>0.17509002213765132</v>
      </c>
      <c r="AF622" s="1"/>
    </row>
    <row r="623" spans="2:32" x14ac:dyDescent="0.2">
      <c r="C623" s="5"/>
      <c r="D623" s="5"/>
      <c r="H623" s="5"/>
      <c r="AF623" s="1"/>
    </row>
    <row r="624" spans="2:32" x14ac:dyDescent="0.2">
      <c r="B624" s="24">
        <f>B618+0.01</f>
        <v>3.63</v>
      </c>
      <c r="C624" s="20" t="str">
        <f>C158</f>
        <v>Shaft Furnace</v>
      </c>
      <c r="D624" s="5"/>
      <c r="H624" s="5"/>
      <c r="AF624" s="1"/>
    </row>
    <row r="625" spans="2:32" x14ac:dyDescent="0.2">
      <c r="C625" s="5"/>
      <c r="D625" s="5"/>
      <c r="H625" s="5"/>
      <c r="AF625" s="1"/>
    </row>
    <row r="626" spans="2:32" x14ac:dyDescent="0.2">
      <c r="C626" s="5" t="str">
        <f>C160</f>
        <v>Natural Gas</v>
      </c>
      <c r="D626" s="5"/>
      <c r="F626" s="1" t="s">
        <v>55</v>
      </c>
      <c r="G626" s="21">
        <f t="shared" ref="G626:G630" si="562">SUM(I626:AE626)</f>
        <v>399.24996616355764</v>
      </c>
      <c r="H626" s="5"/>
      <c r="I626" s="41">
        <f>SUMIF('Quarterly Plant Model'!$I$2:$V$2,'Plant model'!I$2,'Quarterly Plant Model'!$I626:$V626)</f>
        <v>0</v>
      </c>
      <c r="J626" s="41">
        <f>SUMIF('Quarterly Plant Model'!$I$2:$V$2,'Plant model'!J$2,'Quarterly Plant Model'!$I626:$V626)</f>
        <v>0</v>
      </c>
      <c r="K626" s="41">
        <f>SUMIF('Quarterly Plant Model'!$I$2:$V$2,'Plant model'!K$2,'Quarterly Plant Model'!$I626:$V626)</f>
        <v>5.4357485703492952</v>
      </c>
      <c r="L626" s="41">
        <f>SUMIF('Quarterly Plant Model'!$I$2:$V$2,'Plant model'!L$2,'Quarterly Plant Model'!$I626:$V626)</f>
        <v>8.4730893402500982</v>
      </c>
      <c r="M626" s="21">
        <f t="shared" ref="M626:AE626" si="563">M160*M599*M$104</f>
        <v>20.281112013313603</v>
      </c>
      <c r="N626" s="21">
        <f t="shared" si="563"/>
        <v>20.281112013313603</v>
      </c>
      <c r="O626" s="21">
        <f t="shared" si="563"/>
        <v>20.281112013313603</v>
      </c>
      <c r="P626" s="21">
        <f t="shared" si="563"/>
        <v>20.281112013313603</v>
      </c>
      <c r="Q626" s="21">
        <f t="shared" si="563"/>
        <v>20.281112013313603</v>
      </c>
      <c r="R626" s="21">
        <f t="shared" si="563"/>
        <v>20.281112013313603</v>
      </c>
      <c r="S626" s="21">
        <f t="shared" si="563"/>
        <v>20.281112013313603</v>
      </c>
      <c r="T626" s="21">
        <f t="shared" si="563"/>
        <v>20.281112013313603</v>
      </c>
      <c r="U626" s="21">
        <f t="shared" si="563"/>
        <v>20.281112013313603</v>
      </c>
      <c r="V626" s="21">
        <f t="shared" si="563"/>
        <v>20.281112013313603</v>
      </c>
      <c r="W626" s="21">
        <f t="shared" si="563"/>
        <v>20.281112013313603</v>
      </c>
      <c r="X626" s="21">
        <f t="shared" si="563"/>
        <v>20.281112013313603</v>
      </c>
      <c r="Y626" s="21">
        <f t="shared" si="563"/>
        <v>20.281112013313603</v>
      </c>
      <c r="Z626" s="21">
        <f t="shared" si="563"/>
        <v>20.281112013313603</v>
      </c>
      <c r="AA626" s="21">
        <f t="shared" si="563"/>
        <v>20.281112013313603</v>
      </c>
      <c r="AB626" s="21">
        <f t="shared" si="563"/>
        <v>20.281112013313603</v>
      </c>
      <c r="AC626" s="21">
        <f t="shared" si="563"/>
        <v>20.281112013313603</v>
      </c>
      <c r="AD626" s="21">
        <f t="shared" si="563"/>
        <v>20.281112013313603</v>
      </c>
      <c r="AE626" s="21">
        <f t="shared" si="563"/>
        <v>20.281112013313603</v>
      </c>
      <c r="AF626" s="1"/>
    </row>
    <row r="627" spans="2:32" x14ac:dyDescent="0.2">
      <c r="C627" s="5" t="str">
        <f>C161</f>
        <v>Electricity</v>
      </c>
      <c r="D627" s="5"/>
      <c r="F627" s="1" t="s">
        <v>55</v>
      </c>
      <c r="G627" s="21">
        <f t="shared" si="562"/>
        <v>23.422985565701872</v>
      </c>
      <c r="H627" s="5"/>
      <c r="I627" s="41">
        <f>SUMIF('Quarterly Plant Model'!$I$2:$V$2,'Plant model'!I$2,'Quarterly Plant Model'!$I627:$V627)</f>
        <v>0</v>
      </c>
      <c r="J627" s="41">
        <f>SUMIF('Quarterly Plant Model'!$I$2:$V$2,'Plant model'!J$2,'Quarterly Plant Model'!$I627:$V627)</f>
        <v>0</v>
      </c>
      <c r="K627" s="41">
        <f>SUMIF('Quarterly Plant Model'!$I$2:$V$2,'Plant model'!K$2,'Quarterly Plant Model'!$I627:$V627)</f>
        <v>0.31567365991511964</v>
      </c>
      <c r="L627" s="41">
        <f>SUMIF('Quarterly Plant Model'!$I$2:$V$2,'Plant model'!L$2,'Quarterly Plant Model'!$I627:$V627)</f>
        <v>0.50507785586419141</v>
      </c>
      <c r="M627" s="21">
        <f t="shared" ref="M627:AE627" si="564">M161*M596*M$104</f>
        <v>1.0101557117283828</v>
      </c>
      <c r="N627" s="21">
        <f t="shared" si="564"/>
        <v>1.0101557117283828</v>
      </c>
      <c r="O627" s="21">
        <f t="shared" si="564"/>
        <v>1.0101557117283828</v>
      </c>
      <c r="P627" s="21">
        <f t="shared" si="564"/>
        <v>1.0101557117283828</v>
      </c>
      <c r="Q627" s="21">
        <f t="shared" si="564"/>
        <v>1.0732904437114066</v>
      </c>
      <c r="R627" s="21">
        <f t="shared" si="564"/>
        <v>1.1364251756944306</v>
      </c>
      <c r="S627" s="21">
        <f t="shared" si="564"/>
        <v>1.1995599076774546</v>
      </c>
      <c r="T627" s="21">
        <f t="shared" si="564"/>
        <v>1.2626946396604783</v>
      </c>
      <c r="U627" s="21">
        <f t="shared" si="564"/>
        <v>1.2626946396604783</v>
      </c>
      <c r="V627" s="21">
        <f t="shared" si="564"/>
        <v>1.2626946396604783</v>
      </c>
      <c r="W627" s="21">
        <f t="shared" si="564"/>
        <v>1.2626946396604783</v>
      </c>
      <c r="X627" s="21">
        <f t="shared" si="564"/>
        <v>1.2626946396604783</v>
      </c>
      <c r="Y627" s="21">
        <f t="shared" si="564"/>
        <v>1.2626946396604783</v>
      </c>
      <c r="Z627" s="21">
        <f t="shared" si="564"/>
        <v>1.2626946396604783</v>
      </c>
      <c r="AA627" s="21">
        <f t="shared" si="564"/>
        <v>1.2626946396604783</v>
      </c>
      <c r="AB627" s="21">
        <f t="shared" si="564"/>
        <v>1.2626946396604783</v>
      </c>
      <c r="AC627" s="21">
        <f t="shared" si="564"/>
        <v>1.2626946396604783</v>
      </c>
      <c r="AD627" s="21">
        <f t="shared" si="564"/>
        <v>1.2626946396604783</v>
      </c>
      <c r="AE627" s="21">
        <f t="shared" si="564"/>
        <v>1.2626946396604783</v>
      </c>
      <c r="AF627" s="1"/>
    </row>
    <row r="628" spans="2:32" x14ac:dyDescent="0.2">
      <c r="C628" s="5" t="str">
        <f>C162</f>
        <v>Maintenance</v>
      </c>
      <c r="D628" s="5"/>
      <c r="F628" s="1" t="s">
        <v>55</v>
      </c>
      <c r="G628" s="21">
        <f t="shared" si="562"/>
        <v>26.887759999999989</v>
      </c>
      <c r="H628" s="5"/>
      <c r="I628" s="41">
        <f>SUMIF('Quarterly Plant Model'!$I$2:$V$2,'Plant model'!I$2,'Quarterly Plant Model'!$I628:$V628)</f>
        <v>0</v>
      </c>
      <c r="J628" s="41">
        <f>SUMIF('Quarterly Plant Model'!$I$2:$V$2,'Plant model'!J$2,'Quarterly Plant Model'!$I628:$V628)</f>
        <v>0</v>
      </c>
      <c r="K628" s="41">
        <f>SUMIF('Quarterly Plant Model'!$I$2:$V$2,'Plant model'!K$2,'Quarterly Plant Model'!$I628:$V628)</f>
        <v>0.67219399999999996</v>
      </c>
      <c r="L628" s="41">
        <f>SUMIF('Quarterly Plant Model'!$I$2:$V$2,'Plant model'!L$2,'Quarterly Plant Model'!$I628:$V628)</f>
        <v>0.67219399999999996</v>
      </c>
      <c r="M628" s="21">
        <f t="shared" ref="M628:AE628" si="565">M162</f>
        <v>1.3443879999999999</v>
      </c>
      <c r="N628" s="21">
        <f t="shared" si="565"/>
        <v>1.3443879999999999</v>
      </c>
      <c r="O628" s="21">
        <f t="shared" si="565"/>
        <v>1.3443879999999999</v>
      </c>
      <c r="P628" s="21">
        <f t="shared" si="565"/>
        <v>1.3443879999999999</v>
      </c>
      <c r="Q628" s="21">
        <f t="shared" si="565"/>
        <v>1.3443879999999999</v>
      </c>
      <c r="R628" s="21">
        <f t="shared" si="565"/>
        <v>1.3443879999999999</v>
      </c>
      <c r="S628" s="21">
        <f t="shared" si="565"/>
        <v>1.3443879999999999</v>
      </c>
      <c r="T628" s="21">
        <f t="shared" si="565"/>
        <v>1.3443879999999999</v>
      </c>
      <c r="U628" s="21">
        <f t="shared" si="565"/>
        <v>1.3443879999999999</v>
      </c>
      <c r="V628" s="21">
        <f t="shared" si="565"/>
        <v>1.3443879999999999</v>
      </c>
      <c r="W628" s="21">
        <f t="shared" si="565"/>
        <v>1.3443879999999999</v>
      </c>
      <c r="X628" s="21">
        <f t="shared" si="565"/>
        <v>1.3443879999999999</v>
      </c>
      <c r="Y628" s="21">
        <f t="shared" si="565"/>
        <v>1.3443879999999999</v>
      </c>
      <c r="Z628" s="21">
        <f t="shared" si="565"/>
        <v>1.3443879999999999</v>
      </c>
      <c r="AA628" s="21">
        <f t="shared" si="565"/>
        <v>1.3443879999999999</v>
      </c>
      <c r="AB628" s="21">
        <f t="shared" si="565"/>
        <v>1.3443879999999999</v>
      </c>
      <c r="AC628" s="21">
        <f t="shared" si="565"/>
        <v>1.3443879999999999</v>
      </c>
      <c r="AD628" s="21">
        <f t="shared" si="565"/>
        <v>1.3443879999999999</v>
      </c>
      <c r="AE628" s="21">
        <f t="shared" si="565"/>
        <v>1.3443879999999999</v>
      </c>
      <c r="AF628" s="1"/>
    </row>
    <row r="629" spans="2:32" x14ac:dyDescent="0.2">
      <c r="C629" s="5" t="str">
        <f>C163</f>
        <v>O2, N2, H2O, others</v>
      </c>
      <c r="D629" s="5"/>
      <c r="F629" s="1" t="s">
        <v>55</v>
      </c>
      <c r="G629" s="21">
        <f t="shared" si="562"/>
        <v>43.390338878125014</v>
      </c>
      <c r="H629" s="5"/>
      <c r="I629" s="41">
        <f>SUMIF('Quarterly Plant Model'!$I$2:$V$2,'Plant model'!I$2,'Quarterly Plant Model'!$I629:$V629)</f>
        <v>0</v>
      </c>
      <c r="J629" s="41">
        <f>SUMIF('Quarterly Plant Model'!$I$2:$V$2,'Plant model'!J$2,'Quarterly Plant Model'!$I629:$V629)</f>
        <v>0</v>
      </c>
      <c r="K629" s="41">
        <f>SUMIF('Quarterly Plant Model'!$I$2:$V$2,'Plant model'!K$2,'Quarterly Plant Model'!$I629:$V629)</f>
        <v>0.68439020312499999</v>
      </c>
      <c r="L629" s="41">
        <f>SUMIF('Quarterly Plant Model'!$I$2:$V$2,'Plant model'!L$2,'Quarterly Plant Model'!$I629:$V629)</f>
        <v>1.0950243249999998</v>
      </c>
      <c r="M629" s="21">
        <f t="shared" ref="M629:AE629" si="566">M163*M104</f>
        <v>2.1900486499999996</v>
      </c>
      <c r="N629" s="21">
        <f t="shared" si="566"/>
        <v>2.1900486499999996</v>
      </c>
      <c r="O629" s="21">
        <f t="shared" si="566"/>
        <v>2.1900486499999996</v>
      </c>
      <c r="P629" s="21">
        <f t="shared" si="566"/>
        <v>2.1900486499999996</v>
      </c>
      <c r="Q629" s="21">
        <f t="shared" si="566"/>
        <v>2.1900486499999996</v>
      </c>
      <c r="R629" s="21">
        <f t="shared" si="566"/>
        <v>2.1900486499999996</v>
      </c>
      <c r="S629" s="21">
        <f t="shared" si="566"/>
        <v>2.1900486499999996</v>
      </c>
      <c r="T629" s="21">
        <f t="shared" si="566"/>
        <v>2.1900486499999996</v>
      </c>
      <c r="U629" s="21">
        <f t="shared" si="566"/>
        <v>2.1900486499999996</v>
      </c>
      <c r="V629" s="21">
        <f t="shared" si="566"/>
        <v>2.1900486499999996</v>
      </c>
      <c r="W629" s="21">
        <f t="shared" si="566"/>
        <v>2.1900486499999996</v>
      </c>
      <c r="X629" s="21">
        <f t="shared" si="566"/>
        <v>2.1900486499999996</v>
      </c>
      <c r="Y629" s="21">
        <f t="shared" si="566"/>
        <v>2.1900486499999996</v>
      </c>
      <c r="Z629" s="21">
        <f t="shared" si="566"/>
        <v>2.1900486499999996</v>
      </c>
      <c r="AA629" s="21">
        <f t="shared" si="566"/>
        <v>2.1900486499999996</v>
      </c>
      <c r="AB629" s="21">
        <f t="shared" si="566"/>
        <v>2.1900486499999996</v>
      </c>
      <c r="AC629" s="21">
        <f t="shared" si="566"/>
        <v>2.1900486499999996</v>
      </c>
      <c r="AD629" s="21">
        <f t="shared" si="566"/>
        <v>2.1900486499999996</v>
      </c>
      <c r="AE629" s="21">
        <f t="shared" si="566"/>
        <v>2.1900486499999996</v>
      </c>
      <c r="AF629" s="1"/>
    </row>
    <row r="630" spans="2:32" x14ac:dyDescent="0.2">
      <c r="C630" s="20" t="s">
        <v>45</v>
      </c>
      <c r="D630" s="5"/>
      <c r="F630" s="9" t="s">
        <v>55</v>
      </c>
      <c r="G630" s="44">
        <f t="shared" si="562"/>
        <v>492.9510506073849</v>
      </c>
      <c r="H630" s="5"/>
      <c r="I630" s="44">
        <f t="shared" ref="I630:AE630" si="567">SUM(I626:I629)</f>
        <v>0</v>
      </c>
      <c r="J630" s="44">
        <f t="shared" si="567"/>
        <v>0</v>
      </c>
      <c r="K630" s="44">
        <f t="shared" si="567"/>
        <v>7.1080064333894146</v>
      </c>
      <c r="L630" s="44">
        <f t="shared" si="567"/>
        <v>10.74538552111429</v>
      </c>
      <c r="M630" s="44">
        <f t="shared" si="567"/>
        <v>24.825704375041987</v>
      </c>
      <c r="N630" s="44">
        <f t="shared" si="567"/>
        <v>24.825704375041987</v>
      </c>
      <c r="O630" s="44">
        <f t="shared" si="567"/>
        <v>24.825704375041987</v>
      </c>
      <c r="P630" s="44">
        <f t="shared" si="567"/>
        <v>24.825704375041987</v>
      </c>
      <c r="Q630" s="44">
        <f t="shared" si="567"/>
        <v>24.888839107025007</v>
      </c>
      <c r="R630" s="44">
        <f t="shared" si="567"/>
        <v>24.951973839008033</v>
      </c>
      <c r="S630" s="44">
        <f t="shared" si="567"/>
        <v>25.015108570991053</v>
      </c>
      <c r="T630" s="44">
        <f t="shared" si="567"/>
        <v>25.07824330297408</v>
      </c>
      <c r="U630" s="44">
        <f t="shared" si="567"/>
        <v>25.07824330297408</v>
      </c>
      <c r="V630" s="44">
        <f t="shared" si="567"/>
        <v>25.07824330297408</v>
      </c>
      <c r="W630" s="44">
        <f t="shared" si="567"/>
        <v>25.07824330297408</v>
      </c>
      <c r="X630" s="44">
        <f t="shared" si="567"/>
        <v>25.07824330297408</v>
      </c>
      <c r="Y630" s="44">
        <f t="shared" si="567"/>
        <v>25.07824330297408</v>
      </c>
      <c r="Z630" s="44">
        <f t="shared" si="567"/>
        <v>25.07824330297408</v>
      </c>
      <c r="AA630" s="44">
        <f t="shared" si="567"/>
        <v>25.07824330297408</v>
      </c>
      <c r="AB630" s="44">
        <f t="shared" si="567"/>
        <v>25.07824330297408</v>
      </c>
      <c r="AC630" s="44">
        <f t="shared" si="567"/>
        <v>25.07824330297408</v>
      </c>
      <c r="AD630" s="44">
        <f t="shared" si="567"/>
        <v>25.07824330297408</v>
      </c>
      <c r="AE630" s="44">
        <f t="shared" si="567"/>
        <v>25.07824330297408</v>
      </c>
      <c r="AF630" s="1"/>
    </row>
    <row r="631" spans="2:32" x14ac:dyDescent="0.2">
      <c r="C631" s="5"/>
      <c r="D631" s="5"/>
      <c r="H631" s="5"/>
      <c r="AF631" s="1"/>
    </row>
    <row r="632" spans="2:32" x14ac:dyDescent="0.2">
      <c r="B632" s="24">
        <f>B624+0.01</f>
        <v>3.6399999999999997</v>
      </c>
      <c r="C632" s="20" t="str">
        <f>C165</f>
        <v>EAF</v>
      </c>
      <c r="D632" s="5"/>
      <c r="H632" s="5"/>
      <c r="AF632" s="1"/>
    </row>
    <row r="633" spans="2:32" x14ac:dyDescent="0.2">
      <c r="C633" s="5"/>
      <c r="D633" s="5"/>
      <c r="H633" s="5"/>
      <c r="AF633" s="1"/>
    </row>
    <row r="634" spans="2:32" x14ac:dyDescent="0.2">
      <c r="C634" s="5" t="str">
        <f t="shared" ref="C634:C643" si="568">C167</f>
        <v>Electrodes</v>
      </c>
      <c r="D634" s="5"/>
      <c r="F634" s="1" t="s">
        <v>55</v>
      </c>
      <c r="G634" s="21">
        <f t="shared" ref="G634:G644" si="569">SUM(I634:AE634)</f>
        <v>206.2115115</v>
      </c>
      <c r="H634" s="5"/>
      <c r="I634" s="41">
        <f>SUMIF('Quarterly Plant Model'!$I$2:$V$2,'Plant model'!I$2,'Quarterly Plant Model'!$I634:$V634)</f>
        <v>0</v>
      </c>
      <c r="J634" s="41">
        <f>SUMIF('Quarterly Plant Model'!$I$2:$V$2,'Plant model'!J$2,'Quarterly Plant Model'!$I634:$V634)</f>
        <v>0</v>
      </c>
      <c r="K634" s="41">
        <f>SUMIF('Quarterly Plant Model'!$I$2:$V$2,'Plant model'!K$2,'Quarterly Plant Model'!$I634:$V634)</f>
        <v>3.2525474999999995</v>
      </c>
      <c r="L634" s="41">
        <f>SUMIF('Quarterly Plant Model'!$I$2:$V$2,'Plant model'!L$2,'Quarterly Plant Model'!$I634:$V634)</f>
        <v>5.2040759999999997</v>
      </c>
      <c r="M634" s="21">
        <f t="shared" ref="M634:AE634" si="570">M167*M603*M$104</f>
        <v>10.408151999999999</v>
      </c>
      <c r="N634" s="21">
        <f t="shared" si="570"/>
        <v>10.408151999999999</v>
      </c>
      <c r="O634" s="21">
        <f t="shared" si="570"/>
        <v>10.408151999999999</v>
      </c>
      <c r="P634" s="21">
        <f t="shared" si="570"/>
        <v>10.408151999999999</v>
      </c>
      <c r="Q634" s="21">
        <f t="shared" si="570"/>
        <v>10.408151999999999</v>
      </c>
      <c r="R634" s="21">
        <f t="shared" si="570"/>
        <v>10.408151999999999</v>
      </c>
      <c r="S634" s="21">
        <f t="shared" si="570"/>
        <v>10.408151999999999</v>
      </c>
      <c r="T634" s="21">
        <f t="shared" si="570"/>
        <v>10.408151999999999</v>
      </c>
      <c r="U634" s="21">
        <f t="shared" si="570"/>
        <v>10.408151999999999</v>
      </c>
      <c r="V634" s="21">
        <f t="shared" si="570"/>
        <v>10.408151999999999</v>
      </c>
      <c r="W634" s="21">
        <f t="shared" si="570"/>
        <v>10.408151999999999</v>
      </c>
      <c r="X634" s="21">
        <f t="shared" si="570"/>
        <v>10.408151999999999</v>
      </c>
      <c r="Y634" s="21">
        <f t="shared" si="570"/>
        <v>10.408151999999999</v>
      </c>
      <c r="Z634" s="21">
        <f t="shared" si="570"/>
        <v>10.408151999999999</v>
      </c>
      <c r="AA634" s="21">
        <f t="shared" si="570"/>
        <v>10.408151999999999</v>
      </c>
      <c r="AB634" s="21">
        <f t="shared" si="570"/>
        <v>10.408151999999999</v>
      </c>
      <c r="AC634" s="21">
        <f t="shared" si="570"/>
        <v>10.408151999999999</v>
      </c>
      <c r="AD634" s="21">
        <f t="shared" si="570"/>
        <v>10.408151999999999</v>
      </c>
      <c r="AE634" s="21">
        <f t="shared" si="570"/>
        <v>10.408151999999999</v>
      </c>
      <c r="AF634" s="1"/>
    </row>
    <row r="635" spans="2:32" s="5" customFormat="1" x14ac:dyDescent="0.2">
      <c r="C635" s="5" t="str">
        <f t="shared" si="568"/>
        <v>Refractories (casting)</v>
      </c>
      <c r="F635" s="5" t="s">
        <v>55</v>
      </c>
      <c r="G635" s="52">
        <f t="shared" si="569"/>
        <v>9.660632977766511</v>
      </c>
      <c r="I635" s="41">
        <f>SUMIF('Quarterly Plant Model'!$I$2:$V$2,'Plant model'!I$2,'Quarterly Plant Model'!$I635:$V635)</f>
        <v>0</v>
      </c>
      <c r="J635" s="41">
        <f>SUMIF('Quarterly Plant Model'!$I$2:$V$2,'Plant model'!J$2,'Quarterly Plant Model'!$I635:$V635)</f>
        <v>0</v>
      </c>
      <c r="K635" s="41">
        <f>SUMIF('Quarterly Plant Model'!$I$2:$V$2,'Plant model'!K$2,'Quarterly Plant Model'!$I635:$V635)</f>
        <v>0.1523759144758125</v>
      </c>
      <c r="L635" s="41">
        <f>SUMIF('Quarterly Plant Model'!$I$2:$V$2,'Plant model'!L$2,'Quarterly Plant Model'!$I635:$V635)</f>
        <v>0.2438014631613</v>
      </c>
      <c r="M635" s="52">
        <f t="shared" ref="M635:AE635" si="571">M168*M104*$E$606</f>
        <v>0.48760292632259999</v>
      </c>
      <c r="N635" s="52">
        <f t="shared" si="571"/>
        <v>0.48760292632259999</v>
      </c>
      <c r="O635" s="52">
        <f t="shared" si="571"/>
        <v>0.48760292632259999</v>
      </c>
      <c r="P635" s="52">
        <f t="shared" si="571"/>
        <v>0.48760292632259999</v>
      </c>
      <c r="Q635" s="52">
        <f t="shared" si="571"/>
        <v>0.48760292632259999</v>
      </c>
      <c r="R635" s="52">
        <f t="shared" si="571"/>
        <v>0.48760292632259999</v>
      </c>
      <c r="S635" s="52">
        <f t="shared" si="571"/>
        <v>0.48760292632259999</v>
      </c>
      <c r="T635" s="52">
        <f t="shared" si="571"/>
        <v>0.48760292632259999</v>
      </c>
      <c r="U635" s="52">
        <f t="shared" si="571"/>
        <v>0.48760292632259999</v>
      </c>
      <c r="V635" s="52">
        <f t="shared" si="571"/>
        <v>0.48760292632259999</v>
      </c>
      <c r="W635" s="52">
        <f t="shared" si="571"/>
        <v>0.48760292632259999</v>
      </c>
      <c r="X635" s="52">
        <f t="shared" si="571"/>
        <v>0.48760292632259999</v>
      </c>
      <c r="Y635" s="52">
        <f t="shared" si="571"/>
        <v>0.48760292632259999</v>
      </c>
      <c r="Z635" s="52">
        <f t="shared" si="571"/>
        <v>0.48760292632259999</v>
      </c>
      <c r="AA635" s="52">
        <f t="shared" si="571"/>
        <v>0.48760292632259999</v>
      </c>
      <c r="AB635" s="52">
        <f t="shared" si="571"/>
        <v>0.48760292632259999</v>
      </c>
      <c r="AC635" s="52">
        <f t="shared" si="571"/>
        <v>0.48760292632259999</v>
      </c>
      <c r="AD635" s="52">
        <f t="shared" si="571"/>
        <v>0.48760292632259999</v>
      </c>
      <c r="AE635" s="52">
        <f t="shared" si="571"/>
        <v>0.48760292632259999</v>
      </c>
    </row>
    <row r="636" spans="2:32" x14ac:dyDescent="0.2">
      <c r="C636" s="5" t="str">
        <f t="shared" si="568"/>
        <v>Refractories (EAF)</v>
      </c>
      <c r="D636" s="5"/>
      <c r="F636" s="1" t="s">
        <v>55</v>
      </c>
      <c r="G636" s="21">
        <f t="shared" si="569"/>
        <v>56.827252810391236</v>
      </c>
      <c r="H636" s="5"/>
      <c r="I636" s="41">
        <f>SUMIF('Quarterly Plant Model'!$I$2:$V$2,'Plant model'!I$2,'Quarterly Plant Model'!$I636:$V636)</f>
        <v>0</v>
      </c>
      <c r="J636" s="41">
        <f>SUMIF('Quarterly Plant Model'!$I$2:$V$2,'Plant model'!J$2,'Quarterly Plant Model'!$I636:$V636)</f>
        <v>0</v>
      </c>
      <c r="K636" s="41">
        <f>SUMIF('Quarterly Plant Model'!$I$2:$V$2,'Plant model'!K$2,'Quarterly Plant Model'!$I636:$V636)</f>
        <v>0.89632890868124981</v>
      </c>
      <c r="L636" s="41">
        <f>SUMIF('Quarterly Plant Model'!$I$2:$V$2,'Plant model'!L$2,'Quarterly Plant Model'!$I636:$V636)</f>
        <v>1.4341262538899997</v>
      </c>
      <c r="M636" s="21">
        <f t="shared" ref="M636:AE636" si="572">M169*M604*M$104</f>
        <v>2.8682525077799994</v>
      </c>
      <c r="N636" s="21">
        <f t="shared" si="572"/>
        <v>2.8682525077799994</v>
      </c>
      <c r="O636" s="21">
        <f t="shared" si="572"/>
        <v>2.8682525077799994</v>
      </c>
      <c r="P636" s="21">
        <f t="shared" si="572"/>
        <v>2.8682525077799994</v>
      </c>
      <c r="Q636" s="21">
        <f t="shared" si="572"/>
        <v>2.8682525077799994</v>
      </c>
      <c r="R636" s="21">
        <f t="shared" si="572"/>
        <v>2.8682525077799994</v>
      </c>
      <c r="S636" s="21">
        <f t="shared" si="572"/>
        <v>2.8682525077799994</v>
      </c>
      <c r="T636" s="21">
        <f t="shared" si="572"/>
        <v>2.8682525077799994</v>
      </c>
      <c r="U636" s="21">
        <f t="shared" si="572"/>
        <v>2.8682525077799994</v>
      </c>
      <c r="V636" s="21">
        <f t="shared" si="572"/>
        <v>2.8682525077799994</v>
      </c>
      <c r="W636" s="21">
        <f t="shared" si="572"/>
        <v>2.8682525077799994</v>
      </c>
      <c r="X636" s="21">
        <f t="shared" si="572"/>
        <v>2.8682525077799994</v>
      </c>
      <c r="Y636" s="21">
        <f t="shared" si="572"/>
        <v>2.8682525077799994</v>
      </c>
      <c r="Z636" s="21">
        <f t="shared" si="572"/>
        <v>2.8682525077799994</v>
      </c>
      <c r="AA636" s="21">
        <f t="shared" si="572"/>
        <v>2.8682525077799994</v>
      </c>
      <c r="AB636" s="21">
        <f t="shared" si="572"/>
        <v>2.8682525077799994</v>
      </c>
      <c r="AC636" s="21">
        <f t="shared" si="572"/>
        <v>2.8682525077799994</v>
      </c>
      <c r="AD636" s="21">
        <f t="shared" si="572"/>
        <v>2.8682525077799994</v>
      </c>
      <c r="AE636" s="21">
        <f t="shared" si="572"/>
        <v>2.8682525077799994</v>
      </c>
      <c r="AF636" s="1"/>
    </row>
    <row r="637" spans="2:32" x14ac:dyDescent="0.2">
      <c r="C637" s="5" t="str">
        <f t="shared" si="568"/>
        <v>Refractories (ladles)</v>
      </c>
      <c r="D637" s="5"/>
      <c r="F637" s="1" t="s">
        <v>55</v>
      </c>
      <c r="G637" s="21">
        <f t="shared" si="569"/>
        <v>19.321265955533022</v>
      </c>
      <c r="H637" s="5"/>
      <c r="I637" s="41">
        <f>SUMIF('Quarterly Plant Model'!$I$2:$V$2,'Plant model'!I$2,'Quarterly Plant Model'!$I637:$V637)</f>
        <v>0</v>
      </c>
      <c r="J637" s="41">
        <f>SUMIF('Quarterly Plant Model'!$I$2:$V$2,'Plant model'!J$2,'Quarterly Plant Model'!$I637:$V637)</f>
        <v>0</v>
      </c>
      <c r="K637" s="41">
        <f>SUMIF('Quarterly Plant Model'!$I$2:$V$2,'Plant model'!K$2,'Quarterly Plant Model'!$I637:$V637)</f>
        <v>0.304751828951625</v>
      </c>
      <c r="L637" s="41">
        <f>SUMIF('Quarterly Plant Model'!$I$2:$V$2,'Plant model'!L$2,'Quarterly Plant Model'!$I637:$V637)</f>
        <v>0.48760292632259999</v>
      </c>
      <c r="M637" s="21">
        <f t="shared" ref="M637:AE637" si="573">M170*M605*M$104</f>
        <v>0.97520585264519999</v>
      </c>
      <c r="N637" s="21">
        <f t="shared" si="573"/>
        <v>0.97520585264519999</v>
      </c>
      <c r="O637" s="21">
        <f t="shared" si="573"/>
        <v>0.97520585264519999</v>
      </c>
      <c r="P637" s="21">
        <f t="shared" si="573"/>
        <v>0.97520585264519999</v>
      </c>
      <c r="Q637" s="21">
        <f t="shared" si="573"/>
        <v>0.97520585264519999</v>
      </c>
      <c r="R637" s="21">
        <f t="shared" si="573"/>
        <v>0.97520585264519999</v>
      </c>
      <c r="S637" s="21">
        <f t="shared" si="573"/>
        <v>0.97520585264519999</v>
      </c>
      <c r="T637" s="21">
        <f t="shared" si="573"/>
        <v>0.97520585264519999</v>
      </c>
      <c r="U637" s="21">
        <f t="shared" si="573"/>
        <v>0.97520585264519999</v>
      </c>
      <c r="V637" s="21">
        <f t="shared" si="573"/>
        <v>0.97520585264519999</v>
      </c>
      <c r="W637" s="21">
        <f t="shared" si="573"/>
        <v>0.97520585264519999</v>
      </c>
      <c r="X637" s="21">
        <f t="shared" si="573"/>
        <v>0.97520585264519999</v>
      </c>
      <c r="Y637" s="21">
        <f t="shared" si="573"/>
        <v>0.97520585264519999</v>
      </c>
      <c r="Z637" s="21">
        <f t="shared" si="573"/>
        <v>0.97520585264519999</v>
      </c>
      <c r="AA637" s="21">
        <f t="shared" si="573"/>
        <v>0.97520585264519999</v>
      </c>
      <c r="AB637" s="21">
        <f t="shared" si="573"/>
        <v>0.97520585264519999</v>
      </c>
      <c r="AC637" s="21">
        <f t="shared" si="573"/>
        <v>0.97520585264519999</v>
      </c>
      <c r="AD637" s="21">
        <f t="shared" si="573"/>
        <v>0.97520585264519999</v>
      </c>
      <c r="AE637" s="21">
        <f t="shared" si="573"/>
        <v>0.97520585264519999</v>
      </c>
      <c r="AF637" s="1"/>
    </row>
    <row r="638" spans="2:32" x14ac:dyDescent="0.2">
      <c r="C638" s="5" t="str">
        <f t="shared" si="568"/>
        <v>Mold spray coating</v>
      </c>
      <c r="D638" s="5"/>
      <c r="F638" s="1" t="s">
        <v>55</v>
      </c>
      <c r="G638" s="21">
        <f t="shared" si="569"/>
        <v>0.14737999999999996</v>
      </c>
      <c r="H638" s="5"/>
      <c r="I638" s="41">
        <f>SUMIF('Quarterly Plant Model'!$I$2:$V$2,'Plant model'!I$2,'Quarterly Plant Model'!$I638:$V638)</f>
        <v>0</v>
      </c>
      <c r="J638" s="41">
        <f>SUMIF('Quarterly Plant Model'!$I$2:$V$2,'Plant model'!J$2,'Quarterly Plant Model'!$I638:$V638)</f>
        <v>0</v>
      </c>
      <c r="K638" s="41">
        <f>SUMIF('Quarterly Plant Model'!$I$2:$V$2,'Plant model'!K$2,'Quarterly Plant Model'!$I638:$V638)</f>
        <v>3.6844999999999998E-3</v>
      </c>
      <c r="L638" s="41">
        <f>SUMIF('Quarterly Plant Model'!$I$2:$V$2,'Plant model'!L$2,'Quarterly Plant Model'!$I638:$V638)</f>
        <v>3.6844999999999998E-3</v>
      </c>
      <c r="M638" s="21">
        <f t="shared" ref="M638:AE638" si="574">M171</f>
        <v>7.3689999999999997E-3</v>
      </c>
      <c r="N638" s="21">
        <f t="shared" si="574"/>
        <v>7.3689999999999997E-3</v>
      </c>
      <c r="O638" s="21">
        <f t="shared" si="574"/>
        <v>7.3689999999999997E-3</v>
      </c>
      <c r="P638" s="21">
        <f t="shared" si="574"/>
        <v>7.3689999999999997E-3</v>
      </c>
      <c r="Q638" s="21">
        <f t="shared" si="574"/>
        <v>7.3689999999999997E-3</v>
      </c>
      <c r="R638" s="21">
        <f t="shared" si="574"/>
        <v>7.3689999999999997E-3</v>
      </c>
      <c r="S638" s="21">
        <f t="shared" si="574"/>
        <v>7.3689999999999997E-3</v>
      </c>
      <c r="T638" s="21">
        <f t="shared" si="574"/>
        <v>7.3689999999999997E-3</v>
      </c>
      <c r="U638" s="21">
        <f t="shared" si="574"/>
        <v>7.3689999999999997E-3</v>
      </c>
      <c r="V638" s="21">
        <f t="shared" si="574"/>
        <v>7.3689999999999997E-3</v>
      </c>
      <c r="W638" s="21">
        <f t="shared" si="574"/>
        <v>7.3689999999999997E-3</v>
      </c>
      <c r="X638" s="21">
        <f t="shared" si="574"/>
        <v>7.3689999999999997E-3</v>
      </c>
      <c r="Y638" s="21">
        <f t="shared" si="574"/>
        <v>7.3689999999999997E-3</v>
      </c>
      <c r="Z638" s="21">
        <f t="shared" si="574"/>
        <v>7.3689999999999997E-3</v>
      </c>
      <c r="AA638" s="21">
        <f t="shared" si="574"/>
        <v>7.3689999999999997E-3</v>
      </c>
      <c r="AB638" s="21">
        <f t="shared" si="574"/>
        <v>7.3689999999999997E-3</v>
      </c>
      <c r="AC638" s="21">
        <f t="shared" si="574"/>
        <v>7.3689999999999997E-3</v>
      </c>
      <c r="AD638" s="21">
        <f t="shared" si="574"/>
        <v>7.3689999999999997E-3</v>
      </c>
      <c r="AE638" s="21">
        <f t="shared" si="574"/>
        <v>7.3689999999999997E-3</v>
      </c>
      <c r="AF638" s="1"/>
    </row>
    <row r="639" spans="2:32" x14ac:dyDescent="0.2">
      <c r="C639" s="5" t="str">
        <f t="shared" si="568"/>
        <v>Electricity operations</v>
      </c>
      <c r="D639" s="5"/>
      <c r="F639" s="1" t="s">
        <v>55</v>
      </c>
      <c r="G639" s="21">
        <f t="shared" si="569"/>
        <v>0.14217780511326789</v>
      </c>
      <c r="H639" s="5"/>
      <c r="I639" s="41">
        <f>SUMIF('Quarterly Plant Model'!$I$2:$V$2,'Plant model'!I$2,'Quarterly Plant Model'!$I639:$V639)</f>
        <v>0</v>
      </c>
      <c r="J639" s="41">
        <f>SUMIF('Quarterly Plant Model'!$I$2:$V$2,'Plant model'!J$2,'Quarterly Plant Model'!$I639:$V639)</f>
        <v>0</v>
      </c>
      <c r="K639" s="41">
        <f>SUMIF('Quarterly Plant Model'!$I$2:$V$2,'Plant model'!K$2,'Quarterly Plant Model'!$I639:$V639)</f>
        <v>1.9161429260548236E-3</v>
      </c>
      <c r="L639" s="41">
        <f>SUMIF('Quarterly Plant Model'!$I$2:$V$2,'Plant model'!L$2,'Quarterly Plant Model'!$I639:$V639)</f>
        <v>3.0658286816877176E-3</v>
      </c>
      <c r="M639" s="21">
        <f t="shared" ref="M639:AE639" si="575">M172*M596*M$104</f>
        <v>6.1316573633754352E-3</v>
      </c>
      <c r="N639" s="21">
        <f t="shared" si="575"/>
        <v>6.1316573633754352E-3</v>
      </c>
      <c r="O639" s="21">
        <f t="shared" si="575"/>
        <v>6.1316573633754352E-3</v>
      </c>
      <c r="P639" s="21">
        <f t="shared" si="575"/>
        <v>6.1316573633754352E-3</v>
      </c>
      <c r="Q639" s="21">
        <f t="shared" si="575"/>
        <v>6.5148859485863993E-3</v>
      </c>
      <c r="R639" s="21">
        <f t="shared" si="575"/>
        <v>6.8981145337973643E-3</v>
      </c>
      <c r="S639" s="21">
        <f t="shared" si="575"/>
        <v>7.2813431190083284E-3</v>
      </c>
      <c r="T639" s="21">
        <f t="shared" si="575"/>
        <v>7.6645717042192942E-3</v>
      </c>
      <c r="U639" s="21">
        <f t="shared" si="575"/>
        <v>7.6645717042192942E-3</v>
      </c>
      <c r="V639" s="21">
        <f t="shared" si="575"/>
        <v>7.6645717042192942E-3</v>
      </c>
      <c r="W639" s="21">
        <f t="shared" si="575"/>
        <v>7.6645717042192942E-3</v>
      </c>
      <c r="X639" s="21">
        <f t="shared" si="575"/>
        <v>7.6645717042192942E-3</v>
      </c>
      <c r="Y639" s="21">
        <f t="shared" si="575"/>
        <v>7.6645717042192942E-3</v>
      </c>
      <c r="Z639" s="21">
        <f t="shared" si="575"/>
        <v>7.6645717042192942E-3</v>
      </c>
      <c r="AA639" s="21">
        <f t="shared" si="575"/>
        <v>7.6645717042192942E-3</v>
      </c>
      <c r="AB639" s="21">
        <f t="shared" si="575"/>
        <v>7.6645717042192942E-3</v>
      </c>
      <c r="AC639" s="21">
        <f t="shared" si="575"/>
        <v>7.6645717042192942E-3</v>
      </c>
      <c r="AD639" s="21">
        <f t="shared" si="575"/>
        <v>7.6645717042192942E-3</v>
      </c>
      <c r="AE639" s="21">
        <f t="shared" si="575"/>
        <v>7.6645717042192942E-3</v>
      </c>
      <c r="AF639" s="1"/>
    </row>
    <row r="640" spans="2:32" x14ac:dyDescent="0.2">
      <c r="C640" s="5" t="str">
        <f t="shared" si="568"/>
        <v>Electricity conversion</v>
      </c>
      <c r="D640" s="5"/>
      <c r="F640" s="1" t="s">
        <v>55</v>
      </c>
      <c r="G640" s="21">
        <f t="shared" si="569"/>
        <v>132.94353235802103</v>
      </c>
      <c r="H640" s="5"/>
      <c r="I640" s="41">
        <f>SUMIF('Quarterly Plant Model'!$I$2:$V$2,'Plant model'!I$2,'Quarterly Plant Model'!$I640:$V640)</f>
        <v>0</v>
      </c>
      <c r="J640" s="41">
        <f>SUMIF('Quarterly Plant Model'!$I$2:$V$2,'Plant model'!J$2,'Quarterly Plant Model'!$I640:$V640)</f>
        <v>0</v>
      </c>
      <c r="K640" s="41">
        <f>SUMIF('Quarterly Plant Model'!$I$2:$V$2,'Plant model'!K$2,'Quarterly Plant Model'!$I640:$V640)</f>
        <v>1.7916918107550002</v>
      </c>
      <c r="L640" s="41">
        <f>SUMIF('Quarterly Plant Model'!$I$2:$V$2,'Plant model'!L$2,'Quarterly Plant Model'!$I640:$V640)</f>
        <v>2.8667068972080001</v>
      </c>
      <c r="M640" s="21">
        <f t="shared" ref="M640:AE640" si="576">M173*M596*M$104</f>
        <v>5.7334137944160002</v>
      </c>
      <c r="N640" s="21">
        <f t="shared" si="576"/>
        <v>5.7334137944160002</v>
      </c>
      <c r="O640" s="21">
        <f t="shared" si="576"/>
        <v>5.7334137944160002</v>
      </c>
      <c r="P640" s="21">
        <f t="shared" si="576"/>
        <v>5.7334137944160002</v>
      </c>
      <c r="Q640" s="21">
        <f t="shared" si="576"/>
        <v>6.0917521565669999</v>
      </c>
      <c r="R640" s="21">
        <f t="shared" si="576"/>
        <v>6.4500905187179995</v>
      </c>
      <c r="S640" s="21">
        <f t="shared" si="576"/>
        <v>6.8084288808689992</v>
      </c>
      <c r="T640" s="21">
        <f t="shared" si="576"/>
        <v>7.1667672430199989</v>
      </c>
      <c r="U640" s="21">
        <f t="shared" si="576"/>
        <v>7.1667672430199989</v>
      </c>
      <c r="V640" s="21">
        <f t="shared" si="576"/>
        <v>7.1667672430199989</v>
      </c>
      <c r="W640" s="21">
        <f t="shared" si="576"/>
        <v>7.1667672430199989</v>
      </c>
      <c r="X640" s="21">
        <f t="shared" si="576"/>
        <v>7.1667672430199989</v>
      </c>
      <c r="Y640" s="21">
        <f t="shared" si="576"/>
        <v>7.1667672430199989</v>
      </c>
      <c r="Z640" s="21">
        <f t="shared" si="576"/>
        <v>7.1667672430199989</v>
      </c>
      <c r="AA640" s="21">
        <f t="shared" si="576"/>
        <v>7.1667672430199989</v>
      </c>
      <c r="AB640" s="21">
        <f t="shared" si="576"/>
        <v>7.1667672430199989</v>
      </c>
      <c r="AC640" s="21">
        <f t="shared" si="576"/>
        <v>7.1667672430199989</v>
      </c>
      <c r="AD640" s="21">
        <f t="shared" si="576"/>
        <v>7.1667672430199989</v>
      </c>
      <c r="AE640" s="21">
        <f t="shared" si="576"/>
        <v>7.1667672430199989</v>
      </c>
      <c r="AF640" s="1"/>
    </row>
    <row r="641" spans="2:32" x14ac:dyDescent="0.2">
      <c r="C641" s="5" t="str">
        <f t="shared" si="568"/>
        <v>Slag processing</v>
      </c>
      <c r="D641" s="5"/>
      <c r="F641" s="1" t="s">
        <v>55</v>
      </c>
      <c r="G641" s="21">
        <f t="shared" si="569"/>
        <v>27.280594222736653</v>
      </c>
      <c r="H641" s="5"/>
      <c r="I641" s="41">
        <f>SUMIF('Quarterly Plant Model'!$I$2:$V$2,'Plant model'!I$2,'Quarterly Plant Model'!$I641:$V641)</f>
        <v>0</v>
      </c>
      <c r="J641" s="41">
        <f>SUMIF('Quarterly Plant Model'!$I$2:$V$2,'Plant model'!J$2,'Quarterly Plant Model'!$I641:$V641)</f>
        <v>0</v>
      </c>
      <c r="K641" s="41">
        <f>SUMIF('Quarterly Plant Model'!$I$2:$V$2,'Plant model'!K$2,'Quarterly Plant Model'!$I641:$V641)</f>
        <v>0.43029328427029412</v>
      </c>
      <c r="L641" s="41">
        <f>SUMIF('Quarterly Plant Model'!$I$2:$V$2,'Plant model'!L$2,'Quarterly Plant Model'!$I641:$V641)</f>
        <v>0.68846925483247057</v>
      </c>
      <c r="M641" s="21">
        <f t="shared" ref="M641:AE641" si="577">M174*M104</f>
        <v>1.3769385096649411</v>
      </c>
      <c r="N641" s="21">
        <f t="shared" si="577"/>
        <v>1.3769385096649411</v>
      </c>
      <c r="O641" s="21">
        <f t="shared" si="577"/>
        <v>1.3769385096649411</v>
      </c>
      <c r="P641" s="21">
        <f t="shared" si="577"/>
        <v>1.3769385096649411</v>
      </c>
      <c r="Q641" s="21">
        <f t="shared" si="577"/>
        <v>1.3769385096649411</v>
      </c>
      <c r="R641" s="21">
        <f t="shared" si="577"/>
        <v>1.3769385096649411</v>
      </c>
      <c r="S641" s="21">
        <f t="shared" si="577"/>
        <v>1.3769385096649411</v>
      </c>
      <c r="T641" s="21">
        <f t="shared" si="577"/>
        <v>1.3769385096649411</v>
      </c>
      <c r="U641" s="21">
        <f t="shared" si="577"/>
        <v>1.3769385096649411</v>
      </c>
      <c r="V641" s="21">
        <f t="shared" si="577"/>
        <v>1.3769385096649411</v>
      </c>
      <c r="W641" s="21">
        <f t="shared" si="577"/>
        <v>1.3769385096649411</v>
      </c>
      <c r="X641" s="21">
        <f t="shared" si="577"/>
        <v>1.3769385096649411</v>
      </c>
      <c r="Y641" s="21">
        <f t="shared" si="577"/>
        <v>1.3769385096649411</v>
      </c>
      <c r="Z641" s="21">
        <f t="shared" si="577"/>
        <v>1.3769385096649411</v>
      </c>
      <c r="AA641" s="21">
        <f t="shared" si="577"/>
        <v>1.3769385096649411</v>
      </c>
      <c r="AB641" s="21">
        <f t="shared" si="577"/>
        <v>1.3769385096649411</v>
      </c>
      <c r="AC641" s="21">
        <f t="shared" si="577"/>
        <v>1.3769385096649411</v>
      </c>
      <c r="AD641" s="21">
        <f t="shared" si="577"/>
        <v>1.3769385096649411</v>
      </c>
      <c r="AE641" s="21">
        <f t="shared" si="577"/>
        <v>1.3769385096649411</v>
      </c>
      <c r="AF641" s="1"/>
    </row>
    <row r="642" spans="2:32" x14ac:dyDescent="0.2">
      <c r="C642" s="5" t="str">
        <f t="shared" si="568"/>
        <v>Other gases and supplies</v>
      </c>
      <c r="D642" s="5"/>
      <c r="F642" s="1" t="s">
        <v>55</v>
      </c>
      <c r="G642" s="21">
        <f t="shared" si="569"/>
        <v>1.6000000000000003</v>
      </c>
      <c r="H642" s="5"/>
      <c r="I642" s="41">
        <f>SUMIF('Quarterly Plant Model'!$I$2:$V$2,'Plant model'!I$2,'Quarterly Plant Model'!$I642:$V642)</f>
        <v>0</v>
      </c>
      <c r="J642" s="41">
        <f>SUMIF('Quarterly Plant Model'!$I$2:$V$2,'Plant model'!J$2,'Quarterly Plant Model'!$I642:$V642)</f>
        <v>0</v>
      </c>
      <c r="K642" s="41">
        <f>SUMIF('Quarterly Plant Model'!$I$2:$V$2,'Plant model'!K$2,'Quarterly Plant Model'!$I642:$V642)</f>
        <v>0.04</v>
      </c>
      <c r="L642" s="41">
        <f>SUMIF('Quarterly Plant Model'!$I$2:$V$2,'Plant model'!L$2,'Quarterly Plant Model'!$I642:$V642)</f>
        <v>0.04</v>
      </c>
      <c r="M642" s="21">
        <f t="shared" ref="M642:AE642" si="578">M175</f>
        <v>0.08</v>
      </c>
      <c r="N642" s="21">
        <f t="shared" si="578"/>
        <v>0.08</v>
      </c>
      <c r="O642" s="21">
        <f t="shared" si="578"/>
        <v>0.08</v>
      </c>
      <c r="P642" s="21">
        <f t="shared" si="578"/>
        <v>0.08</v>
      </c>
      <c r="Q642" s="21">
        <f t="shared" si="578"/>
        <v>0.08</v>
      </c>
      <c r="R642" s="21">
        <f t="shared" si="578"/>
        <v>0.08</v>
      </c>
      <c r="S642" s="21">
        <f t="shared" si="578"/>
        <v>0.08</v>
      </c>
      <c r="T642" s="21">
        <f t="shared" si="578"/>
        <v>0.08</v>
      </c>
      <c r="U642" s="21">
        <f t="shared" si="578"/>
        <v>0.08</v>
      </c>
      <c r="V642" s="21">
        <f t="shared" si="578"/>
        <v>0.08</v>
      </c>
      <c r="W642" s="21">
        <f t="shared" si="578"/>
        <v>0.08</v>
      </c>
      <c r="X642" s="21">
        <f t="shared" si="578"/>
        <v>0.08</v>
      </c>
      <c r="Y642" s="21">
        <f t="shared" si="578"/>
        <v>0.08</v>
      </c>
      <c r="Z642" s="21">
        <f t="shared" si="578"/>
        <v>0.08</v>
      </c>
      <c r="AA642" s="21">
        <f t="shared" si="578"/>
        <v>0.08</v>
      </c>
      <c r="AB642" s="21">
        <f t="shared" si="578"/>
        <v>0.08</v>
      </c>
      <c r="AC642" s="21">
        <f t="shared" si="578"/>
        <v>0.08</v>
      </c>
      <c r="AD642" s="21">
        <f t="shared" si="578"/>
        <v>0.08</v>
      </c>
      <c r="AE642" s="21">
        <f t="shared" si="578"/>
        <v>0.08</v>
      </c>
      <c r="AF642" s="1"/>
    </row>
    <row r="643" spans="2:32" x14ac:dyDescent="0.2">
      <c r="C643" s="5" t="str">
        <f t="shared" si="568"/>
        <v>Maintenance supplies</v>
      </c>
      <c r="D643" s="5"/>
      <c r="F643" s="1" t="s">
        <v>55</v>
      </c>
      <c r="G643" s="21">
        <f t="shared" si="569"/>
        <v>2.8875600000000015</v>
      </c>
      <c r="H643" s="5"/>
      <c r="I643" s="41">
        <f>SUMIF('Quarterly Plant Model'!$I$2:$V$2,'Plant model'!I$2,'Quarterly Plant Model'!$I643:$V643)</f>
        <v>0</v>
      </c>
      <c r="J643" s="41">
        <f>SUMIF('Quarterly Plant Model'!$I$2:$V$2,'Plant model'!J$2,'Quarterly Plant Model'!$I643:$V643)</f>
        <v>0</v>
      </c>
      <c r="K643" s="41">
        <f>SUMIF('Quarterly Plant Model'!$I$2:$V$2,'Plant model'!K$2,'Quarterly Plant Model'!$I643:$V643)</f>
        <v>7.2189000000000003E-2</v>
      </c>
      <c r="L643" s="41">
        <f>SUMIF('Quarterly Plant Model'!$I$2:$V$2,'Plant model'!L$2,'Quarterly Plant Model'!$I643:$V643)</f>
        <v>7.2189000000000003E-2</v>
      </c>
      <c r="M643" s="21">
        <f t="shared" ref="M643:AE643" si="579">M176</f>
        <v>0.14437800000000001</v>
      </c>
      <c r="N643" s="21">
        <f t="shared" si="579"/>
        <v>0.14437800000000001</v>
      </c>
      <c r="O643" s="21">
        <f t="shared" si="579"/>
        <v>0.14437800000000001</v>
      </c>
      <c r="P643" s="21">
        <f t="shared" si="579"/>
        <v>0.14437800000000001</v>
      </c>
      <c r="Q643" s="21">
        <f t="shared" si="579"/>
        <v>0.14437800000000001</v>
      </c>
      <c r="R643" s="21">
        <f t="shared" si="579"/>
        <v>0.14437800000000001</v>
      </c>
      <c r="S643" s="21">
        <f t="shared" si="579"/>
        <v>0.14437800000000001</v>
      </c>
      <c r="T643" s="21">
        <f t="shared" si="579"/>
        <v>0.14437800000000001</v>
      </c>
      <c r="U643" s="21">
        <f t="shared" si="579"/>
        <v>0.14437800000000001</v>
      </c>
      <c r="V643" s="21">
        <f t="shared" si="579"/>
        <v>0.14437800000000001</v>
      </c>
      <c r="W643" s="21">
        <f t="shared" si="579"/>
        <v>0.14437800000000001</v>
      </c>
      <c r="X643" s="21">
        <f t="shared" si="579"/>
        <v>0.14437800000000001</v>
      </c>
      <c r="Y643" s="21">
        <f t="shared" si="579"/>
        <v>0.14437800000000001</v>
      </c>
      <c r="Z643" s="21">
        <f t="shared" si="579"/>
        <v>0.14437800000000001</v>
      </c>
      <c r="AA643" s="21">
        <f t="shared" si="579"/>
        <v>0.14437800000000001</v>
      </c>
      <c r="AB643" s="21">
        <f t="shared" si="579"/>
        <v>0.14437800000000001</v>
      </c>
      <c r="AC643" s="21">
        <f t="shared" si="579"/>
        <v>0.14437800000000001</v>
      </c>
      <c r="AD643" s="21">
        <f t="shared" si="579"/>
        <v>0.14437800000000001</v>
      </c>
      <c r="AE643" s="21">
        <f t="shared" si="579"/>
        <v>0.14437800000000001</v>
      </c>
      <c r="AF643" s="1"/>
    </row>
    <row r="644" spans="2:32" x14ac:dyDescent="0.2">
      <c r="C644" s="20" t="s">
        <v>45</v>
      </c>
      <c r="D644" s="5"/>
      <c r="F644" s="9" t="s">
        <v>55</v>
      </c>
      <c r="G644" s="44">
        <f t="shared" si="569"/>
        <v>457.02190762956172</v>
      </c>
      <c r="H644" s="5"/>
      <c r="I644" s="44">
        <f t="shared" ref="I644:AE644" si="580">SUM(I634:I643)</f>
        <v>0</v>
      </c>
      <c r="J644" s="44">
        <f t="shared" si="580"/>
        <v>0</v>
      </c>
      <c r="K644" s="44">
        <f t="shared" si="580"/>
        <v>6.9457788900600361</v>
      </c>
      <c r="L644" s="44">
        <f t="shared" si="580"/>
        <v>11.043722124096057</v>
      </c>
      <c r="M644" s="44">
        <f t="shared" si="580"/>
        <v>22.087444248192114</v>
      </c>
      <c r="N644" s="44">
        <f t="shared" si="580"/>
        <v>22.087444248192114</v>
      </c>
      <c r="O644" s="44">
        <f t="shared" si="580"/>
        <v>22.087444248192114</v>
      </c>
      <c r="P644" s="44">
        <f t="shared" si="580"/>
        <v>22.087444248192114</v>
      </c>
      <c r="Q644" s="44">
        <f t="shared" si="580"/>
        <v>22.446165838928327</v>
      </c>
      <c r="R644" s="44">
        <f t="shared" si="580"/>
        <v>22.804887429664536</v>
      </c>
      <c r="S644" s="44">
        <f t="shared" si="580"/>
        <v>23.163609020400745</v>
      </c>
      <c r="T644" s="44">
        <f t="shared" si="580"/>
        <v>23.522330611136958</v>
      </c>
      <c r="U644" s="44">
        <f t="shared" si="580"/>
        <v>23.522330611136958</v>
      </c>
      <c r="V644" s="44">
        <f t="shared" si="580"/>
        <v>23.522330611136958</v>
      </c>
      <c r="W644" s="44">
        <f t="shared" si="580"/>
        <v>23.522330611136958</v>
      </c>
      <c r="X644" s="44">
        <f t="shared" si="580"/>
        <v>23.522330611136958</v>
      </c>
      <c r="Y644" s="44">
        <f t="shared" si="580"/>
        <v>23.522330611136958</v>
      </c>
      <c r="Z644" s="44">
        <f t="shared" si="580"/>
        <v>23.522330611136958</v>
      </c>
      <c r="AA644" s="44">
        <f t="shared" si="580"/>
        <v>23.522330611136958</v>
      </c>
      <c r="AB644" s="44">
        <f t="shared" si="580"/>
        <v>23.522330611136958</v>
      </c>
      <c r="AC644" s="44">
        <f t="shared" si="580"/>
        <v>23.522330611136958</v>
      </c>
      <c r="AD644" s="44">
        <f t="shared" si="580"/>
        <v>23.522330611136958</v>
      </c>
      <c r="AE644" s="44">
        <f t="shared" si="580"/>
        <v>23.522330611136958</v>
      </c>
      <c r="AF644" s="1"/>
    </row>
    <row r="645" spans="2:32" x14ac:dyDescent="0.2">
      <c r="C645" s="5"/>
      <c r="D645" s="5"/>
      <c r="H645" s="5"/>
      <c r="AF645" s="1"/>
    </row>
    <row r="646" spans="2:32" x14ac:dyDescent="0.2">
      <c r="B646" s="24">
        <f>B632+0.01</f>
        <v>3.6499999999999995</v>
      </c>
      <c r="C646" s="20" t="str">
        <f>C178</f>
        <v>Auxiliaries</v>
      </c>
      <c r="D646" s="5"/>
      <c r="H646" s="5"/>
      <c r="AF646" s="1"/>
    </row>
    <row r="647" spans="2:32" x14ac:dyDescent="0.2">
      <c r="C647" s="5"/>
      <c r="D647" s="5"/>
      <c r="H647" s="5"/>
      <c r="AF647" s="1"/>
    </row>
    <row r="648" spans="2:32" x14ac:dyDescent="0.2">
      <c r="C648" s="5" t="str">
        <f>C180</f>
        <v>Maintenance supplies</v>
      </c>
      <c r="D648" s="5"/>
      <c r="F648" s="1" t="s">
        <v>55</v>
      </c>
      <c r="G648" s="21">
        <f t="shared" ref="G648:G652" si="581">SUM(I648:AE648)</f>
        <v>16.620099999999994</v>
      </c>
      <c r="H648" s="5"/>
      <c r="I648" s="41">
        <f>SUMIF('Quarterly Plant Model'!$I$2:$V$2,'Plant model'!I$2,'Quarterly Plant Model'!$I648:$V648)</f>
        <v>0</v>
      </c>
      <c r="J648" s="41">
        <f>SUMIF('Quarterly Plant Model'!$I$2:$V$2,'Plant model'!J$2,'Quarterly Plant Model'!$I648:$V648)</f>
        <v>0</v>
      </c>
      <c r="K648" s="41">
        <f>SUMIF('Quarterly Plant Model'!$I$2:$V$2,'Plant model'!K$2,'Quarterly Plant Model'!$I648:$V648)</f>
        <v>0.4155025</v>
      </c>
      <c r="L648" s="41">
        <f>SUMIF('Quarterly Plant Model'!$I$2:$V$2,'Plant model'!L$2,'Quarterly Plant Model'!$I648:$V648)</f>
        <v>0.4155025</v>
      </c>
      <c r="M648" s="21">
        <f t="shared" ref="M648:AE648" si="582">M180</f>
        <v>0.83100499999999999</v>
      </c>
      <c r="N648" s="21">
        <f t="shared" si="582"/>
        <v>0.83100499999999999</v>
      </c>
      <c r="O648" s="21">
        <f t="shared" si="582"/>
        <v>0.83100499999999999</v>
      </c>
      <c r="P648" s="21">
        <f t="shared" si="582"/>
        <v>0.83100499999999999</v>
      </c>
      <c r="Q648" s="21">
        <f t="shared" si="582"/>
        <v>0.83100499999999999</v>
      </c>
      <c r="R648" s="21">
        <f t="shared" si="582"/>
        <v>0.83100499999999999</v>
      </c>
      <c r="S648" s="21">
        <f t="shared" si="582"/>
        <v>0.83100499999999999</v>
      </c>
      <c r="T648" s="21">
        <f t="shared" si="582"/>
        <v>0.83100499999999999</v>
      </c>
      <c r="U648" s="21">
        <f t="shared" si="582"/>
        <v>0.83100499999999999</v>
      </c>
      <c r="V648" s="21">
        <f t="shared" si="582"/>
        <v>0.83100499999999999</v>
      </c>
      <c r="W648" s="21">
        <f t="shared" si="582"/>
        <v>0.83100499999999999</v>
      </c>
      <c r="X648" s="21">
        <f t="shared" si="582"/>
        <v>0.83100499999999999</v>
      </c>
      <c r="Y648" s="21">
        <f t="shared" si="582"/>
        <v>0.83100499999999999</v>
      </c>
      <c r="Z648" s="21">
        <f t="shared" si="582"/>
        <v>0.83100499999999999</v>
      </c>
      <c r="AA648" s="21">
        <f t="shared" si="582"/>
        <v>0.83100499999999999</v>
      </c>
      <c r="AB648" s="21">
        <f t="shared" si="582"/>
        <v>0.83100499999999999</v>
      </c>
      <c r="AC648" s="21">
        <f t="shared" si="582"/>
        <v>0.83100499999999999</v>
      </c>
      <c r="AD648" s="21">
        <f t="shared" si="582"/>
        <v>0.83100499999999999</v>
      </c>
      <c r="AE648" s="21">
        <f t="shared" si="582"/>
        <v>0.83100499999999999</v>
      </c>
      <c r="AF648" s="1"/>
    </row>
    <row r="649" spans="2:32" x14ac:dyDescent="0.2">
      <c r="C649" s="5" t="str">
        <f>C181</f>
        <v>General Services &amp; Mobile Equipment</v>
      </c>
      <c r="D649" s="5"/>
      <c r="F649" s="1" t="s">
        <v>55</v>
      </c>
      <c r="G649" s="21">
        <f t="shared" si="581"/>
        <v>15.036256046874996</v>
      </c>
      <c r="H649" s="5"/>
      <c r="I649" s="41">
        <f>SUMIF('Quarterly Plant Model'!$I$2:$V$2,'Plant model'!I$2,'Quarterly Plant Model'!$I649:$V649)</f>
        <v>0</v>
      </c>
      <c r="J649" s="41">
        <f>SUMIF('Quarterly Plant Model'!$I$2:$V$2,'Plant model'!J$2,'Quarterly Plant Model'!$I649:$V649)</f>
        <v>0</v>
      </c>
      <c r="K649" s="41">
        <f>SUMIF('Quarterly Plant Model'!$I$2:$V$2,'Plant model'!K$2,'Quarterly Plant Model'!$I649:$V649)</f>
        <v>0.23716492187499999</v>
      </c>
      <c r="L649" s="41">
        <f>SUMIF('Quarterly Plant Model'!$I$2:$V$2,'Plant model'!L$2,'Quarterly Plant Model'!$I649:$V649)</f>
        <v>0.37946387500000001</v>
      </c>
      <c r="M649" s="21">
        <f t="shared" ref="M649:AE649" si="583">M181*M$104</f>
        <v>0.75892775000000001</v>
      </c>
      <c r="N649" s="21">
        <f t="shared" si="583"/>
        <v>0.75892775000000001</v>
      </c>
      <c r="O649" s="21">
        <f t="shared" si="583"/>
        <v>0.75892775000000001</v>
      </c>
      <c r="P649" s="21">
        <f t="shared" si="583"/>
        <v>0.75892775000000001</v>
      </c>
      <c r="Q649" s="21">
        <f t="shared" si="583"/>
        <v>0.75892775000000001</v>
      </c>
      <c r="R649" s="21">
        <f t="shared" si="583"/>
        <v>0.75892775000000001</v>
      </c>
      <c r="S649" s="21">
        <f t="shared" si="583"/>
        <v>0.75892775000000001</v>
      </c>
      <c r="T649" s="21">
        <f t="shared" si="583"/>
        <v>0.75892775000000001</v>
      </c>
      <c r="U649" s="21">
        <f t="shared" si="583"/>
        <v>0.75892775000000001</v>
      </c>
      <c r="V649" s="21">
        <f t="shared" si="583"/>
        <v>0.75892775000000001</v>
      </c>
      <c r="W649" s="21">
        <f t="shared" si="583"/>
        <v>0.75892775000000001</v>
      </c>
      <c r="X649" s="21">
        <f t="shared" si="583"/>
        <v>0.75892775000000001</v>
      </c>
      <c r="Y649" s="21">
        <f t="shared" si="583"/>
        <v>0.75892775000000001</v>
      </c>
      <c r="Z649" s="21">
        <f t="shared" si="583"/>
        <v>0.75892775000000001</v>
      </c>
      <c r="AA649" s="21">
        <f t="shared" si="583"/>
        <v>0.75892775000000001</v>
      </c>
      <c r="AB649" s="21">
        <f t="shared" si="583"/>
        <v>0.75892775000000001</v>
      </c>
      <c r="AC649" s="21">
        <f t="shared" si="583"/>
        <v>0.75892775000000001</v>
      </c>
      <c r="AD649" s="21">
        <f t="shared" si="583"/>
        <v>0.75892775000000001</v>
      </c>
      <c r="AE649" s="21">
        <f t="shared" si="583"/>
        <v>0.75892775000000001</v>
      </c>
      <c r="AF649" s="1"/>
    </row>
    <row r="650" spans="2:32" x14ac:dyDescent="0.2">
      <c r="C650" s="5" t="str">
        <f>C182</f>
        <v>Industrial Water</v>
      </c>
      <c r="F650" s="1" t="s">
        <v>55</v>
      </c>
      <c r="G650" s="21">
        <f t="shared" si="581"/>
        <v>3.8022628628095414</v>
      </c>
      <c r="I650" s="41">
        <f>SUMIF('Quarterly Plant Model'!$I$2:$V$2,'Plant model'!I$2,'Quarterly Plant Model'!$I650:$V650)</f>
        <v>0</v>
      </c>
      <c r="J650" s="41">
        <f>SUMIF('Quarterly Plant Model'!$I$2:$V$2,'Plant model'!J$2,'Quarterly Plant Model'!$I650:$V650)</f>
        <v>0</v>
      </c>
      <c r="K650" s="41">
        <f>SUMIF('Quarterly Plant Model'!$I$2:$V$2,'Plant model'!K$2,'Quarterly Plant Model'!$I650:$V650)</f>
        <v>5.9972600359771935E-2</v>
      </c>
      <c r="L650" s="41">
        <f>SUMIF('Quarterly Plant Model'!$I$2:$V$2,'Plant model'!L$2,'Quarterly Plant Model'!$I650:$V650)</f>
        <v>9.5956160575635094E-2</v>
      </c>
      <c r="M650" s="21">
        <f t="shared" ref="M650:AE650" si="584">M597*M182*M104</f>
        <v>0.19191232115127019</v>
      </c>
      <c r="N650" s="21">
        <f t="shared" si="584"/>
        <v>0.19191232115127019</v>
      </c>
      <c r="O650" s="21">
        <f t="shared" si="584"/>
        <v>0.19191232115127019</v>
      </c>
      <c r="P650" s="21">
        <f t="shared" si="584"/>
        <v>0.19191232115127019</v>
      </c>
      <c r="Q650" s="21">
        <f t="shared" si="584"/>
        <v>0.19191232115127019</v>
      </c>
      <c r="R650" s="21">
        <f t="shared" si="584"/>
        <v>0.19191232115127019</v>
      </c>
      <c r="S650" s="21">
        <f t="shared" si="584"/>
        <v>0.19191232115127019</v>
      </c>
      <c r="T650" s="21">
        <f t="shared" si="584"/>
        <v>0.19191232115127019</v>
      </c>
      <c r="U650" s="21">
        <f t="shared" si="584"/>
        <v>0.19191232115127019</v>
      </c>
      <c r="V650" s="21">
        <f t="shared" si="584"/>
        <v>0.19191232115127019</v>
      </c>
      <c r="W650" s="21">
        <f t="shared" si="584"/>
        <v>0.19191232115127019</v>
      </c>
      <c r="X650" s="21">
        <f t="shared" si="584"/>
        <v>0.19191232115127019</v>
      </c>
      <c r="Y650" s="21">
        <f t="shared" si="584"/>
        <v>0.19191232115127019</v>
      </c>
      <c r="Z650" s="21">
        <f t="shared" si="584"/>
        <v>0.19191232115127019</v>
      </c>
      <c r="AA650" s="21">
        <f t="shared" si="584"/>
        <v>0.19191232115127019</v>
      </c>
      <c r="AB650" s="21">
        <f t="shared" si="584"/>
        <v>0.19191232115127019</v>
      </c>
      <c r="AC650" s="21">
        <f t="shared" si="584"/>
        <v>0.19191232115127019</v>
      </c>
      <c r="AD650" s="21">
        <f t="shared" si="584"/>
        <v>0.19191232115127019</v>
      </c>
      <c r="AE650" s="21">
        <f t="shared" si="584"/>
        <v>0.19191232115127019</v>
      </c>
    </row>
    <row r="651" spans="2:32" x14ac:dyDescent="0.2">
      <c r="C651" s="5" t="str">
        <f>C183</f>
        <v>Electricity</v>
      </c>
      <c r="D651" s="5"/>
      <c r="F651" s="1" t="s">
        <v>55</v>
      </c>
      <c r="G651" s="21">
        <f t="shared" si="581"/>
        <v>25.587533841043573</v>
      </c>
      <c r="H651" s="5"/>
      <c r="I651" s="41">
        <f>SUMIF('Quarterly Plant Model'!$I$2:$V$2,'Plant model'!I$2,'Quarterly Plant Model'!$I651:$V651)</f>
        <v>0</v>
      </c>
      <c r="J651" s="41">
        <f>SUMIF('Quarterly Plant Model'!$I$2:$V$2,'Plant model'!J$2,'Quarterly Plant Model'!$I651:$V651)</f>
        <v>0</v>
      </c>
      <c r="K651" s="41">
        <f>SUMIF('Quarterly Plant Model'!$I$2:$V$2,'Plant model'!K$2,'Quarterly Plant Model'!$I651:$V651)</f>
        <v>0.34484546955584328</v>
      </c>
      <c r="L651" s="41">
        <f>SUMIF('Quarterly Plant Model'!$I$2:$V$2,'Plant model'!L$2,'Quarterly Plant Model'!$I651:$V651)</f>
        <v>0.5517527512893492</v>
      </c>
      <c r="M651" s="21">
        <f t="shared" ref="M651:AE651" si="585">M183*M596*M$104</f>
        <v>1.1035055025786984</v>
      </c>
      <c r="N651" s="21">
        <f t="shared" si="585"/>
        <v>1.1035055025786984</v>
      </c>
      <c r="O651" s="21">
        <f t="shared" si="585"/>
        <v>1.1035055025786984</v>
      </c>
      <c r="P651" s="21">
        <f t="shared" si="585"/>
        <v>1.1035055025786984</v>
      </c>
      <c r="Q651" s="21">
        <f t="shared" si="585"/>
        <v>1.1724745964898671</v>
      </c>
      <c r="R651" s="21">
        <f t="shared" si="585"/>
        <v>1.2414436904010357</v>
      </c>
      <c r="S651" s="21">
        <f t="shared" si="585"/>
        <v>1.3104127843122042</v>
      </c>
      <c r="T651" s="21">
        <f t="shared" si="585"/>
        <v>1.3793818782233729</v>
      </c>
      <c r="U651" s="21">
        <f t="shared" si="585"/>
        <v>1.3793818782233729</v>
      </c>
      <c r="V651" s="21">
        <f t="shared" si="585"/>
        <v>1.3793818782233729</v>
      </c>
      <c r="W651" s="21">
        <f t="shared" si="585"/>
        <v>1.3793818782233729</v>
      </c>
      <c r="X651" s="21">
        <f t="shared" si="585"/>
        <v>1.3793818782233729</v>
      </c>
      <c r="Y651" s="21">
        <f t="shared" si="585"/>
        <v>1.3793818782233729</v>
      </c>
      <c r="Z651" s="21">
        <f t="shared" si="585"/>
        <v>1.3793818782233729</v>
      </c>
      <c r="AA651" s="21">
        <f t="shared" si="585"/>
        <v>1.3793818782233729</v>
      </c>
      <c r="AB651" s="21">
        <f t="shared" si="585"/>
        <v>1.3793818782233729</v>
      </c>
      <c r="AC651" s="21">
        <f t="shared" si="585"/>
        <v>1.3793818782233729</v>
      </c>
      <c r="AD651" s="21">
        <f t="shared" si="585"/>
        <v>1.3793818782233729</v>
      </c>
      <c r="AE651" s="21">
        <f t="shared" si="585"/>
        <v>1.3793818782233729</v>
      </c>
      <c r="AF651" s="1"/>
    </row>
    <row r="652" spans="2:32" x14ac:dyDescent="0.2">
      <c r="C652" s="20" t="s">
        <v>45</v>
      </c>
      <c r="D652" s="5"/>
      <c r="F652" s="9" t="s">
        <v>55</v>
      </c>
      <c r="G652" s="44">
        <f t="shared" si="581"/>
        <v>61.046152750728119</v>
      </c>
      <c r="H652" s="5"/>
      <c r="I652" s="44">
        <f t="shared" ref="I652:AE652" si="586">SUM(I648:I651)</f>
        <v>0</v>
      </c>
      <c r="J652" s="44">
        <f t="shared" si="586"/>
        <v>0</v>
      </c>
      <c r="K652" s="44">
        <f t="shared" si="586"/>
        <v>1.0574854917906151</v>
      </c>
      <c r="L652" s="44">
        <f t="shared" si="586"/>
        <v>1.4426752868649841</v>
      </c>
      <c r="M652" s="44">
        <f t="shared" si="586"/>
        <v>2.8853505737299683</v>
      </c>
      <c r="N652" s="44">
        <f t="shared" si="586"/>
        <v>2.8853505737299683</v>
      </c>
      <c r="O652" s="44">
        <f t="shared" si="586"/>
        <v>2.8853505737299683</v>
      </c>
      <c r="P652" s="44">
        <f t="shared" si="586"/>
        <v>2.8853505737299683</v>
      </c>
      <c r="Q652" s="44">
        <f t="shared" si="586"/>
        <v>2.954319667641137</v>
      </c>
      <c r="R652" s="44">
        <f t="shared" si="586"/>
        <v>3.0232887615523056</v>
      </c>
      <c r="S652" s="44">
        <f t="shared" si="586"/>
        <v>3.0922578554634743</v>
      </c>
      <c r="T652" s="44">
        <f t="shared" si="586"/>
        <v>3.161226949374643</v>
      </c>
      <c r="U652" s="44">
        <f t="shared" si="586"/>
        <v>3.161226949374643</v>
      </c>
      <c r="V652" s="44">
        <f t="shared" si="586"/>
        <v>3.161226949374643</v>
      </c>
      <c r="W652" s="44">
        <f t="shared" si="586"/>
        <v>3.161226949374643</v>
      </c>
      <c r="X652" s="44">
        <f t="shared" si="586"/>
        <v>3.161226949374643</v>
      </c>
      <c r="Y652" s="44">
        <f t="shared" si="586"/>
        <v>3.161226949374643</v>
      </c>
      <c r="Z652" s="44">
        <f t="shared" si="586"/>
        <v>3.161226949374643</v>
      </c>
      <c r="AA652" s="44">
        <f t="shared" si="586"/>
        <v>3.161226949374643</v>
      </c>
      <c r="AB652" s="44">
        <f t="shared" si="586"/>
        <v>3.161226949374643</v>
      </c>
      <c r="AC652" s="44">
        <f t="shared" si="586"/>
        <v>3.161226949374643</v>
      </c>
      <c r="AD652" s="44">
        <f t="shared" si="586"/>
        <v>3.161226949374643</v>
      </c>
      <c r="AE652" s="44">
        <f t="shared" si="586"/>
        <v>3.161226949374643</v>
      </c>
      <c r="AF652" s="1"/>
    </row>
    <row r="653" spans="2:32" x14ac:dyDescent="0.2">
      <c r="C653" s="5"/>
      <c r="D653" s="5"/>
      <c r="AF653" s="1"/>
    </row>
    <row r="654" spans="2:32" x14ac:dyDescent="0.2">
      <c r="B654" s="24">
        <f>B646+0.01</f>
        <v>3.6599999999999993</v>
      </c>
      <c r="C654" s="20" t="s">
        <v>365</v>
      </c>
      <c r="D654" s="20"/>
      <c r="AF654" s="1"/>
    </row>
    <row r="655" spans="2:32" x14ac:dyDescent="0.2">
      <c r="B655" s="24"/>
      <c r="C655" s="20"/>
      <c r="D655" s="20"/>
      <c r="AF655" s="1"/>
    </row>
    <row r="656" spans="2:32" x14ac:dyDescent="0.2">
      <c r="B656" s="37"/>
      <c r="C656" s="5" t="s">
        <v>443</v>
      </c>
      <c r="D656" s="5"/>
      <c r="F656" s="1" t="s">
        <v>55</v>
      </c>
      <c r="G656" s="21">
        <f t="shared" ref="G656:G670" si="587">SUM(I656:AE656)</f>
        <v>126.60915370589179</v>
      </c>
      <c r="H656" s="52"/>
      <c r="I656" s="41">
        <f>SUMIF('Quarterly Plant Model'!$I$2:$V$2,'Plant model'!I$2,'Quarterly Plant Model'!$I656:$V656)</f>
        <v>0</v>
      </c>
      <c r="J656" s="41">
        <f>SUMIF('Quarterly Plant Model'!$I$2:$V$2,'Plant model'!J$2,'Quarterly Plant Model'!$I656:$V656)</f>
        <v>0</v>
      </c>
      <c r="K656" s="41">
        <f>SUMIF('Quarterly Plant Model'!$I$2:$V$2,'Plant model'!K$2,'Quarterly Plant Model'!$I656:$V656)</f>
        <v>3.1652288426472945</v>
      </c>
      <c r="L656" s="41">
        <f>SUMIF('Quarterly Plant Model'!$I$2:$V$2,'Plant model'!L$2,'Quarterly Plant Model'!$I656:$V656)</f>
        <v>3.1652288426472945</v>
      </c>
      <c r="M656" s="21">
        <f t="shared" ref="M656:AE656" si="588">M581-M577</f>
        <v>6.3304576852945891</v>
      </c>
      <c r="N656" s="21">
        <f t="shared" si="588"/>
        <v>6.3304576852945891</v>
      </c>
      <c r="O656" s="21">
        <f t="shared" si="588"/>
        <v>6.3304576852945891</v>
      </c>
      <c r="P656" s="21">
        <f t="shared" si="588"/>
        <v>6.3304576852945891</v>
      </c>
      <c r="Q656" s="21">
        <f t="shared" si="588"/>
        <v>6.3304576852945891</v>
      </c>
      <c r="R656" s="21">
        <f t="shared" si="588"/>
        <v>6.3304576852945891</v>
      </c>
      <c r="S656" s="21">
        <f t="shared" si="588"/>
        <v>6.3304576852945891</v>
      </c>
      <c r="T656" s="21">
        <f t="shared" si="588"/>
        <v>6.3304576852945891</v>
      </c>
      <c r="U656" s="21">
        <f t="shared" si="588"/>
        <v>6.3304576852945891</v>
      </c>
      <c r="V656" s="21">
        <f t="shared" si="588"/>
        <v>6.3304576852945891</v>
      </c>
      <c r="W656" s="21">
        <f t="shared" si="588"/>
        <v>6.3304576852945891</v>
      </c>
      <c r="X656" s="21">
        <f t="shared" si="588"/>
        <v>6.3304576852945891</v>
      </c>
      <c r="Y656" s="21">
        <f t="shared" si="588"/>
        <v>6.3304576852945891</v>
      </c>
      <c r="Z656" s="21">
        <f t="shared" si="588"/>
        <v>6.3304576852945891</v>
      </c>
      <c r="AA656" s="21">
        <f t="shared" si="588"/>
        <v>6.3304576852945891</v>
      </c>
      <c r="AB656" s="21">
        <f t="shared" si="588"/>
        <v>6.3304576852945891</v>
      </c>
      <c r="AC656" s="21">
        <f t="shared" si="588"/>
        <v>6.3304576852945891</v>
      </c>
      <c r="AD656" s="21">
        <f t="shared" si="588"/>
        <v>6.3304576852945891</v>
      </c>
      <c r="AE656" s="21">
        <f t="shared" si="588"/>
        <v>6.3304576852945891</v>
      </c>
      <c r="AF656" s="1"/>
    </row>
    <row r="657" spans="3:32" x14ac:dyDescent="0.2">
      <c r="C657" s="5" t="str">
        <f>C613</f>
        <v>Iron Ore Pellets</v>
      </c>
      <c r="D657" s="5"/>
      <c r="F657" s="1" t="s">
        <v>55</v>
      </c>
      <c r="G657" s="21">
        <f t="shared" si="587"/>
        <v>1618.7354852964954</v>
      </c>
      <c r="H657" s="52"/>
      <c r="I657" s="41">
        <f>SUMIF('Quarterly Plant Model'!$I$2:$V$2,'Plant model'!I$2,'Quarterly Plant Model'!$I657:$V657)</f>
        <v>0</v>
      </c>
      <c r="J657" s="41">
        <f>SUMIF('Quarterly Plant Model'!$I$2:$V$2,'Plant model'!J$2,'Quarterly Plant Model'!$I657:$V657)</f>
        <v>0</v>
      </c>
      <c r="K657" s="41">
        <f>SUMIF('Quarterly Plant Model'!$I$2:$V$2,'Plant model'!K$2,'Quarterly Plant Model'!$I657:$V657)</f>
        <v>25.532105446316962</v>
      </c>
      <c r="L657" s="41">
        <f>SUMIF('Quarterly Plant Model'!$I$2:$V$2,'Plant model'!L$2,'Quarterly Plant Model'!$I657:$V657)</f>
        <v>40.851368714107139</v>
      </c>
      <c r="M657" s="21">
        <f t="shared" ref="M657:AE657" si="589">M613</f>
        <v>81.702737428214277</v>
      </c>
      <c r="N657" s="21">
        <f t="shared" si="589"/>
        <v>81.702737428214277</v>
      </c>
      <c r="O657" s="21">
        <f t="shared" si="589"/>
        <v>81.702737428214277</v>
      </c>
      <c r="P657" s="21">
        <f t="shared" si="589"/>
        <v>81.702737428214277</v>
      </c>
      <c r="Q657" s="21">
        <f t="shared" si="589"/>
        <v>81.702737428214277</v>
      </c>
      <c r="R657" s="21">
        <f t="shared" si="589"/>
        <v>81.702737428214277</v>
      </c>
      <c r="S657" s="21">
        <f t="shared" si="589"/>
        <v>81.702737428214277</v>
      </c>
      <c r="T657" s="21">
        <f t="shared" si="589"/>
        <v>81.702737428214277</v>
      </c>
      <c r="U657" s="21">
        <f t="shared" si="589"/>
        <v>81.702737428214277</v>
      </c>
      <c r="V657" s="21">
        <f t="shared" si="589"/>
        <v>81.702737428214277</v>
      </c>
      <c r="W657" s="21">
        <f t="shared" si="589"/>
        <v>81.702737428214277</v>
      </c>
      <c r="X657" s="21">
        <f t="shared" si="589"/>
        <v>81.702737428214277</v>
      </c>
      <c r="Y657" s="21">
        <f t="shared" si="589"/>
        <v>81.702737428214277</v>
      </c>
      <c r="Z657" s="21">
        <f t="shared" si="589"/>
        <v>81.702737428214277</v>
      </c>
      <c r="AA657" s="21">
        <f t="shared" si="589"/>
        <v>81.702737428214277</v>
      </c>
      <c r="AB657" s="21">
        <f t="shared" si="589"/>
        <v>81.702737428214277</v>
      </c>
      <c r="AC657" s="21">
        <f t="shared" si="589"/>
        <v>81.702737428214277</v>
      </c>
      <c r="AD657" s="21">
        <f t="shared" si="589"/>
        <v>81.702737428214277</v>
      </c>
      <c r="AE657" s="21">
        <f t="shared" si="589"/>
        <v>81.702737428214277</v>
      </c>
      <c r="AF657" s="1"/>
    </row>
    <row r="658" spans="3:32" x14ac:dyDescent="0.2">
      <c r="C658" s="5" t="s">
        <v>379</v>
      </c>
      <c r="D658" s="5"/>
      <c r="F658" s="1" t="s">
        <v>55</v>
      </c>
      <c r="G658" s="21">
        <f t="shared" si="587"/>
        <v>68.668433329500004</v>
      </c>
      <c r="H658" s="52"/>
      <c r="I658" s="41">
        <f>SUMIF('Quarterly Plant Model'!$I$2:$V$2,'Plant model'!I$2,'Quarterly Plant Model'!$I658:$V658)</f>
        <v>0</v>
      </c>
      <c r="J658" s="41">
        <f>SUMIF('Quarterly Plant Model'!$I$2:$V$2,'Plant model'!J$2,'Quarterly Plant Model'!$I658:$V658)</f>
        <v>0</v>
      </c>
      <c r="K658" s="41">
        <f>SUMIF('Quarterly Plant Model'!$I$2:$V$2,'Plant model'!K$2,'Quarterly Plant Model'!$I658:$V658)</f>
        <v>1.0830983175000002</v>
      </c>
      <c r="L658" s="41">
        <f>SUMIF('Quarterly Plant Model'!$I$2:$V$2,'Plant model'!L$2,'Quarterly Plant Model'!$I658:$V658)</f>
        <v>1.732957308</v>
      </c>
      <c r="M658" s="21">
        <f t="shared" ref="M658:AE658" si="590">M614</f>
        <v>3.4659146160000001</v>
      </c>
      <c r="N658" s="21">
        <f t="shared" si="590"/>
        <v>3.4659146160000001</v>
      </c>
      <c r="O658" s="21">
        <f t="shared" si="590"/>
        <v>3.4659146160000001</v>
      </c>
      <c r="P658" s="21">
        <f t="shared" si="590"/>
        <v>3.4659146160000001</v>
      </c>
      <c r="Q658" s="21">
        <f t="shared" si="590"/>
        <v>3.4659146160000001</v>
      </c>
      <c r="R658" s="21">
        <f t="shared" si="590"/>
        <v>3.4659146160000001</v>
      </c>
      <c r="S658" s="21">
        <f t="shared" si="590"/>
        <v>3.4659146160000001</v>
      </c>
      <c r="T658" s="21">
        <f t="shared" si="590"/>
        <v>3.4659146160000001</v>
      </c>
      <c r="U658" s="21">
        <f t="shared" si="590"/>
        <v>3.4659146160000001</v>
      </c>
      <c r="V658" s="21">
        <f t="shared" si="590"/>
        <v>3.4659146160000001</v>
      </c>
      <c r="W658" s="21">
        <f t="shared" si="590"/>
        <v>3.4659146160000001</v>
      </c>
      <c r="X658" s="21">
        <f t="shared" si="590"/>
        <v>3.4659146160000001</v>
      </c>
      <c r="Y658" s="21">
        <f t="shared" si="590"/>
        <v>3.4659146160000001</v>
      </c>
      <c r="Z658" s="21">
        <f t="shared" si="590"/>
        <v>3.4659146160000001</v>
      </c>
      <c r="AA658" s="21">
        <f t="shared" si="590"/>
        <v>3.4659146160000001</v>
      </c>
      <c r="AB658" s="21">
        <f t="shared" si="590"/>
        <v>3.4659146160000001</v>
      </c>
      <c r="AC658" s="21">
        <f t="shared" si="590"/>
        <v>3.4659146160000001</v>
      </c>
      <c r="AD658" s="21">
        <f t="shared" si="590"/>
        <v>3.4659146160000001</v>
      </c>
      <c r="AE658" s="21">
        <f t="shared" si="590"/>
        <v>3.4659146160000001</v>
      </c>
      <c r="AF658" s="1"/>
    </row>
    <row r="659" spans="3:32" x14ac:dyDescent="0.2">
      <c r="C659" s="5" t="s">
        <v>575</v>
      </c>
      <c r="D659" s="5"/>
      <c r="F659" s="1" t="s">
        <v>55</v>
      </c>
      <c r="G659" s="21">
        <f t="shared" si="587"/>
        <v>2.5756249999999987</v>
      </c>
      <c r="H659" s="52"/>
      <c r="I659" s="41">
        <f>SUMIF('Quarterly Plant Model'!$I$2:$V$2,'Plant model'!I$2,'Quarterly Plant Model'!$I659:$V659)</f>
        <v>0</v>
      </c>
      <c r="J659" s="41">
        <f>SUMIF('Quarterly Plant Model'!$I$2:$V$2,'Plant model'!J$2,'Quarterly Plant Model'!$I659:$V659)</f>
        <v>0</v>
      </c>
      <c r="K659" s="41">
        <f>SUMIF('Quarterly Plant Model'!$I$2:$V$2,'Plant model'!K$2,'Quarterly Plant Model'!$I659:$V659)</f>
        <v>4.0625000000000001E-2</v>
      </c>
      <c r="L659" s="41">
        <f>SUMIF('Quarterly Plant Model'!$I$2:$V$2,'Plant model'!L$2,'Quarterly Plant Model'!$I659:$V659)</f>
        <v>6.5000000000000002E-2</v>
      </c>
      <c r="M659" s="21">
        <f t="shared" ref="M659:AE659" si="591">M615</f>
        <v>0.13</v>
      </c>
      <c r="N659" s="21">
        <f t="shared" si="591"/>
        <v>0.13</v>
      </c>
      <c r="O659" s="21">
        <f t="shared" si="591"/>
        <v>0.13</v>
      </c>
      <c r="P659" s="21">
        <f t="shared" si="591"/>
        <v>0.13</v>
      </c>
      <c r="Q659" s="21">
        <f t="shared" si="591"/>
        <v>0.13</v>
      </c>
      <c r="R659" s="21">
        <f t="shared" si="591"/>
        <v>0.13</v>
      </c>
      <c r="S659" s="21">
        <f t="shared" si="591"/>
        <v>0.13</v>
      </c>
      <c r="T659" s="21">
        <f t="shared" si="591"/>
        <v>0.13</v>
      </c>
      <c r="U659" s="21">
        <f t="shared" si="591"/>
        <v>0.13</v>
      </c>
      <c r="V659" s="21">
        <f t="shared" si="591"/>
        <v>0.13</v>
      </c>
      <c r="W659" s="21">
        <f t="shared" si="591"/>
        <v>0.13</v>
      </c>
      <c r="X659" s="21">
        <f t="shared" si="591"/>
        <v>0.13</v>
      </c>
      <c r="Y659" s="21">
        <f t="shared" si="591"/>
        <v>0.13</v>
      </c>
      <c r="Z659" s="21">
        <f t="shared" si="591"/>
        <v>0.13</v>
      </c>
      <c r="AA659" s="21">
        <f t="shared" si="591"/>
        <v>0.13</v>
      </c>
      <c r="AB659" s="21">
        <f t="shared" si="591"/>
        <v>0.13</v>
      </c>
      <c r="AC659" s="21">
        <f t="shared" si="591"/>
        <v>0.13</v>
      </c>
      <c r="AD659" s="21">
        <f t="shared" si="591"/>
        <v>0.13</v>
      </c>
      <c r="AE659" s="21">
        <f t="shared" si="591"/>
        <v>0.13</v>
      </c>
      <c r="AF659" s="1"/>
    </row>
    <row r="660" spans="3:32" x14ac:dyDescent="0.2">
      <c r="C660" s="5" t="s">
        <v>21</v>
      </c>
      <c r="D660" s="5"/>
      <c r="F660" s="1" t="s">
        <v>55</v>
      </c>
      <c r="G660" s="21">
        <f t="shared" si="587"/>
        <v>183.13987153053304</v>
      </c>
      <c r="H660" s="52"/>
      <c r="I660" s="41">
        <f>SUMIF('Quarterly Plant Model'!$I$2:$V$2,'Plant model'!I$2,'Quarterly Plant Model'!$I660:$V660)</f>
        <v>0</v>
      </c>
      <c r="J660" s="41">
        <f>SUMIF('Quarterly Plant Model'!$I$2:$V$2,'Plant model'!J$2,'Quarterly Plant Model'!$I660:$V660)</f>
        <v>0</v>
      </c>
      <c r="K660" s="41">
        <f>SUMIF('Quarterly Plant Model'!$I$2:$V$2,'Plant model'!K$2,'Quarterly Plant Model'!$I660:$V660)</f>
        <v>2.4681923386864311</v>
      </c>
      <c r="L660" s="41">
        <f>SUMIF('Quarterly Plant Model'!$I$2:$V$2,'Plant model'!L$2,'Quarterly Plant Model'!$I660:$V660)</f>
        <v>3.9491077418982892</v>
      </c>
      <c r="M660" s="21">
        <f t="shared" ref="M660:AE660" si="592">M620+M627+M639+M640+M651</f>
        <v>7.8982154837965783</v>
      </c>
      <c r="N660" s="21">
        <f t="shared" si="592"/>
        <v>7.8982154837965783</v>
      </c>
      <c r="O660" s="21">
        <f t="shared" si="592"/>
        <v>7.8982154837965783</v>
      </c>
      <c r="P660" s="21">
        <f t="shared" si="592"/>
        <v>7.8982154837965783</v>
      </c>
      <c r="Q660" s="21">
        <f t="shared" si="592"/>
        <v>8.3918539515338626</v>
      </c>
      <c r="R660" s="21">
        <f t="shared" si="592"/>
        <v>8.8854924192711504</v>
      </c>
      <c r="S660" s="21">
        <f t="shared" si="592"/>
        <v>9.3791308870084347</v>
      </c>
      <c r="T660" s="21">
        <f t="shared" si="592"/>
        <v>9.8727693547457207</v>
      </c>
      <c r="U660" s="21">
        <f t="shared" si="592"/>
        <v>9.8727693547457207</v>
      </c>
      <c r="V660" s="21">
        <f t="shared" si="592"/>
        <v>9.8727693547457207</v>
      </c>
      <c r="W660" s="21">
        <f t="shared" si="592"/>
        <v>9.8727693547457207</v>
      </c>
      <c r="X660" s="21">
        <f t="shared" si="592"/>
        <v>9.8727693547457207</v>
      </c>
      <c r="Y660" s="21">
        <f t="shared" si="592"/>
        <v>9.8727693547457207</v>
      </c>
      <c r="Z660" s="21">
        <f t="shared" si="592"/>
        <v>9.8727693547457207</v>
      </c>
      <c r="AA660" s="21">
        <f t="shared" si="592"/>
        <v>9.8727693547457207</v>
      </c>
      <c r="AB660" s="21">
        <f t="shared" si="592"/>
        <v>9.8727693547457207</v>
      </c>
      <c r="AC660" s="21">
        <f t="shared" si="592"/>
        <v>9.8727693547457207</v>
      </c>
      <c r="AD660" s="21">
        <f t="shared" si="592"/>
        <v>9.8727693547457207</v>
      </c>
      <c r="AE660" s="21">
        <f t="shared" si="592"/>
        <v>9.8727693547457207</v>
      </c>
      <c r="AF660" s="1"/>
    </row>
    <row r="661" spans="3:32" x14ac:dyDescent="0.2">
      <c r="C661" s="5" t="s">
        <v>23</v>
      </c>
      <c r="D661" s="5"/>
      <c r="F661" s="1" t="s">
        <v>55</v>
      </c>
      <c r="G661" s="21">
        <f t="shared" si="587"/>
        <v>399.24996616355764</v>
      </c>
      <c r="H661" s="52"/>
      <c r="I661" s="41">
        <f>SUMIF('Quarterly Plant Model'!$I$2:$V$2,'Plant model'!I$2,'Quarterly Plant Model'!$I661:$V661)</f>
        <v>0</v>
      </c>
      <c r="J661" s="41">
        <f>SUMIF('Quarterly Plant Model'!$I$2:$V$2,'Plant model'!J$2,'Quarterly Plant Model'!$I661:$V661)</f>
        <v>0</v>
      </c>
      <c r="K661" s="41">
        <f>SUMIF('Quarterly Plant Model'!$I$2:$V$2,'Plant model'!K$2,'Quarterly Plant Model'!$I661:$V661)</f>
        <v>5.4357485703492952</v>
      </c>
      <c r="L661" s="41">
        <f>SUMIF('Quarterly Plant Model'!$I$2:$V$2,'Plant model'!L$2,'Quarterly Plant Model'!$I661:$V661)</f>
        <v>8.4730893402500982</v>
      </c>
      <c r="M661" s="21">
        <f t="shared" ref="M661:AE661" si="593">M626</f>
        <v>20.281112013313603</v>
      </c>
      <c r="N661" s="21">
        <f t="shared" si="593"/>
        <v>20.281112013313603</v>
      </c>
      <c r="O661" s="21">
        <f t="shared" si="593"/>
        <v>20.281112013313603</v>
      </c>
      <c r="P661" s="21">
        <f t="shared" si="593"/>
        <v>20.281112013313603</v>
      </c>
      <c r="Q661" s="21">
        <f t="shared" si="593"/>
        <v>20.281112013313603</v>
      </c>
      <c r="R661" s="21">
        <f t="shared" si="593"/>
        <v>20.281112013313603</v>
      </c>
      <c r="S661" s="21">
        <f t="shared" si="593"/>
        <v>20.281112013313603</v>
      </c>
      <c r="T661" s="21">
        <f t="shared" si="593"/>
        <v>20.281112013313603</v>
      </c>
      <c r="U661" s="21">
        <f t="shared" si="593"/>
        <v>20.281112013313603</v>
      </c>
      <c r="V661" s="21">
        <f t="shared" si="593"/>
        <v>20.281112013313603</v>
      </c>
      <c r="W661" s="21">
        <f t="shared" si="593"/>
        <v>20.281112013313603</v>
      </c>
      <c r="X661" s="21">
        <f t="shared" si="593"/>
        <v>20.281112013313603</v>
      </c>
      <c r="Y661" s="21">
        <f t="shared" si="593"/>
        <v>20.281112013313603</v>
      </c>
      <c r="Z661" s="21">
        <f t="shared" si="593"/>
        <v>20.281112013313603</v>
      </c>
      <c r="AA661" s="21">
        <f t="shared" si="593"/>
        <v>20.281112013313603</v>
      </c>
      <c r="AB661" s="21">
        <f t="shared" si="593"/>
        <v>20.281112013313603</v>
      </c>
      <c r="AC661" s="21">
        <f t="shared" si="593"/>
        <v>20.281112013313603</v>
      </c>
      <c r="AD661" s="21">
        <f t="shared" si="593"/>
        <v>20.281112013313603</v>
      </c>
      <c r="AE661" s="21">
        <f t="shared" si="593"/>
        <v>20.281112013313603</v>
      </c>
      <c r="AF661" s="1"/>
    </row>
    <row r="662" spans="3:32" x14ac:dyDescent="0.2">
      <c r="C662" s="5" t="s">
        <v>397</v>
      </c>
      <c r="D662" s="5"/>
      <c r="F662" s="1" t="s">
        <v>55</v>
      </c>
      <c r="G662" s="21">
        <f t="shared" si="587"/>
        <v>48.772000000000013</v>
      </c>
      <c r="H662" s="52"/>
      <c r="I662" s="41">
        <f>SUMIF('Quarterly Plant Model'!$I$2:$V$2,'Plant model'!I$2,'Quarterly Plant Model'!$I662:$V662)</f>
        <v>0</v>
      </c>
      <c r="J662" s="41">
        <f>SUMIF('Quarterly Plant Model'!$I$2:$V$2,'Plant model'!J$2,'Quarterly Plant Model'!$I662:$V662)</f>
        <v>0</v>
      </c>
      <c r="K662" s="41">
        <f>SUMIF('Quarterly Plant Model'!$I$2:$V$2,'Plant model'!K$2,'Quarterly Plant Model'!$I662:$V662)</f>
        <v>1.2193000000000001</v>
      </c>
      <c r="L662" s="41">
        <f>SUMIF('Quarterly Plant Model'!$I$2:$V$2,'Plant model'!L$2,'Quarterly Plant Model'!$I662:$V662)</f>
        <v>1.2193000000000001</v>
      </c>
      <c r="M662" s="21">
        <f t="shared" ref="M662:AE662" si="594">M621++M628+M643+M648</f>
        <v>2.4386000000000001</v>
      </c>
      <c r="N662" s="21">
        <f t="shared" si="594"/>
        <v>2.4386000000000001</v>
      </c>
      <c r="O662" s="21">
        <f t="shared" si="594"/>
        <v>2.4386000000000001</v>
      </c>
      <c r="P662" s="21">
        <f t="shared" si="594"/>
        <v>2.4386000000000001</v>
      </c>
      <c r="Q662" s="21">
        <f t="shared" si="594"/>
        <v>2.4386000000000001</v>
      </c>
      <c r="R662" s="21">
        <f t="shared" si="594"/>
        <v>2.4386000000000001</v>
      </c>
      <c r="S662" s="21">
        <f t="shared" si="594"/>
        <v>2.4386000000000001</v>
      </c>
      <c r="T662" s="21">
        <f t="shared" si="594"/>
        <v>2.4386000000000001</v>
      </c>
      <c r="U662" s="21">
        <f t="shared" si="594"/>
        <v>2.4386000000000001</v>
      </c>
      <c r="V662" s="21">
        <f t="shared" si="594"/>
        <v>2.4386000000000001</v>
      </c>
      <c r="W662" s="21">
        <f t="shared" si="594"/>
        <v>2.4386000000000001</v>
      </c>
      <c r="X662" s="21">
        <f t="shared" si="594"/>
        <v>2.4386000000000001</v>
      </c>
      <c r="Y662" s="21">
        <f t="shared" si="594"/>
        <v>2.4386000000000001</v>
      </c>
      <c r="Z662" s="21">
        <f t="shared" si="594"/>
        <v>2.4386000000000001</v>
      </c>
      <c r="AA662" s="21">
        <f t="shared" si="594"/>
        <v>2.4386000000000001</v>
      </c>
      <c r="AB662" s="21">
        <f t="shared" si="594"/>
        <v>2.4386000000000001</v>
      </c>
      <c r="AC662" s="21">
        <f t="shared" si="594"/>
        <v>2.4386000000000001</v>
      </c>
      <c r="AD662" s="21">
        <f t="shared" si="594"/>
        <v>2.4386000000000001</v>
      </c>
      <c r="AE662" s="21">
        <f t="shared" si="594"/>
        <v>2.4386000000000001</v>
      </c>
      <c r="AF662" s="1"/>
    </row>
    <row r="663" spans="3:32" x14ac:dyDescent="0.2">
      <c r="C663" s="5" t="s">
        <v>399</v>
      </c>
      <c r="D663" s="5"/>
      <c r="F663" s="1" t="s">
        <v>55</v>
      </c>
      <c r="G663" s="21">
        <f t="shared" si="587"/>
        <v>206.2115115</v>
      </c>
      <c r="H663" s="52"/>
      <c r="I663" s="41">
        <f>SUMIF('Quarterly Plant Model'!$I$2:$V$2,'Plant model'!I$2,'Quarterly Plant Model'!$I663:$V663)</f>
        <v>0</v>
      </c>
      <c r="J663" s="41">
        <f>SUMIF('Quarterly Plant Model'!$I$2:$V$2,'Plant model'!J$2,'Quarterly Plant Model'!$I663:$V663)</f>
        <v>0</v>
      </c>
      <c r="K663" s="41">
        <f>SUMIF('Quarterly Plant Model'!$I$2:$V$2,'Plant model'!K$2,'Quarterly Plant Model'!$I663:$V663)</f>
        <v>3.2525474999999995</v>
      </c>
      <c r="L663" s="41">
        <f>SUMIF('Quarterly Plant Model'!$I$2:$V$2,'Plant model'!L$2,'Quarterly Plant Model'!$I663:$V663)</f>
        <v>5.2040759999999997</v>
      </c>
      <c r="M663" s="21">
        <f t="shared" ref="M663:AE663" si="595">M634</f>
        <v>10.408151999999999</v>
      </c>
      <c r="N663" s="21">
        <f t="shared" si="595"/>
        <v>10.408151999999999</v>
      </c>
      <c r="O663" s="21">
        <f t="shared" si="595"/>
        <v>10.408151999999999</v>
      </c>
      <c r="P663" s="21">
        <f t="shared" si="595"/>
        <v>10.408151999999999</v>
      </c>
      <c r="Q663" s="21">
        <f t="shared" si="595"/>
        <v>10.408151999999999</v>
      </c>
      <c r="R663" s="21">
        <f t="shared" si="595"/>
        <v>10.408151999999999</v>
      </c>
      <c r="S663" s="21">
        <f t="shared" si="595"/>
        <v>10.408151999999999</v>
      </c>
      <c r="T663" s="21">
        <f t="shared" si="595"/>
        <v>10.408151999999999</v>
      </c>
      <c r="U663" s="21">
        <f t="shared" si="595"/>
        <v>10.408151999999999</v>
      </c>
      <c r="V663" s="21">
        <f t="shared" si="595"/>
        <v>10.408151999999999</v>
      </c>
      <c r="W663" s="21">
        <f t="shared" si="595"/>
        <v>10.408151999999999</v>
      </c>
      <c r="X663" s="21">
        <f t="shared" si="595"/>
        <v>10.408151999999999</v>
      </c>
      <c r="Y663" s="21">
        <f t="shared" si="595"/>
        <v>10.408151999999999</v>
      </c>
      <c r="Z663" s="21">
        <f t="shared" si="595"/>
        <v>10.408151999999999</v>
      </c>
      <c r="AA663" s="21">
        <f t="shared" si="595"/>
        <v>10.408151999999999</v>
      </c>
      <c r="AB663" s="21">
        <f t="shared" si="595"/>
        <v>10.408151999999999</v>
      </c>
      <c r="AC663" s="21">
        <f t="shared" si="595"/>
        <v>10.408151999999999</v>
      </c>
      <c r="AD663" s="21">
        <f t="shared" si="595"/>
        <v>10.408151999999999</v>
      </c>
      <c r="AE663" s="21">
        <f t="shared" si="595"/>
        <v>10.408151999999999</v>
      </c>
      <c r="AF663" s="1"/>
    </row>
    <row r="664" spans="3:32" x14ac:dyDescent="0.2">
      <c r="C664" s="5" t="s">
        <v>396</v>
      </c>
      <c r="D664" s="5"/>
      <c r="F664" s="1" t="s">
        <v>55</v>
      </c>
      <c r="G664" s="21">
        <f t="shared" si="587"/>
        <v>85.956531743690761</v>
      </c>
      <c r="H664" s="52"/>
      <c r="I664" s="41">
        <f>SUMIF('Quarterly Plant Model'!$I$2:$V$2,'Plant model'!I$2,'Quarterly Plant Model'!$I664:$V664)</f>
        <v>0</v>
      </c>
      <c r="J664" s="41">
        <f>SUMIF('Quarterly Plant Model'!$I$2:$V$2,'Plant model'!J$2,'Quarterly Plant Model'!$I664:$V664)</f>
        <v>0</v>
      </c>
      <c r="K664" s="41">
        <f>SUMIF('Quarterly Plant Model'!$I$2:$V$2,'Plant model'!K$2,'Quarterly Plant Model'!$I664:$V664)</f>
        <v>1.3571411521086874</v>
      </c>
      <c r="L664" s="41">
        <f>SUMIF('Quarterly Plant Model'!$I$2:$V$2,'Plant model'!L$2,'Quarterly Plant Model'!$I664:$V664)</f>
        <v>2.1692151433738998</v>
      </c>
      <c r="M664" s="21">
        <f t="shared" ref="M664:AE664" si="596">M636+M637+M635+M638</f>
        <v>4.3384302867477995</v>
      </c>
      <c r="N664" s="21">
        <f t="shared" si="596"/>
        <v>4.3384302867477995</v>
      </c>
      <c r="O664" s="21">
        <f t="shared" si="596"/>
        <v>4.3384302867477995</v>
      </c>
      <c r="P664" s="21">
        <f t="shared" si="596"/>
        <v>4.3384302867477995</v>
      </c>
      <c r="Q664" s="21">
        <f t="shared" si="596"/>
        <v>4.3384302867477995</v>
      </c>
      <c r="R664" s="21">
        <f t="shared" si="596"/>
        <v>4.3384302867477995</v>
      </c>
      <c r="S664" s="21">
        <f t="shared" si="596"/>
        <v>4.3384302867477995</v>
      </c>
      <c r="T664" s="21">
        <f t="shared" si="596"/>
        <v>4.3384302867477995</v>
      </c>
      <c r="U664" s="21">
        <f t="shared" si="596"/>
        <v>4.3384302867477995</v>
      </c>
      <c r="V664" s="21">
        <f t="shared" si="596"/>
        <v>4.3384302867477995</v>
      </c>
      <c r="W664" s="21">
        <f t="shared" si="596"/>
        <v>4.3384302867477995</v>
      </c>
      <c r="X664" s="21">
        <f t="shared" si="596"/>
        <v>4.3384302867477995</v>
      </c>
      <c r="Y664" s="21">
        <f t="shared" si="596"/>
        <v>4.3384302867477995</v>
      </c>
      <c r="Z664" s="21">
        <f t="shared" si="596"/>
        <v>4.3384302867477995</v>
      </c>
      <c r="AA664" s="21">
        <f t="shared" si="596"/>
        <v>4.3384302867477995</v>
      </c>
      <c r="AB664" s="21">
        <f t="shared" si="596"/>
        <v>4.3384302867477995</v>
      </c>
      <c r="AC664" s="21">
        <f t="shared" si="596"/>
        <v>4.3384302867477995</v>
      </c>
      <c r="AD664" s="21">
        <f t="shared" si="596"/>
        <v>4.3384302867477995</v>
      </c>
      <c r="AE664" s="21">
        <f t="shared" si="596"/>
        <v>4.3384302867477995</v>
      </c>
      <c r="AF664" s="1"/>
    </row>
    <row r="665" spans="3:32" x14ac:dyDescent="0.2">
      <c r="C665" s="5" t="s">
        <v>402</v>
      </c>
      <c r="D665" s="5"/>
      <c r="F665" s="1" t="s">
        <v>55</v>
      </c>
      <c r="G665" s="21">
        <f t="shared" si="587"/>
        <v>27.280594222736653</v>
      </c>
      <c r="H665" s="52"/>
      <c r="I665" s="41">
        <f>SUMIF('Quarterly Plant Model'!$I$2:$V$2,'Plant model'!I$2,'Quarterly Plant Model'!$I665:$V665)</f>
        <v>0</v>
      </c>
      <c r="J665" s="41">
        <f>SUMIF('Quarterly Plant Model'!$I$2:$V$2,'Plant model'!J$2,'Quarterly Plant Model'!$I665:$V665)</f>
        <v>0</v>
      </c>
      <c r="K665" s="41">
        <f>SUMIF('Quarterly Plant Model'!$I$2:$V$2,'Plant model'!K$2,'Quarterly Plant Model'!$I665:$V665)</f>
        <v>0.43029328427029412</v>
      </c>
      <c r="L665" s="41">
        <f>SUMIF('Quarterly Plant Model'!$I$2:$V$2,'Plant model'!L$2,'Quarterly Plant Model'!$I665:$V665)</f>
        <v>0.68846925483247057</v>
      </c>
      <c r="M665" s="21">
        <f t="shared" ref="M665:AE665" si="597">M641</f>
        <v>1.3769385096649411</v>
      </c>
      <c r="N665" s="21">
        <f t="shared" si="597"/>
        <v>1.3769385096649411</v>
      </c>
      <c r="O665" s="21">
        <f t="shared" si="597"/>
        <v>1.3769385096649411</v>
      </c>
      <c r="P665" s="21">
        <f t="shared" si="597"/>
        <v>1.3769385096649411</v>
      </c>
      <c r="Q665" s="21">
        <f t="shared" si="597"/>
        <v>1.3769385096649411</v>
      </c>
      <c r="R665" s="21">
        <f t="shared" si="597"/>
        <v>1.3769385096649411</v>
      </c>
      <c r="S665" s="21">
        <f t="shared" si="597"/>
        <v>1.3769385096649411</v>
      </c>
      <c r="T665" s="21">
        <f t="shared" si="597"/>
        <v>1.3769385096649411</v>
      </c>
      <c r="U665" s="21">
        <f t="shared" si="597"/>
        <v>1.3769385096649411</v>
      </c>
      <c r="V665" s="21">
        <f t="shared" si="597"/>
        <v>1.3769385096649411</v>
      </c>
      <c r="W665" s="21">
        <f t="shared" si="597"/>
        <v>1.3769385096649411</v>
      </c>
      <c r="X665" s="21">
        <f t="shared" si="597"/>
        <v>1.3769385096649411</v>
      </c>
      <c r="Y665" s="21">
        <f t="shared" si="597"/>
        <v>1.3769385096649411</v>
      </c>
      <c r="Z665" s="21">
        <f t="shared" si="597"/>
        <v>1.3769385096649411</v>
      </c>
      <c r="AA665" s="21">
        <f t="shared" si="597"/>
        <v>1.3769385096649411</v>
      </c>
      <c r="AB665" s="21">
        <f t="shared" si="597"/>
        <v>1.3769385096649411</v>
      </c>
      <c r="AC665" s="21">
        <f t="shared" si="597"/>
        <v>1.3769385096649411</v>
      </c>
      <c r="AD665" s="21">
        <f t="shared" si="597"/>
        <v>1.3769385096649411</v>
      </c>
      <c r="AE665" s="21">
        <f t="shared" si="597"/>
        <v>1.3769385096649411</v>
      </c>
      <c r="AF665" s="1"/>
    </row>
    <row r="666" spans="3:32" x14ac:dyDescent="0.2">
      <c r="C666" s="5" t="s">
        <v>693</v>
      </c>
      <c r="D666" s="5"/>
      <c r="F666" s="1" t="s">
        <v>55</v>
      </c>
      <c r="G666" s="21">
        <f t="shared" si="587"/>
        <v>1.6000000000000003</v>
      </c>
      <c r="H666" s="52"/>
      <c r="I666" s="41">
        <f>SUMIF('Quarterly Plant Model'!$I$2:$V$2,'Plant model'!I$2,'Quarterly Plant Model'!$I666:$V666)</f>
        <v>0</v>
      </c>
      <c r="J666" s="41">
        <f>SUMIF('Quarterly Plant Model'!$I$2:$V$2,'Plant model'!J$2,'Quarterly Plant Model'!$I666:$V666)</f>
        <v>0</v>
      </c>
      <c r="K666" s="41">
        <f>SUMIF('Quarterly Plant Model'!$I$2:$V$2,'Plant model'!K$2,'Quarterly Plant Model'!$I666:$V666)</f>
        <v>0.04</v>
      </c>
      <c r="L666" s="41">
        <f>SUMIF('Quarterly Plant Model'!$I$2:$V$2,'Plant model'!L$2,'Quarterly Plant Model'!$I666:$V666)</f>
        <v>0.04</v>
      </c>
      <c r="M666" s="21">
        <f t="shared" ref="M666:AE666" si="598">M642</f>
        <v>0.08</v>
      </c>
      <c r="N666" s="21">
        <f t="shared" si="598"/>
        <v>0.08</v>
      </c>
      <c r="O666" s="21">
        <f t="shared" si="598"/>
        <v>0.08</v>
      </c>
      <c r="P666" s="21">
        <f t="shared" si="598"/>
        <v>0.08</v>
      </c>
      <c r="Q666" s="21">
        <f t="shared" si="598"/>
        <v>0.08</v>
      </c>
      <c r="R666" s="21">
        <f t="shared" si="598"/>
        <v>0.08</v>
      </c>
      <c r="S666" s="21">
        <f t="shared" si="598"/>
        <v>0.08</v>
      </c>
      <c r="T666" s="21">
        <f t="shared" si="598"/>
        <v>0.08</v>
      </c>
      <c r="U666" s="21">
        <f t="shared" si="598"/>
        <v>0.08</v>
      </c>
      <c r="V666" s="21">
        <f t="shared" si="598"/>
        <v>0.08</v>
      </c>
      <c r="W666" s="21">
        <f t="shared" si="598"/>
        <v>0.08</v>
      </c>
      <c r="X666" s="21">
        <f t="shared" si="598"/>
        <v>0.08</v>
      </c>
      <c r="Y666" s="21">
        <f t="shared" si="598"/>
        <v>0.08</v>
      </c>
      <c r="Z666" s="21">
        <f t="shared" si="598"/>
        <v>0.08</v>
      </c>
      <c r="AA666" s="21">
        <f t="shared" si="598"/>
        <v>0.08</v>
      </c>
      <c r="AB666" s="21">
        <f t="shared" si="598"/>
        <v>0.08</v>
      </c>
      <c r="AC666" s="21">
        <f t="shared" si="598"/>
        <v>0.08</v>
      </c>
      <c r="AD666" s="21">
        <f t="shared" si="598"/>
        <v>0.08</v>
      </c>
      <c r="AE666" s="21">
        <f t="shared" si="598"/>
        <v>0.08</v>
      </c>
      <c r="AF666" s="1"/>
    </row>
    <row r="667" spans="3:32" x14ac:dyDescent="0.2">
      <c r="C667" s="5" t="s">
        <v>682</v>
      </c>
      <c r="D667" s="5"/>
      <c r="F667" s="1" t="s">
        <v>55</v>
      </c>
      <c r="G667" s="21">
        <f t="shared" si="587"/>
        <v>15.036256046874996</v>
      </c>
      <c r="H667" s="52"/>
      <c r="I667" s="41">
        <f>SUMIF('Quarterly Plant Model'!$I$2:$V$2,'Plant model'!I$2,'Quarterly Plant Model'!$I667:$V667)</f>
        <v>0</v>
      </c>
      <c r="J667" s="41">
        <f>SUMIF('Quarterly Plant Model'!$I$2:$V$2,'Plant model'!J$2,'Quarterly Plant Model'!$I667:$V667)</f>
        <v>0</v>
      </c>
      <c r="K667" s="41">
        <f>SUMIF('Quarterly Plant Model'!$I$2:$V$2,'Plant model'!K$2,'Quarterly Plant Model'!$I667:$V667)</f>
        <v>0.23716492187499999</v>
      </c>
      <c r="L667" s="41">
        <f>SUMIF('Quarterly Plant Model'!$I$2:$V$2,'Plant model'!L$2,'Quarterly Plant Model'!$I667:$V667)</f>
        <v>0.37946387500000001</v>
      </c>
      <c r="M667" s="21">
        <f t="shared" ref="M667:AE667" si="599">M649</f>
        <v>0.75892775000000001</v>
      </c>
      <c r="N667" s="21">
        <f t="shared" si="599"/>
        <v>0.75892775000000001</v>
      </c>
      <c r="O667" s="21">
        <f t="shared" si="599"/>
        <v>0.75892775000000001</v>
      </c>
      <c r="P667" s="21">
        <f t="shared" si="599"/>
        <v>0.75892775000000001</v>
      </c>
      <c r="Q667" s="21">
        <f t="shared" si="599"/>
        <v>0.75892775000000001</v>
      </c>
      <c r="R667" s="21">
        <f t="shared" si="599"/>
        <v>0.75892775000000001</v>
      </c>
      <c r="S667" s="21">
        <f t="shared" si="599"/>
        <v>0.75892775000000001</v>
      </c>
      <c r="T667" s="21">
        <f t="shared" si="599"/>
        <v>0.75892775000000001</v>
      </c>
      <c r="U667" s="21">
        <f t="shared" si="599"/>
        <v>0.75892775000000001</v>
      </c>
      <c r="V667" s="21">
        <f t="shared" si="599"/>
        <v>0.75892775000000001</v>
      </c>
      <c r="W667" s="21">
        <f t="shared" si="599"/>
        <v>0.75892775000000001</v>
      </c>
      <c r="X667" s="21">
        <f t="shared" si="599"/>
        <v>0.75892775000000001</v>
      </c>
      <c r="Y667" s="21">
        <f t="shared" si="599"/>
        <v>0.75892775000000001</v>
      </c>
      <c r="Z667" s="21">
        <f t="shared" si="599"/>
        <v>0.75892775000000001</v>
      </c>
      <c r="AA667" s="21">
        <f t="shared" si="599"/>
        <v>0.75892775000000001</v>
      </c>
      <c r="AB667" s="21">
        <f t="shared" si="599"/>
        <v>0.75892775000000001</v>
      </c>
      <c r="AC667" s="21">
        <f t="shared" si="599"/>
        <v>0.75892775000000001</v>
      </c>
      <c r="AD667" s="21">
        <f t="shared" si="599"/>
        <v>0.75892775000000001</v>
      </c>
      <c r="AE667" s="21">
        <f t="shared" si="599"/>
        <v>0.75892775000000001</v>
      </c>
      <c r="AF667" s="1"/>
    </row>
    <row r="668" spans="3:32" x14ac:dyDescent="0.2">
      <c r="C668" s="5" t="s">
        <v>517</v>
      </c>
      <c r="D668" s="5"/>
      <c r="F668" s="1" t="s">
        <v>55</v>
      </c>
      <c r="G668" s="21">
        <f t="shared" si="587"/>
        <v>3.8022628628095414</v>
      </c>
      <c r="H668" s="52"/>
      <c r="I668" s="41">
        <f>SUMIF('Quarterly Plant Model'!$I$2:$V$2,'Plant model'!I$2,'Quarterly Plant Model'!$I668:$V668)</f>
        <v>0</v>
      </c>
      <c r="J668" s="41">
        <f>SUMIF('Quarterly Plant Model'!$I$2:$V$2,'Plant model'!J$2,'Quarterly Plant Model'!$I668:$V668)</f>
        <v>0</v>
      </c>
      <c r="K668" s="41">
        <f>SUMIF('Quarterly Plant Model'!$I$2:$V$2,'Plant model'!K$2,'Quarterly Plant Model'!$I668:$V668)</f>
        <v>5.9972600359771935E-2</v>
      </c>
      <c r="L668" s="41">
        <f>SUMIF('Quarterly Plant Model'!$I$2:$V$2,'Plant model'!L$2,'Quarterly Plant Model'!$I668:$V668)</f>
        <v>9.5956160575635094E-2</v>
      </c>
      <c r="M668" s="21">
        <f t="shared" ref="M668:AE668" si="600">M650</f>
        <v>0.19191232115127019</v>
      </c>
      <c r="N668" s="21">
        <f t="shared" si="600"/>
        <v>0.19191232115127019</v>
      </c>
      <c r="O668" s="21">
        <f t="shared" si="600"/>
        <v>0.19191232115127019</v>
      </c>
      <c r="P668" s="21">
        <f t="shared" si="600"/>
        <v>0.19191232115127019</v>
      </c>
      <c r="Q668" s="21">
        <f t="shared" si="600"/>
        <v>0.19191232115127019</v>
      </c>
      <c r="R668" s="21">
        <f t="shared" si="600"/>
        <v>0.19191232115127019</v>
      </c>
      <c r="S668" s="21">
        <f t="shared" si="600"/>
        <v>0.19191232115127019</v>
      </c>
      <c r="T668" s="21">
        <f t="shared" si="600"/>
        <v>0.19191232115127019</v>
      </c>
      <c r="U668" s="21">
        <f t="shared" si="600"/>
        <v>0.19191232115127019</v>
      </c>
      <c r="V668" s="21">
        <f t="shared" si="600"/>
        <v>0.19191232115127019</v>
      </c>
      <c r="W668" s="21">
        <f t="shared" si="600"/>
        <v>0.19191232115127019</v>
      </c>
      <c r="X668" s="21">
        <f t="shared" si="600"/>
        <v>0.19191232115127019</v>
      </c>
      <c r="Y668" s="21">
        <f t="shared" si="600"/>
        <v>0.19191232115127019</v>
      </c>
      <c r="Z668" s="21">
        <f t="shared" si="600"/>
        <v>0.19191232115127019</v>
      </c>
      <c r="AA668" s="21">
        <f t="shared" si="600"/>
        <v>0.19191232115127019</v>
      </c>
      <c r="AB668" s="21">
        <f t="shared" si="600"/>
        <v>0.19191232115127019</v>
      </c>
      <c r="AC668" s="21">
        <f t="shared" si="600"/>
        <v>0.19191232115127019</v>
      </c>
      <c r="AD668" s="21">
        <f t="shared" si="600"/>
        <v>0.19191232115127019</v>
      </c>
      <c r="AE668" s="21">
        <f t="shared" si="600"/>
        <v>0.19191232115127019</v>
      </c>
      <c r="AF668" s="1"/>
    </row>
    <row r="669" spans="3:32" x14ac:dyDescent="0.2">
      <c r="C669" s="5" t="s">
        <v>683</v>
      </c>
      <c r="D669" s="5"/>
      <c r="F669" s="1" t="s">
        <v>55</v>
      </c>
      <c r="G669" s="21">
        <f t="shared" si="587"/>
        <v>43.390338878125014</v>
      </c>
      <c r="H669" s="52"/>
      <c r="I669" s="41">
        <f>SUMIF('Quarterly Plant Model'!$I$2:$V$2,'Plant model'!I$2,'Quarterly Plant Model'!$I669:$V669)</f>
        <v>0</v>
      </c>
      <c r="J669" s="41">
        <f>SUMIF('Quarterly Plant Model'!$I$2:$V$2,'Plant model'!J$2,'Quarterly Plant Model'!$I669:$V669)</f>
        <v>0</v>
      </c>
      <c r="K669" s="41">
        <f>SUMIF('Quarterly Plant Model'!$I$2:$V$2,'Plant model'!K$2,'Quarterly Plant Model'!$I669:$V669)</f>
        <v>0.68439020312499999</v>
      </c>
      <c r="L669" s="41">
        <f>SUMIF('Quarterly Plant Model'!$I$2:$V$2,'Plant model'!L$2,'Quarterly Plant Model'!$I669:$V669)</f>
        <v>1.0950243249999998</v>
      </c>
      <c r="M669" s="21">
        <f t="shared" ref="M669:AE669" si="601">M629</f>
        <v>2.1900486499999996</v>
      </c>
      <c r="N669" s="21">
        <f t="shared" si="601"/>
        <v>2.1900486499999996</v>
      </c>
      <c r="O669" s="21">
        <f t="shared" si="601"/>
        <v>2.1900486499999996</v>
      </c>
      <c r="P669" s="21">
        <f t="shared" si="601"/>
        <v>2.1900486499999996</v>
      </c>
      <c r="Q669" s="21">
        <f t="shared" si="601"/>
        <v>2.1900486499999996</v>
      </c>
      <c r="R669" s="21">
        <f t="shared" si="601"/>
        <v>2.1900486499999996</v>
      </c>
      <c r="S669" s="21">
        <f t="shared" si="601"/>
        <v>2.1900486499999996</v>
      </c>
      <c r="T669" s="21">
        <f t="shared" si="601"/>
        <v>2.1900486499999996</v>
      </c>
      <c r="U669" s="21">
        <f t="shared" si="601"/>
        <v>2.1900486499999996</v>
      </c>
      <c r="V669" s="21">
        <f t="shared" si="601"/>
        <v>2.1900486499999996</v>
      </c>
      <c r="W669" s="21">
        <f t="shared" si="601"/>
        <v>2.1900486499999996</v>
      </c>
      <c r="X669" s="21">
        <f t="shared" si="601"/>
        <v>2.1900486499999996</v>
      </c>
      <c r="Y669" s="21">
        <f t="shared" si="601"/>
        <v>2.1900486499999996</v>
      </c>
      <c r="Z669" s="21">
        <f t="shared" si="601"/>
        <v>2.1900486499999996</v>
      </c>
      <c r="AA669" s="21">
        <f t="shared" si="601"/>
        <v>2.1900486499999996</v>
      </c>
      <c r="AB669" s="21">
        <f t="shared" si="601"/>
        <v>2.1900486499999996</v>
      </c>
      <c r="AC669" s="21">
        <f t="shared" si="601"/>
        <v>2.1900486499999996</v>
      </c>
      <c r="AD669" s="21">
        <f t="shared" si="601"/>
        <v>2.1900486499999996</v>
      </c>
      <c r="AE669" s="21">
        <f t="shared" si="601"/>
        <v>2.1900486499999996</v>
      </c>
      <c r="AF669" s="1"/>
    </row>
    <row r="670" spans="3:32" x14ac:dyDescent="0.2">
      <c r="C670" s="20" t="s">
        <v>366</v>
      </c>
      <c r="D670" s="20"/>
      <c r="F670" s="9" t="s">
        <v>55</v>
      </c>
      <c r="G670" s="44">
        <f t="shared" si="587"/>
        <v>2831.0280302802148</v>
      </c>
      <c r="H670" s="53"/>
      <c r="I670" s="44">
        <f t="shared" ref="I670:AE670" si="602">SUM(I656:I669)</f>
        <v>0</v>
      </c>
      <c r="J670" s="44">
        <f t="shared" si="602"/>
        <v>0</v>
      </c>
      <c r="K670" s="44">
        <f t="shared" si="602"/>
        <v>45.005808177238727</v>
      </c>
      <c r="L670" s="44">
        <f t="shared" si="602"/>
        <v>69.128256705684834</v>
      </c>
      <c r="M670" s="44">
        <f t="shared" si="602"/>
        <v>141.59144674418306</v>
      </c>
      <c r="N670" s="44">
        <f t="shared" si="602"/>
        <v>141.59144674418306</v>
      </c>
      <c r="O670" s="44">
        <f t="shared" si="602"/>
        <v>141.59144674418306</v>
      </c>
      <c r="P670" s="44">
        <f t="shared" si="602"/>
        <v>141.59144674418306</v>
      </c>
      <c r="Q670" s="44">
        <f t="shared" si="602"/>
        <v>142.08508521192036</v>
      </c>
      <c r="R670" s="44">
        <f t="shared" si="602"/>
        <v>142.57872367965763</v>
      </c>
      <c r="S670" s="44">
        <f t="shared" si="602"/>
        <v>143.07236214739493</v>
      </c>
      <c r="T670" s="44">
        <f t="shared" si="602"/>
        <v>143.56600061513222</v>
      </c>
      <c r="U670" s="44">
        <f t="shared" si="602"/>
        <v>143.56600061513222</v>
      </c>
      <c r="V670" s="44">
        <f t="shared" si="602"/>
        <v>143.56600061513222</v>
      </c>
      <c r="W670" s="44">
        <f t="shared" si="602"/>
        <v>143.56600061513222</v>
      </c>
      <c r="X670" s="44">
        <f t="shared" si="602"/>
        <v>143.56600061513222</v>
      </c>
      <c r="Y670" s="44">
        <f t="shared" si="602"/>
        <v>143.56600061513222</v>
      </c>
      <c r="Z670" s="44">
        <f t="shared" si="602"/>
        <v>143.56600061513222</v>
      </c>
      <c r="AA670" s="44">
        <f t="shared" si="602"/>
        <v>143.56600061513222</v>
      </c>
      <c r="AB670" s="44">
        <f t="shared" si="602"/>
        <v>143.56600061513222</v>
      </c>
      <c r="AC670" s="44">
        <f t="shared" si="602"/>
        <v>143.56600061513222</v>
      </c>
      <c r="AD670" s="44">
        <f t="shared" si="602"/>
        <v>143.56600061513222</v>
      </c>
      <c r="AE670" s="44">
        <f t="shared" si="602"/>
        <v>143.56600061513222</v>
      </c>
      <c r="AF670" s="1"/>
    </row>
    <row r="671" spans="3:32" x14ac:dyDescent="0.2">
      <c r="C671" s="5"/>
      <c r="D671" s="5"/>
      <c r="J671" s="33"/>
      <c r="AF671" s="1"/>
    </row>
    <row r="672" spans="3:32" x14ac:dyDescent="0.2">
      <c r="C672" s="5" t="str">
        <f t="shared" ref="C672:C686" si="603">C656</f>
        <v>Labor - ex SGA</v>
      </c>
      <c r="D672" s="5"/>
      <c r="F672" s="1" t="s">
        <v>3</v>
      </c>
      <c r="G672" s="21">
        <f t="shared" ref="G672:G686" si="604">G656/$G$104</f>
        <v>14.735451318106477</v>
      </c>
      <c r="I672" s="21">
        <f>IFERROR(I656/I$104,0)</f>
        <v>0</v>
      </c>
      <c r="J672" s="21">
        <f t="shared" ref="J672:AE672" si="605">IFERROR(J656/J$104,0)</f>
        <v>0</v>
      </c>
      <c r="K672" s="21">
        <f t="shared" si="605"/>
        <v>23.355690339198759</v>
      </c>
      <c r="L672" s="21">
        <f t="shared" si="605"/>
        <v>14.597306461999224</v>
      </c>
      <c r="M672" s="21">
        <f t="shared" si="605"/>
        <v>14.597306461999224</v>
      </c>
      <c r="N672" s="21">
        <f t="shared" si="605"/>
        <v>14.597306461999224</v>
      </c>
      <c r="O672" s="21">
        <f t="shared" si="605"/>
        <v>14.597306461999224</v>
      </c>
      <c r="P672" s="21">
        <f t="shared" si="605"/>
        <v>14.597306461999224</v>
      </c>
      <c r="Q672" s="21">
        <f t="shared" si="605"/>
        <v>14.597306461999224</v>
      </c>
      <c r="R672" s="21">
        <f t="shared" si="605"/>
        <v>14.597306461999224</v>
      </c>
      <c r="S672" s="21">
        <f t="shared" si="605"/>
        <v>14.597306461999224</v>
      </c>
      <c r="T672" s="21">
        <f t="shared" si="605"/>
        <v>14.597306461999224</v>
      </c>
      <c r="U672" s="21">
        <f t="shared" si="605"/>
        <v>14.597306461999224</v>
      </c>
      <c r="V672" s="21">
        <f t="shared" si="605"/>
        <v>14.597306461999224</v>
      </c>
      <c r="W672" s="21">
        <f t="shared" si="605"/>
        <v>14.597306461999224</v>
      </c>
      <c r="X672" s="21">
        <f t="shared" si="605"/>
        <v>14.597306461999224</v>
      </c>
      <c r="Y672" s="21">
        <f t="shared" si="605"/>
        <v>14.597306461999224</v>
      </c>
      <c r="Z672" s="21">
        <f t="shared" si="605"/>
        <v>14.597306461999224</v>
      </c>
      <c r="AA672" s="21">
        <f t="shared" si="605"/>
        <v>14.597306461999224</v>
      </c>
      <c r="AB672" s="21">
        <f t="shared" si="605"/>
        <v>14.597306461999224</v>
      </c>
      <c r="AC672" s="21">
        <f t="shared" si="605"/>
        <v>14.597306461999224</v>
      </c>
      <c r="AD672" s="21">
        <f t="shared" si="605"/>
        <v>14.597306461999224</v>
      </c>
      <c r="AE672" s="21">
        <f t="shared" si="605"/>
        <v>14.597306461999224</v>
      </c>
      <c r="AF672" s="1"/>
    </row>
    <row r="673" spans="2:32" x14ac:dyDescent="0.2">
      <c r="C673" s="5" t="str">
        <f t="shared" si="603"/>
        <v>Iron Ore Pellets</v>
      </c>
      <c r="D673" s="5"/>
      <c r="F673" s="1" t="s">
        <v>3</v>
      </c>
      <c r="G673" s="21">
        <f t="shared" si="604"/>
        <v>188.39710433486593</v>
      </c>
      <c r="I673" s="21">
        <f t="shared" ref="I673:AE673" si="606">IFERROR(I657/I$104,0)</f>
        <v>0</v>
      </c>
      <c r="J673" s="21">
        <f t="shared" si="606"/>
        <v>0</v>
      </c>
      <c r="K673" s="21">
        <f t="shared" si="606"/>
        <v>188.39710433486587</v>
      </c>
      <c r="L673" s="21">
        <f t="shared" si="606"/>
        <v>188.39710433486587</v>
      </c>
      <c r="M673" s="21">
        <f t="shared" si="606"/>
        <v>188.39710433486587</v>
      </c>
      <c r="N673" s="21">
        <f t="shared" si="606"/>
        <v>188.39710433486587</v>
      </c>
      <c r="O673" s="21">
        <f t="shared" si="606"/>
        <v>188.39710433486587</v>
      </c>
      <c r="P673" s="21">
        <f t="shared" si="606"/>
        <v>188.39710433486587</v>
      </c>
      <c r="Q673" s="21">
        <f t="shared" si="606"/>
        <v>188.39710433486587</v>
      </c>
      <c r="R673" s="21">
        <f t="shared" si="606"/>
        <v>188.39710433486587</v>
      </c>
      <c r="S673" s="21">
        <f t="shared" si="606"/>
        <v>188.39710433486587</v>
      </c>
      <c r="T673" s="21">
        <f t="shared" si="606"/>
        <v>188.39710433486587</v>
      </c>
      <c r="U673" s="21">
        <f t="shared" si="606"/>
        <v>188.39710433486587</v>
      </c>
      <c r="V673" s="21">
        <f t="shared" si="606"/>
        <v>188.39710433486587</v>
      </c>
      <c r="W673" s="21">
        <f t="shared" si="606"/>
        <v>188.39710433486587</v>
      </c>
      <c r="X673" s="21">
        <f t="shared" si="606"/>
        <v>188.39710433486587</v>
      </c>
      <c r="Y673" s="21">
        <f t="shared" si="606"/>
        <v>188.39710433486587</v>
      </c>
      <c r="Z673" s="21">
        <f t="shared" si="606"/>
        <v>188.39710433486587</v>
      </c>
      <c r="AA673" s="21">
        <f t="shared" si="606"/>
        <v>188.39710433486587</v>
      </c>
      <c r="AB673" s="21">
        <f t="shared" si="606"/>
        <v>188.39710433486587</v>
      </c>
      <c r="AC673" s="21">
        <f t="shared" si="606"/>
        <v>188.39710433486587</v>
      </c>
      <c r="AD673" s="21">
        <f t="shared" si="606"/>
        <v>188.39710433486587</v>
      </c>
      <c r="AE673" s="21">
        <f t="shared" si="606"/>
        <v>188.39710433486587</v>
      </c>
      <c r="AF673" s="1"/>
    </row>
    <row r="674" spans="2:32" x14ac:dyDescent="0.2">
      <c r="C674" s="5" t="str">
        <f t="shared" si="603"/>
        <v>Lime</v>
      </c>
      <c r="D674" s="5"/>
      <c r="F674" s="1" t="s">
        <v>3</v>
      </c>
      <c r="G674" s="21">
        <f t="shared" si="604"/>
        <v>7.9920000000000035</v>
      </c>
      <c r="I674" s="21">
        <f t="shared" ref="I674:AE674" si="607">IFERROR(I658/I$104,0)</f>
        <v>0</v>
      </c>
      <c r="J674" s="21">
        <f t="shared" si="607"/>
        <v>0</v>
      </c>
      <c r="K674" s="21">
        <f t="shared" si="607"/>
        <v>7.9920000000000027</v>
      </c>
      <c r="L674" s="21">
        <f t="shared" si="607"/>
        <v>7.9920000000000009</v>
      </c>
      <c r="M674" s="21">
        <f t="shared" si="607"/>
        <v>7.9920000000000009</v>
      </c>
      <c r="N674" s="21">
        <f t="shared" si="607"/>
        <v>7.9920000000000009</v>
      </c>
      <c r="O674" s="21">
        <f t="shared" si="607"/>
        <v>7.9920000000000009</v>
      </c>
      <c r="P674" s="21">
        <f t="shared" si="607"/>
        <v>7.9920000000000009</v>
      </c>
      <c r="Q674" s="21">
        <f t="shared" si="607"/>
        <v>7.9920000000000009</v>
      </c>
      <c r="R674" s="21">
        <f t="shared" si="607"/>
        <v>7.9920000000000009</v>
      </c>
      <c r="S674" s="21">
        <f t="shared" si="607"/>
        <v>7.9920000000000009</v>
      </c>
      <c r="T674" s="21">
        <f t="shared" si="607"/>
        <v>7.9920000000000009</v>
      </c>
      <c r="U674" s="21">
        <f t="shared" si="607"/>
        <v>7.9920000000000009</v>
      </c>
      <c r="V674" s="21">
        <f t="shared" si="607"/>
        <v>7.9920000000000009</v>
      </c>
      <c r="W674" s="21">
        <f t="shared" si="607"/>
        <v>7.9920000000000009</v>
      </c>
      <c r="X674" s="21">
        <f t="shared" si="607"/>
        <v>7.9920000000000009</v>
      </c>
      <c r="Y674" s="21">
        <f t="shared" si="607"/>
        <v>7.9920000000000009</v>
      </c>
      <c r="Z674" s="21">
        <f t="shared" si="607"/>
        <v>7.9920000000000009</v>
      </c>
      <c r="AA674" s="21">
        <f t="shared" si="607"/>
        <v>7.9920000000000009</v>
      </c>
      <c r="AB674" s="21">
        <f t="shared" si="607"/>
        <v>7.9920000000000009</v>
      </c>
      <c r="AC674" s="21">
        <f t="shared" si="607"/>
        <v>7.9920000000000009</v>
      </c>
      <c r="AD674" s="21">
        <f t="shared" si="607"/>
        <v>7.9920000000000009</v>
      </c>
      <c r="AE674" s="21">
        <f t="shared" si="607"/>
        <v>7.9920000000000009</v>
      </c>
      <c r="AF674" s="1"/>
    </row>
    <row r="675" spans="2:32" x14ac:dyDescent="0.2">
      <c r="C675" s="5" t="str">
        <f t="shared" si="603"/>
        <v>Briquettes</v>
      </c>
      <c r="D675" s="5"/>
      <c r="F675" s="1" t="s">
        <v>3</v>
      </c>
      <c r="G675" s="21">
        <f t="shared" si="604"/>
        <v>0.29976503033391516</v>
      </c>
      <c r="I675" s="21">
        <f t="shared" ref="I675:AE675" si="608">IFERROR(I659/I$104,0)</f>
        <v>0</v>
      </c>
      <c r="J675" s="21">
        <f t="shared" si="608"/>
        <v>0</v>
      </c>
      <c r="K675" s="21">
        <f t="shared" si="608"/>
        <v>0.29976503033391522</v>
      </c>
      <c r="L675" s="21">
        <f t="shared" si="608"/>
        <v>0.29976503033391522</v>
      </c>
      <c r="M675" s="21">
        <f t="shared" si="608"/>
        <v>0.29976503033391522</v>
      </c>
      <c r="N675" s="21">
        <f t="shared" si="608"/>
        <v>0.29976503033391522</v>
      </c>
      <c r="O675" s="21">
        <f t="shared" si="608"/>
        <v>0.29976503033391522</v>
      </c>
      <c r="P675" s="21">
        <f t="shared" si="608"/>
        <v>0.29976503033391522</v>
      </c>
      <c r="Q675" s="21">
        <f t="shared" si="608"/>
        <v>0.29976503033391522</v>
      </c>
      <c r="R675" s="21">
        <f t="shared" si="608"/>
        <v>0.29976503033391522</v>
      </c>
      <c r="S675" s="21">
        <f t="shared" si="608"/>
        <v>0.29976503033391522</v>
      </c>
      <c r="T675" s="21">
        <f t="shared" si="608"/>
        <v>0.29976503033391522</v>
      </c>
      <c r="U675" s="21">
        <f t="shared" si="608"/>
        <v>0.29976503033391522</v>
      </c>
      <c r="V675" s="21">
        <f t="shared" si="608"/>
        <v>0.29976503033391522</v>
      </c>
      <c r="W675" s="21">
        <f t="shared" si="608"/>
        <v>0.29976503033391522</v>
      </c>
      <c r="X675" s="21">
        <f t="shared" si="608"/>
        <v>0.29976503033391522</v>
      </c>
      <c r="Y675" s="21">
        <f t="shared" si="608"/>
        <v>0.29976503033391522</v>
      </c>
      <c r="Z675" s="21">
        <f t="shared" si="608"/>
        <v>0.29976503033391522</v>
      </c>
      <c r="AA675" s="21">
        <f t="shared" si="608"/>
        <v>0.29976503033391522</v>
      </c>
      <c r="AB675" s="21">
        <f t="shared" si="608"/>
        <v>0.29976503033391522</v>
      </c>
      <c r="AC675" s="21">
        <f t="shared" si="608"/>
        <v>0.29976503033391522</v>
      </c>
      <c r="AD675" s="21">
        <f t="shared" si="608"/>
        <v>0.29976503033391522</v>
      </c>
      <c r="AE675" s="21">
        <f t="shared" si="608"/>
        <v>0.29976503033391522</v>
      </c>
      <c r="AF675" s="1"/>
    </row>
    <row r="676" spans="2:32" x14ac:dyDescent="0.2">
      <c r="C676" s="5" t="str">
        <f t="shared" si="603"/>
        <v>Electricity</v>
      </c>
      <c r="D676" s="5"/>
      <c r="F676" s="1" t="s">
        <v>3</v>
      </c>
      <c r="G676" s="21">
        <f t="shared" si="604"/>
        <v>21.314798988478366</v>
      </c>
      <c r="I676" s="21">
        <f t="shared" ref="I676:AE676" si="609">IFERROR(I660/I$104,0)</f>
        <v>0</v>
      </c>
      <c r="J676" s="21">
        <f t="shared" si="609"/>
        <v>0</v>
      </c>
      <c r="K676" s="21">
        <f t="shared" si="609"/>
        <v>18.212375416031389</v>
      </c>
      <c r="L676" s="21">
        <f t="shared" si="609"/>
        <v>18.212375416031385</v>
      </c>
      <c r="M676" s="21">
        <f t="shared" si="609"/>
        <v>18.212375416031385</v>
      </c>
      <c r="N676" s="21">
        <f t="shared" si="609"/>
        <v>18.212375416031385</v>
      </c>
      <c r="O676" s="21">
        <f t="shared" si="609"/>
        <v>18.212375416031385</v>
      </c>
      <c r="P676" s="21">
        <f t="shared" si="609"/>
        <v>18.212375416031385</v>
      </c>
      <c r="Q676" s="21">
        <f t="shared" si="609"/>
        <v>19.350648879533342</v>
      </c>
      <c r="R676" s="21">
        <f t="shared" si="609"/>
        <v>20.488922343035309</v>
      </c>
      <c r="S676" s="21">
        <f t="shared" si="609"/>
        <v>21.627195806537266</v>
      </c>
      <c r="T676" s="21">
        <f t="shared" si="609"/>
        <v>22.765469270039226</v>
      </c>
      <c r="U676" s="21">
        <f t="shared" si="609"/>
        <v>22.765469270039226</v>
      </c>
      <c r="V676" s="21">
        <f t="shared" si="609"/>
        <v>22.765469270039226</v>
      </c>
      <c r="W676" s="21">
        <f t="shared" si="609"/>
        <v>22.765469270039226</v>
      </c>
      <c r="X676" s="21">
        <f t="shared" si="609"/>
        <v>22.765469270039226</v>
      </c>
      <c r="Y676" s="21">
        <f t="shared" si="609"/>
        <v>22.765469270039226</v>
      </c>
      <c r="Z676" s="21">
        <f t="shared" si="609"/>
        <v>22.765469270039226</v>
      </c>
      <c r="AA676" s="21">
        <f t="shared" si="609"/>
        <v>22.765469270039226</v>
      </c>
      <c r="AB676" s="21">
        <f t="shared" si="609"/>
        <v>22.765469270039226</v>
      </c>
      <c r="AC676" s="21">
        <f t="shared" si="609"/>
        <v>22.765469270039226</v>
      </c>
      <c r="AD676" s="21">
        <f t="shared" si="609"/>
        <v>22.765469270039226</v>
      </c>
      <c r="AE676" s="21">
        <f t="shared" si="609"/>
        <v>22.765469270039226</v>
      </c>
      <c r="AF676" s="1"/>
    </row>
    <row r="677" spans="2:32" x14ac:dyDescent="0.2">
      <c r="C677" s="5" t="str">
        <f t="shared" si="603"/>
        <v>Natural Gas</v>
      </c>
      <c r="D677" s="5"/>
      <c r="F677" s="1" t="s">
        <v>3</v>
      </c>
      <c r="G677" s="21">
        <f t="shared" si="604"/>
        <v>46.466849101803838</v>
      </c>
      <c r="I677" s="21">
        <f t="shared" ref="I677:AE677" si="610">IFERROR(I661/I$104,0)</f>
        <v>0</v>
      </c>
      <c r="J677" s="21">
        <f t="shared" si="610"/>
        <v>0</v>
      </c>
      <c r="K677" s="21">
        <f t="shared" si="610"/>
        <v>40.109472863465669</v>
      </c>
      <c r="L677" s="21">
        <f t="shared" si="610"/>
        <v>39.075936663108372</v>
      </c>
      <c r="M677" s="21">
        <f t="shared" si="610"/>
        <v>46.765908906742183</v>
      </c>
      <c r="N677" s="21">
        <f t="shared" si="610"/>
        <v>46.765908906742183</v>
      </c>
      <c r="O677" s="21">
        <f t="shared" si="610"/>
        <v>46.765908906742183</v>
      </c>
      <c r="P677" s="21">
        <f t="shared" si="610"/>
        <v>46.765908906742183</v>
      </c>
      <c r="Q677" s="21">
        <f t="shared" si="610"/>
        <v>46.765908906742183</v>
      </c>
      <c r="R677" s="21">
        <f t="shared" si="610"/>
        <v>46.765908906742183</v>
      </c>
      <c r="S677" s="21">
        <f t="shared" si="610"/>
        <v>46.765908906742183</v>
      </c>
      <c r="T677" s="21">
        <f t="shared" si="610"/>
        <v>46.765908906742183</v>
      </c>
      <c r="U677" s="21">
        <f t="shared" si="610"/>
        <v>46.765908906742183</v>
      </c>
      <c r="V677" s="21">
        <f t="shared" si="610"/>
        <v>46.765908906742183</v>
      </c>
      <c r="W677" s="21">
        <f t="shared" si="610"/>
        <v>46.765908906742183</v>
      </c>
      <c r="X677" s="21">
        <f t="shared" si="610"/>
        <v>46.765908906742183</v>
      </c>
      <c r="Y677" s="21">
        <f t="shared" si="610"/>
        <v>46.765908906742183</v>
      </c>
      <c r="Z677" s="21">
        <f t="shared" si="610"/>
        <v>46.765908906742183</v>
      </c>
      <c r="AA677" s="21">
        <f t="shared" si="610"/>
        <v>46.765908906742183</v>
      </c>
      <c r="AB677" s="21">
        <f t="shared" si="610"/>
        <v>46.765908906742183</v>
      </c>
      <c r="AC677" s="21">
        <f t="shared" si="610"/>
        <v>46.765908906742183</v>
      </c>
      <c r="AD677" s="21">
        <f t="shared" si="610"/>
        <v>46.765908906742183</v>
      </c>
      <c r="AE677" s="21">
        <f t="shared" si="610"/>
        <v>46.765908906742183</v>
      </c>
      <c r="AF677" s="1"/>
    </row>
    <row r="678" spans="2:32" x14ac:dyDescent="0.2">
      <c r="C678" s="5" t="str">
        <f t="shared" si="603"/>
        <v>Maintenance</v>
      </c>
      <c r="D678" s="5"/>
      <c r="F678" s="1" t="s">
        <v>3</v>
      </c>
      <c r="G678" s="21">
        <f t="shared" si="604"/>
        <v>5.6763465409155911</v>
      </c>
      <c r="I678" s="21">
        <f t="shared" ref="I678:AE678" si="611">IFERROR(I662/I$104,0)</f>
        <v>0</v>
      </c>
      <c r="J678" s="21">
        <f t="shared" si="611"/>
        <v>0</v>
      </c>
      <c r="K678" s="21">
        <f t="shared" si="611"/>
        <v>8.9970092673512081</v>
      </c>
      <c r="L678" s="21">
        <f t="shared" si="611"/>
        <v>5.6231307920945053</v>
      </c>
      <c r="M678" s="21">
        <f t="shared" si="611"/>
        <v>5.6231307920945053</v>
      </c>
      <c r="N678" s="21">
        <f t="shared" si="611"/>
        <v>5.6231307920945053</v>
      </c>
      <c r="O678" s="21">
        <f t="shared" si="611"/>
        <v>5.6231307920945053</v>
      </c>
      <c r="P678" s="21">
        <f t="shared" si="611"/>
        <v>5.6231307920945053</v>
      </c>
      <c r="Q678" s="21">
        <f t="shared" si="611"/>
        <v>5.6231307920945053</v>
      </c>
      <c r="R678" s="21">
        <f t="shared" si="611"/>
        <v>5.6231307920945053</v>
      </c>
      <c r="S678" s="21">
        <f t="shared" si="611"/>
        <v>5.6231307920945053</v>
      </c>
      <c r="T678" s="21">
        <f t="shared" si="611"/>
        <v>5.6231307920945053</v>
      </c>
      <c r="U678" s="21">
        <f t="shared" si="611"/>
        <v>5.6231307920945053</v>
      </c>
      <c r="V678" s="21">
        <f t="shared" si="611"/>
        <v>5.6231307920945053</v>
      </c>
      <c r="W678" s="21">
        <f t="shared" si="611"/>
        <v>5.6231307920945053</v>
      </c>
      <c r="X678" s="21">
        <f t="shared" si="611"/>
        <v>5.6231307920945053</v>
      </c>
      <c r="Y678" s="21">
        <f t="shared" si="611"/>
        <v>5.6231307920945053</v>
      </c>
      <c r="Z678" s="21">
        <f t="shared" si="611"/>
        <v>5.6231307920945053</v>
      </c>
      <c r="AA678" s="21">
        <f t="shared" si="611"/>
        <v>5.6231307920945053</v>
      </c>
      <c r="AB678" s="21">
        <f t="shared" si="611"/>
        <v>5.6231307920945053</v>
      </c>
      <c r="AC678" s="21">
        <f t="shared" si="611"/>
        <v>5.6231307920945053</v>
      </c>
      <c r="AD678" s="21">
        <f t="shared" si="611"/>
        <v>5.6231307920945053</v>
      </c>
      <c r="AE678" s="21">
        <f t="shared" si="611"/>
        <v>5.6231307920945053</v>
      </c>
      <c r="AF678" s="1"/>
    </row>
    <row r="679" spans="2:32" x14ac:dyDescent="0.2">
      <c r="B679" s="21"/>
      <c r="C679" s="5" t="str">
        <f t="shared" si="603"/>
        <v>Electrodes</v>
      </c>
      <c r="D679" s="5"/>
      <c r="F679" s="1" t="s">
        <v>3</v>
      </c>
      <c r="G679" s="21">
        <f t="shared" si="604"/>
        <v>24.000000000000007</v>
      </c>
      <c r="I679" s="21">
        <f t="shared" ref="I679:AE679" si="612">IFERROR(I663/I$104,0)</f>
        <v>0</v>
      </c>
      <c r="J679" s="21">
        <f t="shared" si="612"/>
        <v>0</v>
      </c>
      <c r="K679" s="21">
        <f t="shared" si="612"/>
        <v>24</v>
      </c>
      <c r="L679" s="21">
        <f t="shared" si="612"/>
        <v>24</v>
      </c>
      <c r="M679" s="21">
        <f t="shared" si="612"/>
        <v>24</v>
      </c>
      <c r="N679" s="21">
        <f t="shared" si="612"/>
        <v>24</v>
      </c>
      <c r="O679" s="21">
        <f t="shared" si="612"/>
        <v>24</v>
      </c>
      <c r="P679" s="21">
        <f t="shared" si="612"/>
        <v>24</v>
      </c>
      <c r="Q679" s="21">
        <f t="shared" si="612"/>
        <v>24</v>
      </c>
      <c r="R679" s="21">
        <f t="shared" si="612"/>
        <v>24</v>
      </c>
      <c r="S679" s="21">
        <f t="shared" si="612"/>
        <v>24</v>
      </c>
      <c r="T679" s="21">
        <f t="shared" si="612"/>
        <v>24</v>
      </c>
      <c r="U679" s="21">
        <f t="shared" si="612"/>
        <v>24</v>
      </c>
      <c r="V679" s="21">
        <f t="shared" si="612"/>
        <v>24</v>
      </c>
      <c r="W679" s="21">
        <f t="shared" si="612"/>
        <v>24</v>
      </c>
      <c r="X679" s="21">
        <f t="shared" si="612"/>
        <v>24</v>
      </c>
      <c r="Y679" s="21">
        <f t="shared" si="612"/>
        <v>24</v>
      </c>
      <c r="Z679" s="21">
        <f t="shared" si="612"/>
        <v>24</v>
      </c>
      <c r="AA679" s="21">
        <f t="shared" si="612"/>
        <v>24</v>
      </c>
      <c r="AB679" s="21">
        <f t="shared" si="612"/>
        <v>24</v>
      </c>
      <c r="AC679" s="21">
        <f t="shared" si="612"/>
        <v>24</v>
      </c>
      <c r="AD679" s="21">
        <f t="shared" si="612"/>
        <v>24</v>
      </c>
      <c r="AE679" s="21">
        <f t="shared" si="612"/>
        <v>24</v>
      </c>
      <c r="AF679" s="1"/>
    </row>
    <row r="680" spans="2:32" x14ac:dyDescent="0.2">
      <c r="C680" s="5" t="str">
        <f t="shared" si="603"/>
        <v>Refractories</v>
      </c>
      <c r="D680" s="5"/>
      <c r="F680" s="1" t="s">
        <v>3</v>
      </c>
      <c r="G680" s="21">
        <f t="shared" si="604"/>
        <v>10.004081473640616</v>
      </c>
      <c r="I680" s="21">
        <f t="shared" ref="I680:AE680" si="613">IFERROR(I664/I$104,0)</f>
        <v>0</v>
      </c>
      <c r="J680" s="21">
        <f t="shared" si="613"/>
        <v>0</v>
      </c>
      <c r="K680" s="21">
        <f t="shared" si="613"/>
        <v>10.014115904720377</v>
      </c>
      <c r="L680" s="21">
        <f t="shared" si="613"/>
        <v>10.003920665450234</v>
      </c>
      <c r="M680" s="21">
        <f t="shared" si="613"/>
        <v>10.003920665450234</v>
      </c>
      <c r="N680" s="21">
        <f t="shared" si="613"/>
        <v>10.003920665450234</v>
      </c>
      <c r="O680" s="21">
        <f t="shared" si="613"/>
        <v>10.003920665450234</v>
      </c>
      <c r="P680" s="21">
        <f t="shared" si="613"/>
        <v>10.003920665450234</v>
      </c>
      <c r="Q680" s="21">
        <f t="shared" si="613"/>
        <v>10.003920665450234</v>
      </c>
      <c r="R680" s="21">
        <f t="shared" si="613"/>
        <v>10.003920665450234</v>
      </c>
      <c r="S680" s="21">
        <f t="shared" si="613"/>
        <v>10.003920665450234</v>
      </c>
      <c r="T680" s="21">
        <f t="shared" si="613"/>
        <v>10.003920665450234</v>
      </c>
      <c r="U680" s="21">
        <f t="shared" si="613"/>
        <v>10.003920665450234</v>
      </c>
      <c r="V680" s="21">
        <f t="shared" si="613"/>
        <v>10.003920665450234</v>
      </c>
      <c r="W680" s="21">
        <f t="shared" si="613"/>
        <v>10.003920665450234</v>
      </c>
      <c r="X680" s="21">
        <f t="shared" si="613"/>
        <v>10.003920665450234</v>
      </c>
      <c r="Y680" s="21">
        <f t="shared" si="613"/>
        <v>10.003920665450234</v>
      </c>
      <c r="Z680" s="21">
        <f t="shared" si="613"/>
        <v>10.003920665450234</v>
      </c>
      <c r="AA680" s="21">
        <f t="shared" si="613"/>
        <v>10.003920665450234</v>
      </c>
      <c r="AB680" s="21">
        <f t="shared" si="613"/>
        <v>10.003920665450234</v>
      </c>
      <c r="AC680" s="21">
        <f t="shared" si="613"/>
        <v>10.003920665450234</v>
      </c>
      <c r="AD680" s="21">
        <f t="shared" si="613"/>
        <v>10.003920665450234</v>
      </c>
      <c r="AE680" s="21">
        <f t="shared" si="613"/>
        <v>10.003920665450234</v>
      </c>
      <c r="AF680" s="1"/>
    </row>
    <row r="681" spans="2:32" x14ac:dyDescent="0.2">
      <c r="C681" s="5" t="str">
        <f t="shared" si="603"/>
        <v>Slag processing</v>
      </c>
      <c r="D681" s="5"/>
      <c r="F681" s="1" t="s">
        <v>3</v>
      </c>
      <c r="G681" s="21">
        <f t="shared" si="604"/>
        <v>3.1750616470588251</v>
      </c>
      <c r="I681" s="21">
        <f t="shared" ref="I681:AE681" si="614">IFERROR(I665/I$104,0)</f>
        <v>0</v>
      </c>
      <c r="J681" s="21">
        <f t="shared" si="614"/>
        <v>0</v>
      </c>
      <c r="K681" s="21">
        <f t="shared" si="614"/>
        <v>3.1750616470588242</v>
      </c>
      <c r="L681" s="21">
        <f t="shared" si="614"/>
        <v>3.1750616470588238</v>
      </c>
      <c r="M681" s="21">
        <f t="shared" si="614"/>
        <v>3.1750616470588238</v>
      </c>
      <c r="N681" s="21">
        <f t="shared" si="614"/>
        <v>3.1750616470588238</v>
      </c>
      <c r="O681" s="21">
        <f t="shared" si="614"/>
        <v>3.1750616470588238</v>
      </c>
      <c r="P681" s="21">
        <f t="shared" si="614"/>
        <v>3.1750616470588238</v>
      </c>
      <c r="Q681" s="21">
        <f t="shared" si="614"/>
        <v>3.1750616470588238</v>
      </c>
      <c r="R681" s="21">
        <f t="shared" si="614"/>
        <v>3.1750616470588238</v>
      </c>
      <c r="S681" s="21">
        <f t="shared" si="614"/>
        <v>3.1750616470588238</v>
      </c>
      <c r="T681" s="21">
        <f t="shared" si="614"/>
        <v>3.1750616470588238</v>
      </c>
      <c r="U681" s="21">
        <f t="shared" si="614"/>
        <v>3.1750616470588238</v>
      </c>
      <c r="V681" s="21">
        <f t="shared" si="614"/>
        <v>3.1750616470588238</v>
      </c>
      <c r="W681" s="21">
        <f t="shared" si="614"/>
        <v>3.1750616470588238</v>
      </c>
      <c r="X681" s="21">
        <f t="shared" si="614"/>
        <v>3.1750616470588238</v>
      </c>
      <c r="Y681" s="21">
        <f t="shared" si="614"/>
        <v>3.1750616470588238</v>
      </c>
      <c r="Z681" s="21">
        <f t="shared" si="614"/>
        <v>3.1750616470588238</v>
      </c>
      <c r="AA681" s="21">
        <f t="shared" si="614"/>
        <v>3.1750616470588238</v>
      </c>
      <c r="AB681" s="21">
        <f t="shared" si="614"/>
        <v>3.1750616470588238</v>
      </c>
      <c r="AC681" s="21">
        <f t="shared" si="614"/>
        <v>3.1750616470588238</v>
      </c>
      <c r="AD681" s="21">
        <f t="shared" si="614"/>
        <v>3.1750616470588238</v>
      </c>
      <c r="AE681" s="21">
        <f t="shared" si="614"/>
        <v>3.1750616470588238</v>
      </c>
      <c r="AF681" s="1"/>
    </row>
    <row r="682" spans="2:32" x14ac:dyDescent="0.2">
      <c r="C682" s="5" t="str">
        <f t="shared" si="603"/>
        <v>Other gases and supplies</v>
      </c>
      <c r="D682" s="5"/>
      <c r="F682" s="1" t="s">
        <v>3</v>
      </c>
      <c r="G682" s="21">
        <f t="shared" si="604"/>
        <v>0.18621656822490251</v>
      </c>
      <c r="I682" s="21">
        <f t="shared" ref="I682:AE682" si="615">IFERROR(I666/I$104,0)</f>
        <v>0</v>
      </c>
      <c r="J682" s="21">
        <f t="shared" si="615"/>
        <v>0</v>
      </c>
      <c r="K682" s="21">
        <f t="shared" si="615"/>
        <v>0.2951532606364704</v>
      </c>
      <c r="L682" s="21">
        <f t="shared" si="615"/>
        <v>0.18447078789779398</v>
      </c>
      <c r="M682" s="21">
        <f t="shared" si="615"/>
        <v>0.18447078789779398</v>
      </c>
      <c r="N682" s="21">
        <f t="shared" si="615"/>
        <v>0.18447078789779398</v>
      </c>
      <c r="O682" s="21">
        <f t="shared" si="615"/>
        <v>0.18447078789779398</v>
      </c>
      <c r="P682" s="21">
        <f t="shared" si="615"/>
        <v>0.18447078789779398</v>
      </c>
      <c r="Q682" s="21">
        <f t="shared" si="615"/>
        <v>0.18447078789779398</v>
      </c>
      <c r="R682" s="21">
        <f t="shared" si="615"/>
        <v>0.18447078789779398</v>
      </c>
      <c r="S682" s="21">
        <f t="shared" si="615"/>
        <v>0.18447078789779398</v>
      </c>
      <c r="T682" s="21">
        <f t="shared" si="615"/>
        <v>0.18447078789779398</v>
      </c>
      <c r="U682" s="21">
        <f t="shared" si="615"/>
        <v>0.18447078789779398</v>
      </c>
      <c r="V682" s="21">
        <f t="shared" si="615"/>
        <v>0.18447078789779398</v>
      </c>
      <c r="W682" s="21">
        <f t="shared" si="615"/>
        <v>0.18447078789779398</v>
      </c>
      <c r="X682" s="21">
        <f t="shared" si="615"/>
        <v>0.18447078789779398</v>
      </c>
      <c r="Y682" s="21">
        <f t="shared" si="615"/>
        <v>0.18447078789779398</v>
      </c>
      <c r="Z682" s="21">
        <f t="shared" si="615"/>
        <v>0.18447078789779398</v>
      </c>
      <c r="AA682" s="21">
        <f t="shared" si="615"/>
        <v>0.18447078789779398</v>
      </c>
      <c r="AB682" s="21">
        <f t="shared" si="615"/>
        <v>0.18447078789779398</v>
      </c>
      <c r="AC682" s="21">
        <f t="shared" si="615"/>
        <v>0.18447078789779398</v>
      </c>
      <c r="AD682" s="21">
        <f t="shared" si="615"/>
        <v>0.18447078789779398</v>
      </c>
      <c r="AE682" s="21">
        <f t="shared" si="615"/>
        <v>0.18447078789779398</v>
      </c>
      <c r="AF682" s="1"/>
    </row>
    <row r="683" spans="2:32" x14ac:dyDescent="0.2">
      <c r="C683" s="5" t="str">
        <f t="shared" si="603"/>
        <v>General services and mobile equipment</v>
      </c>
      <c r="D683" s="5"/>
      <c r="F683" s="1" t="s">
        <v>3</v>
      </c>
      <c r="G683" s="21">
        <f t="shared" si="604"/>
        <v>1.7500000000000002</v>
      </c>
      <c r="I683" s="21">
        <f t="shared" ref="I683:AE683" si="616">IFERROR(I667/I$104,0)</f>
        <v>0</v>
      </c>
      <c r="J683" s="21">
        <f t="shared" si="616"/>
        <v>0</v>
      </c>
      <c r="K683" s="21">
        <f t="shared" si="616"/>
        <v>1.7500000000000002</v>
      </c>
      <c r="L683" s="21">
        <f t="shared" si="616"/>
        <v>1.7500000000000002</v>
      </c>
      <c r="M683" s="21">
        <f t="shared" si="616"/>
        <v>1.7500000000000002</v>
      </c>
      <c r="N683" s="21">
        <f t="shared" si="616"/>
        <v>1.7500000000000002</v>
      </c>
      <c r="O683" s="21">
        <f t="shared" si="616"/>
        <v>1.7500000000000002</v>
      </c>
      <c r="P683" s="21">
        <f t="shared" si="616"/>
        <v>1.7500000000000002</v>
      </c>
      <c r="Q683" s="21">
        <f t="shared" si="616"/>
        <v>1.7500000000000002</v>
      </c>
      <c r="R683" s="21">
        <f t="shared" si="616"/>
        <v>1.7500000000000002</v>
      </c>
      <c r="S683" s="21">
        <f t="shared" si="616"/>
        <v>1.7500000000000002</v>
      </c>
      <c r="T683" s="21">
        <f t="shared" si="616"/>
        <v>1.7500000000000002</v>
      </c>
      <c r="U683" s="21">
        <f t="shared" si="616"/>
        <v>1.7500000000000002</v>
      </c>
      <c r="V683" s="21">
        <f t="shared" si="616"/>
        <v>1.7500000000000002</v>
      </c>
      <c r="W683" s="21">
        <f t="shared" si="616"/>
        <v>1.7500000000000002</v>
      </c>
      <c r="X683" s="21">
        <f t="shared" si="616"/>
        <v>1.7500000000000002</v>
      </c>
      <c r="Y683" s="21">
        <f t="shared" si="616"/>
        <v>1.7500000000000002</v>
      </c>
      <c r="Z683" s="21">
        <f t="shared" si="616"/>
        <v>1.7500000000000002</v>
      </c>
      <c r="AA683" s="21">
        <f t="shared" si="616"/>
        <v>1.7500000000000002</v>
      </c>
      <c r="AB683" s="21">
        <f t="shared" si="616"/>
        <v>1.7500000000000002</v>
      </c>
      <c r="AC683" s="21">
        <f t="shared" si="616"/>
        <v>1.7500000000000002</v>
      </c>
      <c r="AD683" s="21">
        <f t="shared" si="616"/>
        <v>1.7500000000000002</v>
      </c>
      <c r="AE683" s="21">
        <f t="shared" si="616"/>
        <v>1.7500000000000002</v>
      </c>
      <c r="AF683" s="1"/>
    </row>
    <row r="684" spans="2:32" x14ac:dyDescent="0.2">
      <c r="C684" s="5" t="str">
        <f t="shared" si="603"/>
        <v>Industrial Water</v>
      </c>
      <c r="D684" s="5"/>
      <c r="F684" s="1" t="s">
        <v>3</v>
      </c>
      <c r="G684" s="21">
        <f t="shared" si="604"/>
        <v>0.44252771362586624</v>
      </c>
      <c r="I684" s="21">
        <f t="shared" ref="I684:AE684" si="617">IFERROR(I668/I$104,0)</f>
        <v>0</v>
      </c>
      <c r="J684" s="21">
        <f t="shared" si="617"/>
        <v>0</v>
      </c>
      <c r="K684" s="21">
        <f t="shared" si="617"/>
        <v>0.44252771362586607</v>
      </c>
      <c r="L684" s="21">
        <f t="shared" si="617"/>
        <v>0.44252771362586601</v>
      </c>
      <c r="M684" s="21">
        <f t="shared" si="617"/>
        <v>0.44252771362586601</v>
      </c>
      <c r="N684" s="21">
        <f t="shared" si="617"/>
        <v>0.44252771362586601</v>
      </c>
      <c r="O684" s="21">
        <f t="shared" si="617"/>
        <v>0.44252771362586601</v>
      </c>
      <c r="P684" s="21">
        <f t="shared" si="617"/>
        <v>0.44252771362586601</v>
      </c>
      <c r="Q684" s="21">
        <f t="shared" si="617"/>
        <v>0.44252771362586601</v>
      </c>
      <c r="R684" s="21">
        <f t="shared" si="617"/>
        <v>0.44252771362586601</v>
      </c>
      <c r="S684" s="21">
        <f t="shared" si="617"/>
        <v>0.44252771362586601</v>
      </c>
      <c r="T684" s="21">
        <f t="shared" si="617"/>
        <v>0.44252771362586601</v>
      </c>
      <c r="U684" s="21">
        <f t="shared" si="617"/>
        <v>0.44252771362586601</v>
      </c>
      <c r="V684" s="21">
        <f t="shared" si="617"/>
        <v>0.44252771362586601</v>
      </c>
      <c r="W684" s="21">
        <f t="shared" si="617"/>
        <v>0.44252771362586601</v>
      </c>
      <c r="X684" s="21">
        <f t="shared" si="617"/>
        <v>0.44252771362586601</v>
      </c>
      <c r="Y684" s="21">
        <f t="shared" si="617"/>
        <v>0.44252771362586601</v>
      </c>
      <c r="Z684" s="21">
        <f t="shared" si="617"/>
        <v>0.44252771362586601</v>
      </c>
      <c r="AA684" s="21">
        <f t="shared" si="617"/>
        <v>0.44252771362586601</v>
      </c>
      <c r="AB684" s="21">
        <f t="shared" si="617"/>
        <v>0.44252771362586601</v>
      </c>
      <c r="AC684" s="21">
        <f t="shared" si="617"/>
        <v>0.44252771362586601</v>
      </c>
      <c r="AD684" s="21">
        <f t="shared" si="617"/>
        <v>0.44252771362586601</v>
      </c>
      <c r="AE684" s="21">
        <f t="shared" si="617"/>
        <v>0.44252771362586601</v>
      </c>
      <c r="AF684" s="1"/>
    </row>
    <row r="685" spans="2:32" x14ac:dyDescent="0.2">
      <c r="C685" s="5" t="str">
        <f t="shared" si="603"/>
        <v>O2, N2, others</v>
      </c>
      <c r="D685" s="5"/>
      <c r="F685" s="1" t="s">
        <v>3</v>
      </c>
      <c r="G685" s="21">
        <f t="shared" si="604"/>
        <v>5.0500000000000034</v>
      </c>
      <c r="I685" s="21">
        <f t="shared" ref="I685:AE685" si="618">IFERROR(I669/I$104,0)</f>
        <v>0</v>
      </c>
      <c r="J685" s="21">
        <f t="shared" si="618"/>
        <v>0</v>
      </c>
      <c r="K685" s="21">
        <f t="shared" si="618"/>
        <v>5.0500000000000007</v>
      </c>
      <c r="L685" s="21">
        <f t="shared" si="618"/>
        <v>5.0499999999999989</v>
      </c>
      <c r="M685" s="21">
        <f t="shared" si="618"/>
        <v>5.0499999999999989</v>
      </c>
      <c r="N685" s="21">
        <f t="shared" si="618"/>
        <v>5.0499999999999989</v>
      </c>
      <c r="O685" s="21">
        <f t="shared" si="618"/>
        <v>5.0499999999999989</v>
      </c>
      <c r="P685" s="21">
        <f t="shared" si="618"/>
        <v>5.0499999999999989</v>
      </c>
      <c r="Q685" s="21">
        <f t="shared" si="618"/>
        <v>5.0499999999999989</v>
      </c>
      <c r="R685" s="21">
        <f t="shared" si="618"/>
        <v>5.0499999999999989</v>
      </c>
      <c r="S685" s="21">
        <f t="shared" si="618"/>
        <v>5.0499999999999989</v>
      </c>
      <c r="T685" s="21">
        <f t="shared" si="618"/>
        <v>5.0499999999999989</v>
      </c>
      <c r="U685" s="21">
        <f t="shared" si="618"/>
        <v>5.0499999999999989</v>
      </c>
      <c r="V685" s="21">
        <f t="shared" si="618"/>
        <v>5.0499999999999989</v>
      </c>
      <c r="W685" s="21">
        <f t="shared" si="618"/>
        <v>5.0499999999999989</v>
      </c>
      <c r="X685" s="21">
        <f t="shared" si="618"/>
        <v>5.0499999999999989</v>
      </c>
      <c r="Y685" s="21">
        <f t="shared" si="618"/>
        <v>5.0499999999999989</v>
      </c>
      <c r="Z685" s="21">
        <f t="shared" si="618"/>
        <v>5.0499999999999989</v>
      </c>
      <c r="AA685" s="21">
        <f t="shared" si="618"/>
        <v>5.0499999999999989</v>
      </c>
      <c r="AB685" s="21">
        <f t="shared" si="618"/>
        <v>5.0499999999999989</v>
      </c>
      <c r="AC685" s="21">
        <f t="shared" si="618"/>
        <v>5.0499999999999989</v>
      </c>
      <c r="AD685" s="21">
        <f t="shared" si="618"/>
        <v>5.0499999999999989</v>
      </c>
      <c r="AE685" s="21">
        <f t="shared" si="618"/>
        <v>5.0499999999999989</v>
      </c>
      <c r="AF685" s="1"/>
    </row>
    <row r="686" spans="2:32" x14ac:dyDescent="0.2">
      <c r="C686" s="20" t="str">
        <f t="shared" si="603"/>
        <v>Total Pig Iron plant production cost</v>
      </c>
      <c r="D686" s="20"/>
      <c r="F686" s="9" t="s">
        <v>3</v>
      </c>
      <c r="G686" s="44">
        <f t="shared" si="604"/>
        <v>329.49020271705433</v>
      </c>
      <c r="I686" s="44">
        <f>IFERROR(I670/I$104,0)</f>
        <v>0</v>
      </c>
      <c r="J686" s="44">
        <f t="shared" ref="J686:AE686" si="619">IFERROR(J670/J$104,0)</f>
        <v>0</v>
      </c>
      <c r="K686" s="44">
        <f t="shared" si="619"/>
        <v>332.0902757772883</v>
      </c>
      <c r="L686" s="44">
        <f t="shared" si="619"/>
        <v>318.80359951246601</v>
      </c>
      <c r="M686" s="44">
        <f t="shared" si="619"/>
        <v>326.49357175609981</v>
      </c>
      <c r="N686" s="44">
        <f t="shared" si="619"/>
        <v>326.49357175609981</v>
      </c>
      <c r="O686" s="44">
        <f t="shared" si="619"/>
        <v>326.49357175609981</v>
      </c>
      <c r="P686" s="44">
        <f t="shared" si="619"/>
        <v>326.49357175609981</v>
      </c>
      <c r="Q686" s="44">
        <f t="shared" si="619"/>
        <v>327.63184521960181</v>
      </c>
      <c r="R686" s="44">
        <f t="shared" si="619"/>
        <v>328.7701186831037</v>
      </c>
      <c r="S686" s="44">
        <f t="shared" si="619"/>
        <v>329.90839214660571</v>
      </c>
      <c r="T686" s="44">
        <f t="shared" si="619"/>
        <v>331.04666561010771</v>
      </c>
      <c r="U686" s="44">
        <f t="shared" si="619"/>
        <v>331.04666561010771</v>
      </c>
      <c r="V686" s="44">
        <f t="shared" si="619"/>
        <v>331.04666561010771</v>
      </c>
      <c r="W686" s="44">
        <f t="shared" si="619"/>
        <v>331.04666561010771</v>
      </c>
      <c r="X686" s="44">
        <f t="shared" si="619"/>
        <v>331.04666561010771</v>
      </c>
      <c r="Y686" s="44">
        <f t="shared" si="619"/>
        <v>331.04666561010771</v>
      </c>
      <c r="Z686" s="44">
        <f t="shared" si="619"/>
        <v>331.04666561010771</v>
      </c>
      <c r="AA686" s="44">
        <f t="shared" si="619"/>
        <v>331.04666561010771</v>
      </c>
      <c r="AB686" s="44">
        <f t="shared" si="619"/>
        <v>331.04666561010771</v>
      </c>
      <c r="AC686" s="44">
        <f t="shared" si="619"/>
        <v>331.04666561010771</v>
      </c>
      <c r="AD686" s="44">
        <f t="shared" si="619"/>
        <v>331.04666561010771</v>
      </c>
      <c r="AE686" s="44">
        <f t="shared" si="619"/>
        <v>331.04666561010771</v>
      </c>
      <c r="AF686" s="1"/>
    </row>
    <row r="687" spans="2:32" x14ac:dyDescent="0.2">
      <c r="C687" s="5"/>
      <c r="D687" s="5"/>
      <c r="AF687" s="1"/>
    </row>
    <row r="688" spans="2:32" x14ac:dyDescent="0.2">
      <c r="C688" s="5" t="s">
        <v>47</v>
      </c>
      <c r="D688" s="5"/>
      <c r="F688" s="1" t="s">
        <v>55</v>
      </c>
      <c r="G688" s="21">
        <f t="shared" ref="G688:G694" si="620">SUM(I688:AE688)</f>
        <v>126.60915370589179</v>
      </c>
      <c r="I688" s="21">
        <f t="shared" ref="I688" si="621">I656</f>
        <v>0</v>
      </c>
      <c r="J688" s="21">
        <f t="shared" ref="J688" si="622">J656</f>
        <v>0</v>
      </c>
      <c r="K688" s="21">
        <f t="shared" ref="K688:AE688" si="623">K656</f>
        <v>3.1652288426472945</v>
      </c>
      <c r="L688" s="21">
        <f t="shared" si="623"/>
        <v>3.1652288426472945</v>
      </c>
      <c r="M688" s="21">
        <f t="shared" si="623"/>
        <v>6.3304576852945891</v>
      </c>
      <c r="N688" s="21">
        <f t="shared" si="623"/>
        <v>6.3304576852945891</v>
      </c>
      <c r="O688" s="21">
        <f t="shared" si="623"/>
        <v>6.3304576852945891</v>
      </c>
      <c r="P688" s="21">
        <f t="shared" si="623"/>
        <v>6.3304576852945891</v>
      </c>
      <c r="Q688" s="21">
        <f t="shared" si="623"/>
        <v>6.3304576852945891</v>
      </c>
      <c r="R688" s="21">
        <f t="shared" si="623"/>
        <v>6.3304576852945891</v>
      </c>
      <c r="S688" s="21">
        <f t="shared" si="623"/>
        <v>6.3304576852945891</v>
      </c>
      <c r="T688" s="21">
        <f t="shared" si="623"/>
        <v>6.3304576852945891</v>
      </c>
      <c r="U688" s="21">
        <f t="shared" si="623"/>
        <v>6.3304576852945891</v>
      </c>
      <c r="V688" s="21">
        <f t="shared" si="623"/>
        <v>6.3304576852945891</v>
      </c>
      <c r="W688" s="21">
        <f t="shared" si="623"/>
        <v>6.3304576852945891</v>
      </c>
      <c r="X688" s="21">
        <f t="shared" si="623"/>
        <v>6.3304576852945891</v>
      </c>
      <c r="Y688" s="21">
        <f t="shared" si="623"/>
        <v>6.3304576852945891</v>
      </c>
      <c r="Z688" s="21">
        <f t="shared" si="623"/>
        <v>6.3304576852945891</v>
      </c>
      <c r="AA688" s="21">
        <f t="shared" si="623"/>
        <v>6.3304576852945891</v>
      </c>
      <c r="AB688" s="21">
        <f t="shared" si="623"/>
        <v>6.3304576852945891</v>
      </c>
      <c r="AC688" s="21">
        <f t="shared" si="623"/>
        <v>6.3304576852945891</v>
      </c>
      <c r="AD688" s="21">
        <f t="shared" si="623"/>
        <v>6.3304576852945891</v>
      </c>
      <c r="AE688" s="21">
        <f t="shared" si="623"/>
        <v>6.3304576852945891</v>
      </c>
      <c r="AF688" s="1"/>
    </row>
    <row r="689" spans="2:36" x14ac:dyDescent="0.2">
      <c r="C689" s="5" t="str">
        <f>C612</f>
        <v>Raw Material Costs</v>
      </c>
      <c r="D689" s="5"/>
      <c r="F689" s="1" t="s">
        <v>55</v>
      </c>
      <c r="G689" s="21">
        <f t="shared" si="620"/>
        <v>1689.9795436259958</v>
      </c>
      <c r="I689" s="52">
        <f t="shared" ref="I689" si="624">I616</f>
        <v>0</v>
      </c>
      <c r="J689" s="52">
        <f t="shared" ref="J689" si="625">J616</f>
        <v>0</v>
      </c>
      <c r="K689" s="52">
        <f t="shared" ref="K689:AE689" si="626">K616</f>
        <v>26.65582876381696</v>
      </c>
      <c r="L689" s="52">
        <f t="shared" si="626"/>
        <v>42.64932602210714</v>
      </c>
      <c r="M689" s="52">
        <f t="shared" si="626"/>
        <v>85.298652044214279</v>
      </c>
      <c r="N689" s="52">
        <f t="shared" si="626"/>
        <v>85.298652044214279</v>
      </c>
      <c r="O689" s="52">
        <f t="shared" si="626"/>
        <v>85.298652044214279</v>
      </c>
      <c r="P689" s="52">
        <f t="shared" si="626"/>
        <v>85.298652044214279</v>
      </c>
      <c r="Q689" s="52">
        <f t="shared" si="626"/>
        <v>85.298652044214279</v>
      </c>
      <c r="R689" s="52">
        <f t="shared" si="626"/>
        <v>85.298652044214279</v>
      </c>
      <c r="S689" s="52">
        <f t="shared" si="626"/>
        <v>85.298652044214279</v>
      </c>
      <c r="T689" s="52">
        <f t="shared" si="626"/>
        <v>85.298652044214279</v>
      </c>
      <c r="U689" s="52">
        <f t="shared" si="626"/>
        <v>85.298652044214279</v>
      </c>
      <c r="V689" s="52">
        <f t="shared" si="626"/>
        <v>85.298652044214279</v>
      </c>
      <c r="W689" s="52">
        <f t="shared" si="626"/>
        <v>85.298652044214279</v>
      </c>
      <c r="X689" s="52">
        <f t="shared" si="626"/>
        <v>85.298652044214279</v>
      </c>
      <c r="Y689" s="52">
        <f t="shared" si="626"/>
        <v>85.298652044214279</v>
      </c>
      <c r="Z689" s="52">
        <f t="shared" si="626"/>
        <v>85.298652044214279</v>
      </c>
      <c r="AA689" s="52">
        <f t="shared" si="626"/>
        <v>85.298652044214279</v>
      </c>
      <c r="AB689" s="52">
        <f t="shared" si="626"/>
        <v>85.298652044214279</v>
      </c>
      <c r="AC689" s="52">
        <f t="shared" si="626"/>
        <v>85.298652044214279</v>
      </c>
      <c r="AD689" s="52">
        <f t="shared" si="626"/>
        <v>85.298652044214279</v>
      </c>
      <c r="AE689" s="52">
        <f t="shared" si="626"/>
        <v>85.298652044214279</v>
      </c>
      <c r="AF689" s="1"/>
    </row>
    <row r="690" spans="2:36" x14ac:dyDescent="0.2">
      <c r="C690" s="5" t="str">
        <f>C618</f>
        <v>Storage &amp; Cold Processing</v>
      </c>
      <c r="D690" s="5"/>
      <c r="F690" s="1" t="s">
        <v>55</v>
      </c>
      <c r="G690" s="21">
        <f t="shared" si="620"/>
        <v>3.4202219606534312</v>
      </c>
      <c r="I690" s="52">
        <f t="shared" ref="I690" si="627">I622</f>
        <v>0</v>
      </c>
      <c r="J690" s="52">
        <f t="shared" ref="J690" si="628">J622</f>
        <v>0</v>
      </c>
      <c r="K690" s="52">
        <f t="shared" ref="K690:AE690" si="629">K622</f>
        <v>7.3479755534412827E-2</v>
      </c>
      <c r="L690" s="52">
        <f t="shared" si="629"/>
        <v>8.1918908855060535E-2</v>
      </c>
      <c r="M690" s="52">
        <f t="shared" si="629"/>
        <v>0.16383781771012107</v>
      </c>
      <c r="N690" s="52">
        <f t="shared" si="629"/>
        <v>0.16383781771012107</v>
      </c>
      <c r="O690" s="52">
        <f t="shared" si="629"/>
        <v>0.16383781771012107</v>
      </c>
      <c r="P690" s="52">
        <f t="shared" si="629"/>
        <v>0.16383781771012107</v>
      </c>
      <c r="Q690" s="52">
        <f t="shared" si="629"/>
        <v>0.16665086881700361</v>
      </c>
      <c r="R690" s="52">
        <f t="shared" si="629"/>
        <v>0.16946391992388618</v>
      </c>
      <c r="S690" s="52">
        <f t="shared" si="629"/>
        <v>0.17227697103076875</v>
      </c>
      <c r="T690" s="52">
        <f t="shared" si="629"/>
        <v>0.17509002213765132</v>
      </c>
      <c r="U690" s="52">
        <f t="shared" si="629"/>
        <v>0.17509002213765132</v>
      </c>
      <c r="V690" s="52">
        <f t="shared" si="629"/>
        <v>0.17509002213765132</v>
      </c>
      <c r="W690" s="52">
        <f t="shared" si="629"/>
        <v>0.17509002213765132</v>
      </c>
      <c r="X690" s="52">
        <f t="shared" si="629"/>
        <v>0.17509002213765132</v>
      </c>
      <c r="Y690" s="52">
        <f t="shared" si="629"/>
        <v>0.17509002213765132</v>
      </c>
      <c r="Z690" s="52">
        <f t="shared" si="629"/>
        <v>0.17509002213765132</v>
      </c>
      <c r="AA690" s="52">
        <f t="shared" si="629"/>
        <v>0.17509002213765132</v>
      </c>
      <c r="AB690" s="52">
        <f t="shared" si="629"/>
        <v>0.17509002213765132</v>
      </c>
      <c r="AC690" s="52">
        <f t="shared" si="629"/>
        <v>0.17509002213765132</v>
      </c>
      <c r="AD690" s="52">
        <f t="shared" si="629"/>
        <v>0.17509002213765132</v>
      </c>
      <c r="AE690" s="52">
        <f t="shared" si="629"/>
        <v>0.17509002213765132</v>
      </c>
      <c r="AF690" s="1"/>
    </row>
    <row r="691" spans="2:36" x14ac:dyDescent="0.2">
      <c r="C691" s="5" t="str">
        <f>C624</f>
        <v>Shaft Furnace</v>
      </c>
      <c r="D691" s="5"/>
      <c r="F691" s="1" t="s">
        <v>55</v>
      </c>
      <c r="G691" s="21">
        <f t="shared" si="620"/>
        <v>492.9510506073849</v>
      </c>
      <c r="I691" s="52">
        <f t="shared" ref="I691" si="630">I630</f>
        <v>0</v>
      </c>
      <c r="J691" s="52">
        <f t="shared" ref="J691" si="631">J630</f>
        <v>0</v>
      </c>
      <c r="K691" s="52">
        <f t="shared" ref="K691:AE691" si="632">K630</f>
        <v>7.1080064333894146</v>
      </c>
      <c r="L691" s="52">
        <f t="shared" si="632"/>
        <v>10.74538552111429</v>
      </c>
      <c r="M691" s="52">
        <f t="shared" si="632"/>
        <v>24.825704375041987</v>
      </c>
      <c r="N691" s="52">
        <f t="shared" si="632"/>
        <v>24.825704375041987</v>
      </c>
      <c r="O691" s="52">
        <f t="shared" si="632"/>
        <v>24.825704375041987</v>
      </c>
      <c r="P691" s="52">
        <f t="shared" si="632"/>
        <v>24.825704375041987</v>
      </c>
      <c r="Q691" s="52">
        <f t="shared" si="632"/>
        <v>24.888839107025007</v>
      </c>
      <c r="R691" s="52">
        <f t="shared" si="632"/>
        <v>24.951973839008033</v>
      </c>
      <c r="S691" s="52">
        <f t="shared" si="632"/>
        <v>25.015108570991053</v>
      </c>
      <c r="T691" s="52">
        <f t="shared" si="632"/>
        <v>25.07824330297408</v>
      </c>
      <c r="U691" s="52">
        <f t="shared" si="632"/>
        <v>25.07824330297408</v>
      </c>
      <c r="V691" s="52">
        <f t="shared" si="632"/>
        <v>25.07824330297408</v>
      </c>
      <c r="W691" s="52">
        <f t="shared" si="632"/>
        <v>25.07824330297408</v>
      </c>
      <c r="X691" s="52">
        <f t="shared" si="632"/>
        <v>25.07824330297408</v>
      </c>
      <c r="Y691" s="52">
        <f t="shared" si="632"/>
        <v>25.07824330297408</v>
      </c>
      <c r="Z691" s="52">
        <f t="shared" si="632"/>
        <v>25.07824330297408</v>
      </c>
      <c r="AA691" s="52">
        <f t="shared" si="632"/>
        <v>25.07824330297408</v>
      </c>
      <c r="AB691" s="52">
        <f t="shared" si="632"/>
        <v>25.07824330297408</v>
      </c>
      <c r="AC691" s="52">
        <f t="shared" si="632"/>
        <v>25.07824330297408</v>
      </c>
      <c r="AD691" s="52">
        <f t="shared" si="632"/>
        <v>25.07824330297408</v>
      </c>
      <c r="AE691" s="52">
        <f t="shared" si="632"/>
        <v>25.07824330297408</v>
      </c>
      <c r="AF691" s="1"/>
    </row>
    <row r="692" spans="2:36" x14ac:dyDescent="0.2">
      <c r="C692" s="5" t="str">
        <f>C632</f>
        <v>EAF</v>
      </c>
      <c r="D692" s="5"/>
      <c r="F692" s="1" t="s">
        <v>55</v>
      </c>
      <c r="G692" s="21">
        <f t="shared" si="620"/>
        <v>457.02190762956172</v>
      </c>
      <c r="I692" s="52">
        <f t="shared" ref="I692" si="633">I644</f>
        <v>0</v>
      </c>
      <c r="J692" s="52">
        <f t="shared" ref="J692" si="634">J644</f>
        <v>0</v>
      </c>
      <c r="K692" s="52">
        <f t="shared" ref="K692:AE692" si="635">K644</f>
        <v>6.9457788900600361</v>
      </c>
      <c r="L692" s="52">
        <f t="shared" si="635"/>
        <v>11.043722124096057</v>
      </c>
      <c r="M692" s="52">
        <f t="shared" si="635"/>
        <v>22.087444248192114</v>
      </c>
      <c r="N692" s="52">
        <f t="shared" si="635"/>
        <v>22.087444248192114</v>
      </c>
      <c r="O692" s="52">
        <f t="shared" si="635"/>
        <v>22.087444248192114</v>
      </c>
      <c r="P692" s="52">
        <f t="shared" si="635"/>
        <v>22.087444248192114</v>
      </c>
      <c r="Q692" s="52">
        <f t="shared" si="635"/>
        <v>22.446165838928327</v>
      </c>
      <c r="R692" s="52">
        <f t="shared" si="635"/>
        <v>22.804887429664536</v>
      </c>
      <c r="S692" s="52">
        <f t="shared" si="635"/>
        <v>23.163609020400745</v>
      </c>
      <c r="T692" s="52">
        <f t="shared" si="635"/>
        <v>23.522330611136958</v>
      </c>
      <c r="U692" s="52">
        <f t="shared" si="635"/>
        <v>23.522330611136958</v>
      </c>
      <c r="V692" s="52">
        <f t="shared" si="635"/>
        <v>23.522330611136958</v>
      </c>
      <c r="W692" s="52">
        <f t="shared" si="635"/>
        <v>23.522330611136958</v>
      </c>
      <c r="X692" s="52">
        <f t="shared" si="635"/>
        <v>23.522330611136958</v>
      </c>
      <c r="Y692" s="52">
        <f t="shared" si="635"/>
        <v>23.522330611136958</v>
      </c>
      <c r="Z692" s="52">
        <f t="shared" si="635"/>
        <v>23.522330611136958</v>
      </c>
      <c r="AA692" s="52">
        <f t="shared" si="635"/>
        <v>23.522330611136958</v>
      </c>
      <c r="AB692" s="52">
        <f t="shared" si="635"/>
        <v>23.522330611136958</v>
      </c>
      <c r="AC692" s="52">
        <f t="shared" si="635"/>
        <v>23.522330611136958</v>
      </c>
      <c r="AD692" s="52">
        <f t="shared" si="635"/>
        <v>23.522330611136958</v>
      </c>
      <c r="AE692" s="52">
        <f t="shared" si="635"/>
        <v>23.522330611136958</v>
      </c>
      <c r="AF692" s="1"/>
    </row>
    <row r="693" spans="2:36" x14ac:dyDescent="0.2">
      <c r="C693" s="5" t="str">
        <f>C646</f>
        <v>Auxiliaries</v>
      </c>
      <c r="D693" s="5"/>
      <c r="F693" s="1" t="s">
        <v>55</v>
      </c>
      <c r="G693" s="21">
        <f t="shared" si="620"/>
        <v>61.046152750728119</v>
      </c>
      <c r="I693" s="52">
        <f t="shared" ref="I693" si="636">I652</f>
        <v>0</v>
      </c>
      <c r="J693" s="52">
        <f t="shared" ref="J693" si="637">J652</f>
        <v>0</v>
      </c>
      <c r="K693" s="52">
        <f t="shared" ref="K693:AE693" si="638">K652</f>
        <v>1.0574854917906151</v>
      </c>
      <c r="L693" s="52">
        <f t="shared" si="638"/>
        <v>1.4426752868649841</v>
      </c>
      <c r="M693" s="52">
        <f t="shared" si="638"/>
        <v>2.8853505737299683</v>
      </c>
      <c r="N693" s="52">
        <f t="shared" si="638"/>
        <v>2.8853505737299683</v>
      </c>
      <c r="O693" s="52">
        <f t="shared" si="638"/>
        <v>2.8853505737299683</v>
      </c>
      <c r="P693" s="52">
        <f t="shared" si="638"/>
        <v>2.8853505737299683</v>
      </c>
      <c r="Q693" s="52">
        <f t="shared" si="638"/>
        <v>2.954319667641137</v>
      </c>
      <c r="R693" s="52">
        <f t="shared" si="638"/>
        <v>3.0232887615523056</v>
      </c>
      <c r="S693" s="52">
        <f t="shared" si="638"/>
        <v>3.0922578554634743</v>
      </c>
      <c r="T693" s="52">
        <f t="shared" si="638"/>
        <v>3.161226949374643</v>
      </c>
      <c r="U693" s="52">
        <f t="shared" si="638"/>
        <v>3.161226949374643</v>
      </c>
      <c r="V693" s="52">
        <f t="shared" si="638"/>
        <v>3.161226949374643</v>
      </c>
      <c r="W693" s="52">
        <f t="shared" si="638"/>
        <v>3.161226949374643</v>
      </c>
      <c r="X693" s="52">
        <f t="shared" si="638"/>
        <v>3.161226949374643</v>
      </c>
      <c r="Y693" s="52">
        <f t="shared" si="638"/>
        <v>3.161226949374643</v>
      </c>
      <c r="Z693" s="52">
        <f t="shared" si="638"/>
        <v>3.161226949374643</v>
      </c>
      <c r="AA693" s="52">
        <f t="shared" si="638"/>
        <v>3.161226949374643</v>
      </c>
      <c r="AB693" s="52">
        <f t="shared" si="638"/>
        <v>3.161226949374643</v>
      </c>
      <c r="AC693" s="52">
        <f t="shared" si="638"/>
        <v>3.161226949374643</v>
      </c>
      <c r="AD693" s="52">
        <f t="shared" si="638"/>
        <v>3.161226949374643</v>
      </c>
      <c r="AE693" s="52">
        <f t="shared" si="638"/>
        <v>3.161226949374643</v>
      </c>
      <c r="AF693" s="1"/>
    </row>
    <row r="694" spans="2:36" x14ac:dyDescent="0.2">
      <c r="C694" s="20" t="str">
        <f>C654</f>
        <v>Total Pig Iron Production Cost</v>
      </c>
      <c r="D694" s="20"/>
      <c r="F694" s="9" t="s">
        <v>55</v>
      </c>
      <c r="G694" s="44">
        <f t="shared" si="620"/>
        <v>2831.0280302802139</v>
      </c>
      <c r="I694" s="44">
        <f>SUM(I688:I693)</f>
        <v>0</v>
      </c>
      <c r="J694" s="44">
        <f>SUM(J688:J693)</f>
        <v>0</v>
      </c>
      <c r="K694" s="44">
        <f>SUM(K688:K693)</f>
        <v>45.005808177238734</v>
      </c>
      <c r="L694" s="44">
        <f>SUM(L688:L693)</f>
        <v>69.128256705684834</v>
      </c>
      <c r="M694" s="44">
        <f t="shared" ref="M694:AE694" si="639">SUM(M688:M693)</f>
        <v>141.59144674418303</v>
      </c>
      <c r="N694" s="44">
        <f>SUM(N688:N693)</f>
        <v>141.59144674418303</v>
      </c>
      <c r="O694" s="44">
        <f t="shared" si="639"/>
        <v>141.59144674418303</v>
      </c>
      <c r="P694" s="44">
        <f t="shared" si="639"/>
        <v>141.59144674418303</v>
      </c>
      <c r="Q694" s="44">
        <f t="shared" si="639"/>
        <v>142.08508521192033</v>
      </c>
      <c r="R694" s="44">
        <f t="shared" si="639"/>
        <v>142.57872367965763</v>
      </c>
      <c r="S694" s="44">
        <f t="shared" si="639"/>
        <v>143.07236214739493</v>
      </c>
      <c r="T694" s="44">
        <f t="shared" si="639"/>
        <v>143.56600061513222</v>
      </c>
      <c r="U694" s="44">
        <f t="shared" si="639"/>
        <v>143.56600061513222</v>
      </c>
      <c r="V694" s="44">
        <f t="shared" si="639"/>
        <v>143.56600061513222</v>
      </c>
      <c r="W694" s="44">
        <f t="shared" si="639"/>
        <v>143.56600061513222</v>
      </c>
      <c r="X694" s="44">
        <f t="shared" si="639"/>
        <v>143.56600061513222</v>
      </c>
      <c r="Y694" s="44">
        <f t="shared" si="639"/>
        <v>143.56600061513222</v>
      </c>
      <c r="Z694" s="44">
        <f t="shared" si="639"/>
        <v>143.56600061513222</v>
      </c>
      <c r="AA694" s="44">
        <f t="shared" si="639"/>
        <v>143.56600061513222</v>
      </c>
      <c r="AB694" s="44">
        <f t="shared" si="639"/>
        <v>143.56600061513222</v>
      </c>
      <c r="AC694" s="44">
        <f t="shared" si="639"/>
        <v>143.56600061513222</v>
      </c>
      <c r="AD694" s="44">
        <f t="shared" si="639"/>
        <v>143.56600061513222</v>
      </c>
      <c r="AE694" s="44">
        <f t="shared" si="639"/>
        <v>143.56600061513222</v>
      </c>
      <c r="AF694" s="1"/>
    </row>
    <row r="695" spans="2:36" x14ac:dyDescent="0.2">
      <c r="C695" s="5"/>
      <c r="D695" s="5"/>
      <c r="I695" s="33"/>
      <c r="AF695" s="1"/>
    </row>
    <row r="696" spans="2:36" x14ac:dyDescent="0.2">
      <c r="C696" s="5" t="s">
        <v>47</v>
      </c>
      <c r="D696" s="5"/>
      <c r="F696" s="1" t="s">
        <v>3</v>
      </c>
      <c r="G696" s="52">
        <f>G688/$G$104</f>
        <v>14.735451318106477</v>
      </c>
      <c r="I696" s="52">
        <f>IFERROR(I688/I$104,0)</f>
        <v>0</v>
      </c>
      <c r="J696" s="52">
        <f t="shared" ref="J696:AE696" si="640">IFERROR(J688/J$104,0)</f>
        <v>0</v>
      </c>
      <c r="K696" s="52">
        <f t="shared" si="640"/>
        <v>23.355690339198759</v>
      </c>
      <c r="L696" s="52">
        <f t="shared" si="640"/>
        <v>14.597306461999224</v>
      </c>
      <c r="M696" s="52">
        <f t="shared" si="640"/>
        <v>14.597306461999224</v>
      </c>
      <c r="N696" s="52">
        <f t="shared" si="640"/>
        <v>14.597306461999224</v>
      </c>
      <c r="O696" s="52">
        <f t="shared" si="640"/>
        <v>14.597306461999224</v>
      </c>
      <c r="P696" s="52">
        <f t="shared" si="640"/>
        <v>14.597306461999224</v>
      </c>
      <c r="Q696" s="52">
        <f t="shared" si="640"/>
        <v>14.597306461999224</v>
      </c>
      <c r="R696" s="52">
        <f t="shared" si="640"/>
        <v>14.597306461999224</v>
      </c>
      <c r="S696" s="52">
        <f t="shared" si="640"/>
        <v>14.597306461999224</v>
      </c>
      <c r="T696" s="52">
        <f t="shared" si="640"/>
        <v>14.597306461999224</v>
      </c>
      <c r="U696" s="52">
        <f t="shared" si="640"/>
        <v>14.597306461999224</v>
      </c>
      <c r="V696" s="52">
        <f t="shared" si="640"/>
        <v>14.597306461999224</v>
      </c>
      <c r="W696" s="52">
        <f t="shared" si="640"/>
        <v>14.597306461999224</v>
      </c>
      <c r="X696" s="52">
        <f t="shared" si="640"/>
        <v>14.597306461999224</v>
      </c>
      <c r="Y696" s="52">
        <f t="shared" si="640"/>
        <v>14.597306461999224</v>
      </c>
      <c r="Z696" s="52">
        <f t="shared" si="640"/>
        <v>14.597306461999224</v>
      </c>
      <c r="AA696" s="52">
        <f t="shared" si="640"/>
        <v>14.597306461999224</v>
      </c>
      <c r="AB696" s="52">
        <f t="shared" si="640"/>
        <v>14.597306461999224</v>
      </c>
      <c r="AC696" s="52">
        <f t="shared" si="640"/>
        <v>14.597306461999224</v>
      </c>
      <c r="AD696" s="52">
        <f t="shared" si="640"/>
        <v>14.597306461999224</v>
      </c>
      <c r="AE696" s="52">
        <f t="shared" si="640"/>
        <v>14.597306461999224</v>
      </c>
      <c r="AF696" s="52"/>
      <c r="AG696" s="52"/>
      <c r="AH696" s="52"/>
      <c r="AI696" s="52"/>
      <c r="AJ696" s="52"/>
    </row>
    <row r="697" spans="2:36" x14ac:dyDescent="0.2">
      <c r="C697" s="5" t="str">
        <f t="shared" ref="C697:C702" si="641">C689</f>
        <v>Raw Material Costs</v>
      </c>
      <c r="D697" s="5"/>
      <c r="F697" s="1" t="s">
        <v>3</v>
      </c>
      <c r="G697" s="21">
        <f t="shared" ref="G697:G702" si="642">G689/$G$104</f>
        <v>196.68886936519988</v>
      </c>
      <c r="I697" s="52">
        <f t="shared" ref="I697:AE697" si="643">IFERROR(I689/I$104,0)</f>
        <v>0</v>
      </c>
      <c r="J697" s="52">
        <f t="shared" si="643"/>
        <v>0</v>
      </c>
      <c r="K697" s="52">
        <f t="shared" si="643"/>
        <v>196.68886936519979</v>
      </c>
      <c r="L697" s="52">
        <f t="shared" si="643"/>
        <v>196.68886936519979</v>
      </c>
      <c r="M697" s="52">
        <f t="shared" si="643"/>
        <v>196.68886936519979</v>
      </c>
      <c r="N697" s="52">
        <f t="shared" si="643"/>
        <v>196.68886936519979</v>
      </c>
      <c r="O697" s="52">
        <f t="shared" si="643"/>
        <v>196.68886936519979</v>
      </c>
      <c r="P697" s="52">
        <f t="shared" si="643"/>
        <v>196.68886936519979</v>
      </c>
      <c r="Q697" s="52">
        <f t="shared" si="643"/>
        <v>196.68886936519979</v>
      </c>
      <c r="R697" s="52">
        <f t="shared" si="643"/>
        <v>196.68886936519979</v>
      </c>
      <c r="S697" s="52">
        <f t="shared" si="643"/>
        <v>196.68886936519979</v>
      </c>
      <c r="T697" s="52">
        <f t="shared" si="643"/>
        <v>196.68886936519979</v>
      </c>
      <c r="U697" s="52">
        <f t="shared" si="643"/>
        <v>196.68886936519979</v>
      </c>
      <c r="V697" s="52">
        <f t="shared" si="643"/>
        <v>196.68886936519979</v>
      </c>
      <c r="W697" s="52">
        <f t="shared" si="643"/>
        <v>196.68886936519979</v>
      </c>
      <c r="X697" s="52">
        <f t="shared" si="643"/>
        <v>196.68886936519979</v>
      </c>
      <c r="Y697" s="52">
        <f t="shared" si="643"/>
        <v>196.68886936519979</v>
      </c>
      <c r="Z697" s="52">
        <f t="shared" si="643"/>
        <v>196.68886936519979</v>
      </c>
      <c r="AA697" s="52">
        <f t="shared" si="643"/>
        <v>196.68886936519979</v>
      </c>
      <c r="AB697" s="52">
        <f t="shared" si="643"/>
        <v>196.68886936519979</v>
      </c>
      <c r="AC697" s="52">
        <f t="shared" si="643"/>
        <v>196.68886936519979</v>
      </c>
      <c r="AD697" s="52">
        <f t="shared" si="643"/>
        <v>196.68886936519979</v>
      </c>
      <c r="AE697" s="52">
        <f t="shared" si="643"/>
        <v>196.68886936519979</v>
      </c>
      <c r="AF697" s="52"/>
      <c r="AG697" s="52"/>
      <c r="AH697" s="52"/>
      <c r="AI697" s="52"/>
      <c r="AJ697" s="52"/>
    </row>
    <row r="698" spans="2:36" x14ac:dyDescent="0.2">
      <c r="C698" s="5" t="str">
        <f t="shared" si="641"/>
        <v>Storage &amp; Cold Processing</v>
      </c>
      <c r="D698" s="5"/>
      <c r="F698" s="1" t="s">
        <v>3</v>
      </c>
      <c r="G698" s="21">
        <f t="shared" si="642"/>
        <v>0.3980637475502059</v>
      </c>
      <c r="I698" s="52">
        <f t="shared" ref="I698:AE698" si="644">IFERROR(I690/I$104,0)</f>
        <v>0</v>
      </c>
      <c r="J698" s="52">
        <f t="shared" si="644"/>
        <v>0</v>
      </c>
      <c r="K698" s="52">
        <f t="shared" si="644"/>
        <v>0.54219473591881695</v>
      </c>
      <c r="L698" s="52">
        <f t="shared" si="644"/>
        <v>0.37779114150551468</v>
      </c>
      <c r="M698" s="52">
        <f t="shared" si="644"/>
        <v>0.37779114150551468</v>
      </c>
      <c r="N698" s="52">
        <f t="shared" si="644"/>
        <v>0.37779114150551468</v>
      </c>
      <c r="O698" s="52">
        <f t="shared" si="644"/>
        <v>0.37779114150551468</v>
      </c>
      <c r="P698" s="52">
        <f t="shared" si="644"/>
        <v>0.37779114150551468</v>
      </c>
      <c r="Q698" s="52">
        <f t="shared" si="644"/>
        <v>0.38427771343155698</v>
      </c>
      <c r="R698" s="52">
        <f t="shared" si="644"/>
        <v>0.39076428535759938</v>
      </c>
      <c r="S698" s="52">
        <f t="shared" si="644"/>
        <v>0.39725085728364173</v>
      </c>
      <c r="T698" s="52">
        <f t="shared" si="644"/>
        <v>0.40373742920968408</v>
      </c>
      <c r="U698" s="52">
        <f t="shared" si="644"/>
        <v>0.40373742920968408</v>
      </c>
      <c r="V698" s="52">
        <f t="shared" si="644"/>
        <v>0.40373742920968408</v>
      </c>
      <c r="W698" s="52">
        <f t="shared" si="644"/>
        <v>0.40373742920968408</v>
      </c>
      <c r="X698" s="52">
        <f t="shared" si="644"/>
        <v>0.40373742920968408</v>
      </c>
      <c r="Y698" s="52">
        <f t="shared" si="644"/>
        <v>0.40373742920968408</v>
      </c>
      <c r="Z698" s="52">
        <f t="shared" si="644"/>
        <v>0.40373742920968408</v>
      </c>
      <c r="AA698" s="52">
        <f t="shared" si="644"/>
        <v>0.40373742920968408</v>
      </c>
      <c r="AB698" s="52">
        <f t="shared" si="644"/>
        <v>0.40373742920968408</v>
      </c>
      <c r="AC698" s="52">
        <f t="shared" si="644"/>
        <v>0.40373742920968408</v>
      </c>
      <c r="AD698" s="52">
        <f t="shared" si="644"/>
        <v>0.40373742920968408</v>
      </c>
      <c r="AE698" s="52">
        <f t="shared" si="644"/>
        <v>0.40373742920968408</v>
      </c>
      <c r="AF698" s="52"/>
      <c r="AG698" s="52"/>
      <c r="AH698" s="52"/>
      <c r="AI698" s="52"/>
      <c r="AJ698" s="52"/>
    </row>
    <row r="699" spans="2:36" x14ac:dyDescent="0.2">
      <c r="C699" s="5" t="str">
        <f t="shared" si="641"/>
        <v>Shaft Furnace</v>
      </c>
      <c r="D699" s="5"/>
      <c r="F699" s="1" t="s">
        <v>3</v>
      </c>
      <c r="G699" s="21">
        <f t="shared" si="642"/>
        <v>57.372283091854655</v>
      </c>
      <c r="I699" s="52">
        <f t="shared" ref="I699:AE699" si="645">IFERROR(I691/I$104,0)</f>
        <v>0</v>
      </c>
      <c r="J699" s="52">
        <f t="shared" si="645"/>
        <v>0</v>
      </c>
      <c r="K699" s="52">
        <f t="shared" si="645"/>
        <v>52.448781885997356</v>
      </c>
      <c r="L699" s="52">
        <f t="shared" si="645"/>
        <v>49.555243333637513</v>
      </c>
      <c r="M699" s="52">
        <f t="shared" si="645"/>
        <v>57.245215577271324</v>
      </c>
      <c r="N699" s="52">
        <f t="shared" si="645"/>
        <v>57.245215577271324</v>
      </c>
      <c r="O699" s="52">
        <f t="shared" si="645"/>
        <v>57.245215577271324</v>
      </c>
      <c r="P699" s="52">
        <f t="shared" si="645"/>
        <v>57.245215577271324</v>
      </c>
      <c r="Q699" s="52">
        <f t="shared" si="645"/>
        <v>57.390796999179123</v>
      </c>
      <c r="R699" s="52">
        <f t="shared" si="645"/>
        <v>57.536378421086937</v>
      </c>
      <c r="S699" s="52">
        <f t="shared" si="645"/>
        <v>57.681959842994729</v>
      </c>
      <c r="T699" s="52">
        <f t="shared" si="645"/>
        <v>57.827541264902543</v>
      </c>
      <c r="U699" s="52">
        <f t="shared" si="645"/>
        <v>57.827541264902543</v>
      </c>
      <c r="V699" s="52">
        <f t="shared" si="645"/>
        <v>57.827541264902543</v>
      </c>
      <c r="W699" s="52">
        <f t="shared" si="645"/>
        <v>57.827541264902543</v>
      </c>
      <c r="X699" s="52">
        <f t="shared" si="645"/>
        <v>57.827541264902543</v>
      </c>
      <c r="Y699" s="52">
        <f t="shared" si="645"/>
        <v>57.827541264902543</v>
      </c>
      <c r="Z699" s="52">
        <f t="shared" si="645"/>
        <v>57.827541264902543</v>
      </c>
      <c r="AA699" s="52">
        <f t="shared" si="645"/>
        <v>57.827541264902543</v>
      </c>
      <c r="AB699" s="52">
        <f t="shared" si="645"/>
        <v>57.827541264902543</v>
      </c>
      <c r="AC699" s="52">
        <f t="shared" si="645"/>
        <v>57.827541264902543</v>
      </c>
      <c r="AD699" s="52">
        <f t="shared" si="645"/>
        <v>57.827541264902543</v>
      </c>
      <c r="AE699" s="52">
        <f t="shared" si="645"/>
        <v>57.827541264902543</v>
      </c>
      <c r="AF699" s="52"/>
      <c r="AG699" s="52"/>
      <c r="AH699" s="52"/>
      <c r="AI699" s="52"/>
      <c r="AJ699" s="52"/>
    </row>
    <row r="700" spans="2:36" x14ac:dyDescent="0.2">
      <c r="C700" s="5" t="str">
        <f>C692</f>
        <v>EAF</v>
      </c>
      <c r="D700" s="5"/>
      <c r="F700" s="1" t="s">
        <v>3</v>
      </c>
      <c r="G700" s="21">
        <f t="shared" si="642"/>
        <v>53.190657026484601</v>
      </c>
      <c r="I700" s="52">
        <f t="shared" ref="I700:AE700" si="646">IFERROR(I692/I$104,0)</f>
        <v>0</v>
      </c>
      <c r="J700" s="52">
        <f t="shared" si="646"/>
        <v>0</v>
      </c>
      <c r="K700" s="52">
        <f t="shared" si="646"/>
        <v>51.251732176529593</v>
      </c>
      <c r="L700" s="52">
        <f t="shared" si="646"/>
        <v>50.931103038907459</v>
      </c>
      <c r="M700" s="52">
        <f t="shared" si="646"/>
        <v>50.931103038907459</v>
      </c>
      <c r="N700" s="52">
        <f t="shared" si="646"/>
        <v>50.931103038907459</v>
      </c>
      <c r="O700" s="52">
        <f t="shared" si="646"/>
        <v>50.931103038907459</v>
      </c>
      <c r="P700" s="52">
        <f t="shared" si="646"/>
        <v>50.931103038907459</v>
      </c>
      <c r="Q700" s="52">
        <f t="shared" si="646"/>
        <v>51.758273719895698</v>
      </c>
      <c r="R700" s="52">
        <f t="shared" si="646"/>
        <v>52.585444400883929</v>
      </c>
      <c r="S700" s="52">
        <f t="shared" si="646"/>
        <v>53.412615081872161</v>
      </c>
      <c r="T700" s="52">
        <f t="shared" si="646"/>
        <v>54.2397857628604</v>
      </c>
      <c r="U700" s="52">
        <f t="shared" si="646"/>
        <v>54.2397857628604</v>
      </c>
      <c r="V700" s="52">
        <f t="shared" si="646"/>
        <v>54.2397857628604</v>
      </c>
      <c r="W700" s="52">
        <f t="shared" si="646"/>
        <v>54.2397857628604</v>
      </c>
      <c r="X700" s="52">
        <f t="shared" si="646"/>
        <v>54.2397857628604</v>
      </c>
      <c r="Y700" s="52">
        <f t="shared" si="646"/>
        <v>54.2397857628604</v>
      </c>
      <c r="Z700" s="52">
        <f t="shared" si="646"/>
        <v>54.2397857628604</v>
      </c>
      <c r="AA700" s="52">
        <f t="shared" si="646"/>
        <v>54.2397857628604</v>
      </c>
      <c r="AB700" s="52">
        <f t="shared" si="646"/>
        <v>54.2397857628604</v>
      </c>
      <c r="AC700" s="52">
        <f t="shared" si="646"/>
        <v>54.2397857628604</v>
      </c>
      <c r="AD700" s="52">
        <f t="shared" si="646"/>
        <v>54.2397857628604</v>
      </c>
      <c r="AE700" s="52">
        <f t="shared" si="646"/>
        <v>54.2397857628604</v>
      </c>
      <c r="AF700" s="52"/>
      <c r="AG700" s="52"/>
      <c r="AH700" s="52"/>
      <c r="AI700" s="52"/>
      <c r="AJ700" s="52"/>
    </row>
    <row r="701" spans="2:36" x14ac:dyDescent="0.2">
      <c r="C701" s="5" t="str">
        <f t="shared" si="641"/>
        <v>Auxiliaries</v>
      </c>
      <c r="D701" s="5"/>
      <c r="F701" s="1" t="s">
        <v>3</v>
      </c>
      <c r="G701" s="52">
        <f t="shared" si="642"/>
        <v>7.1048781678586135</v>
      </c>
      <c r="I701" s="52">
        <f t="shared" ref="I701:AE701" si="647">IFERROR(I693/I$104,0)</f>
        <v>0</v>
      </c>
      <c r="J701" s="52">
        <f t="shared" si="647"/>
        <v>0</v>
      </c>
      <c r="K701" s="52">
        <f t="shared" si="647"/>
        <v>7.8030072744440373</v>
      </c>
      <c r="L701" s="52">
        <f t="shared" si="647"/>
        <v>6.6532861712164895</v>
      </c>
      <c r="M701" s="52">
        <f t="shared" si="647"/>
        <v>6.6532861712164895</v>
      </c>
      <c r="N701" s="52">
        <f t="shared" si="647"/>
        <v>6.6532861712164895</v>
      </c>
      <c r="O701" s="52">
        <f t="shared" si="647"/>
        <v>6.6532861712164895</v>
      </c>
      <c r="P701" s="52">
        <f t="shared" si="647"/>
        <v>6.6532861712164895</v>
      </c>
      <c r="Q701" s="52">
        <f t="shared" si="647"/>
        <v>6.8123209598963665</v>
      </c>
      <c r="R701" s="52">
        <f t="shared" si="647"/>
        <v>6.9713557485762445</v>
      </c>
      <c r="S701" s="52">
        <f t="shared" si="647"/>
        <v>7.1303905372561225</v>
      </c>
      <c r="T701" s="52">
        <f t="shared" si="647"/>
        <v>7.2894253259360005</v>
      </c>
      <c r="U701" s="52">
        <f t="shared" si="647"/>
        <v>7.2894253259360005</v>
      </c>
      <c r="V701" s="52">
        <f t="shared" si="647"/>
        <v>7.2894253259360005</v>
      </c>
      <c r="W701" s="52">
        <f t="shared" si="647"/>
        <v>7.2894253259360005</v>
      </c>
      <c r="X701" s="52">
        <f t="shared" si="647"/>
        <v>7.2894253259360005</v>
      </c>
      <c r="Y701" s="52">
        <f t="shared" si="647"/>
        <v>7.2894253259360005</v>
      </c>
      <c r="Z701" s="52">
        <f t="shared" si="647"/>
        <v>7.2894253259360005</v>
      </c>
      <c r="AA701" s="52">
        <f t="shared" si="647"/>
        <v>7.2894253259360005</v>
      </c>
      <c r="AB701" s="52">
        <f t="shared" si="647"/>
        <v>7.2894253259360005</v>
      </c>
      <c r="AC701" s="52">
        <f t="shared" si="647"/>
        <v>7.2894253259360005</v>
      </c>
      <c r="AD701" s="52">
        <f t="shared" si="647"/>
        <v>7.2894253259360005</v>
      </c>
      <c r="AE701" s="52">
        <f t="shared" si="647"/>
        <v>7.2894253259360005</v>
      </c>
      <c r="AF701" s="52"/>
      <c r="AG701" s="52"/>
      <c r="AH701" s="52"/>
      <c r="AI701" s="52"/>
      <c r="AJ701" s="52"/>
    </row>
    <row r="702" spans="2:36" x14ac:dyDescent="0.2">
      <c r="C702" s="20" t="str">
        <f t="shared" si="641"/>
        <v>Total Pig Iron Production Cost</v>
      </c>
      <c r="D702" s="20"/>
      <c r="F702" s="9" t="s">
        <v>3</v>
      </c>
      <c r="G702" s="44">
        <f t="shared" si="642"/>
        <v>329.49020271705422</v>
      </c>
      <c r="I702" s="53">
        <f t="shared" ref="I702:AE702" si="648">IFERROR(I694/I$104,0)</f>
        <v>0</v>
      </c>
      <c r="J702" s="53">
        <f t="shared" si="648"/>
        <v>0</v>
      </c>
      <c r="K702" s="53">
        <f t="shared" si="648"/>
        <v>332.09027577728835</v>
      </c>
      <c r="L702" s="53">
        <f t="shared" si="648"/>
        <v>318.80359951246601</v>
      </c>
      <c r="M702" s="53">
        <f t="shared" si="648"/>
        <v>326.49357175609975</v>
      </c>
      <c r="N702" s="53">
        <f t="shared" si="648"/>
        <v>326.49357175609975</v>
      </c>
      <c r="O702" s="53">
        <f t="shared" si="648"/>
        <v>326.49357175609975</v>
      </c>
      <c r="P702" s="53">
        <f t="shared" si="648"/>
        <v>326.49357175609975</v>
      </c>
      <c r="Q702" s="53">
        <f t="shared" si="648"/>
        <v>327.6318452196017</v>
      </c>
      <c r="R702" s="53">
        <f t="shared" si="648"/>
        <v>328.7701186831037</v>
      </c>
      <c r="S702" s="53">
        <f t="shared" si="648"/>
        <v>329.90839214660571</v>
      </c>
      <c r="T702" s="53">
        <f t="shared" si="648"/>
        <v>331.04666561010771</v>
      </c>
      <c r="U702" s="53">
        <f t="shared" si="648"/>
        <v>331.04666561010771</v>
      </c>
      <c r="V702" s="53">
        <f t="shared" si="648"/>
        <v>331.04666561010771</v>
      </c>
      <c r="W702" s="53">
        <f t="shared" si="648"/>
        <v>331.04666561010771</v>
      </c>
      <c r="X702" s="53">
        <f t="shared" si="648"/>
        <v>331.04666561010771</v>
      </c>
      <c r="Y702" s="53">
        <f t="shared" si="648"/>
        <v>331.04666561010771</v>
      </c>
      <c r="Z702" s="53">
        <f t="shared" si="648"/>
        <v>331.04666561010771</v>
      </c>
      <c r="AA702" s="53">
        <f t="shared" si="648"/>
        <v>331.04666561010771</v>
      </c>
      <c r="AB702" s="53">
        <f t="shared" si="648"/>
        <v>331.04666561010771</v>
      </c>
      <c r="AC702" s="53">
        <f t="shared" si="648"/>
        <v>331.04666561010771</v>
      </c>
      <c r="AD702" s="53">
        <f t="shared" si="648"/>
        <v>331.04666561010771</v>
      </c>
      <c r="AE702" s="53">
        <f t="shared" si="648"/>
        <v>331.04666561010771</v>
      </c>
      <c r="AF702" s="1"/>
    </row>
    <row r="703" spans="2:36" x14ac:dyDescent="0.2">
      <c r="C703" s="5"/>
      <c r="D703" s="5"/>
      <c r="J703" s="21"/>
      <c r="K703" s="21"/>
      <c r="AF703" s="1"/>
    </row>
    <row r="704" spans="2:36" x14ac:dyDescent="0.2">
      <c r="B704" s="6"/>
      <c r="C704" s="6"/>
      <c r="D704" s="6"/>
      <c r="E704" s="7"/>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1"/>
    </row>
    <row r="705" spans="2:32" x14ac:dyDescent="0.2">
      <c r="C705" s="5"/>
      <c r="D705" s="5"/>
      <c r="AF705" s="1"/>
    </row>
    <row r="706" spans="2:32" x14ac:dyDescent="0.2">
      <c r="B706" s="8">
        <f>B187+1</f>
        <v>4</v>
      </c>
      <c r="C706" s="20" t="s">
        <v>66</v>
      </c>
      <c r="D706" s="20"/>
      <c r="AF706" s="1"/>
    </row>
    <row r="707" spans="2:32" x14ac:dyDescent="0.2">
      <c r="C707" s="5"/>
      <c r="D707" s="5"/>
      <c r="I707" s="33"/>
      <c r="AF707" s="1"/>
    </row>
    <row r="708" spans="2:32" x14ac:dyDescent="0.2">
      <c r="B708" s="10">
        <f>B706+0.1</f>
        <v>4.0999999999999996</v>
      </c>
      <c r="C708" s="20" t="s">
        <v>67</v>
      </c>
      <c r="D708" s="20"/>
      <c r="I708" s="33"/>
      <c r="AF708" s="1"/>
    </row>
    <row r="709" spans="2:32" x14ac:dyDescent="0.2">
      <c r="C709" s="5"/>
      <c r="D709" s="5"/>
      <c r="I709" s="45"/>
      <c r="AF709" s="1"/>
    </row>
    <row r="710" spans="2:32" x14ac:dyDescent="0.2">
      <c r="C710" s="20" t="s">
        <v>789</v>
      </c>
      <c r="D710" s="11" t="s">
        <v>685</v>
      </c>
      <c r="E710" s="11" t="s">
        <v>704</v>
      </c>
      <c r="I710" s="45"/>
      <c r="AF710" s="1"/>
    </row>
    <row r="711" spans="2:32" x14ac:dyDescent="0.2">
      <c r="C711" s="5" t="s">
        <v>972</v>
      </c>
      <c r="D711" s="95">
        <v>1.5</v>
      </c>
      <c r="E711" s="431">
        <f>D711*E14</f>
        <v>1.155</v>
      </c>
      <c r="F711" s="1" t="s">
        <v>3</v>
      </c>
      <c r="G711" s="21">
        <f>AVERAGE(I711:AE711)</f>
        <v>1.1550000000000005</v>
      </c>
      <c r="I711" s="45">
        <f t="shared" ref="I711" si="649">$D$711*I14</f>
        <v>1.155</v>
      </c>
      <c r="J711" s="45">
        <f t="shared" ref="J711" si="650">$D$711*J14</f>
        <v>1.155</v>
      </c>
      <c r="K711" s="45">
        <f t="shared" ref="K711:AE711" si="651">$D$711*K14</f>
        <v>1.155</v>
      </c>
      <c r="L711" s="45">
        <f t="shared" si="651"/>
        <v>1.155</v>
      </c>
      <c r="M711" s="45">
        <f t="shared" si="651"/>
        <v>1.155</v>
      </c>
      <c r="N711" s="45">
        <f t="shared" si="651"/>
        <v>1.155</v>
      </c>
      <c r="O711" s="45">
        <f t="shared" si="651"/>
        <v>1.155</v>
      </c>
      <c r="P711" s="45">
        <f t="shared" si="651"/>
        <v>1.155</v>
      </c>
      <c r="Q711" s="45">
        <f t="shared" si="651"/>
        <v>1.155</v>
      </c>
      <c r="R711" s="45">
        <f t="shared" si="651"/>
        <v>1.155</v>
      </c>
      <c r="S711" s="45">
        <f t="shared" si="651"/>
        <v>1.155</v>
      </c>
      <c r="T711" s="45">
        <f t="shared" si="651"/>
        <v>1.155</v>
      </c>
      <c r="U711" s="45">
        <f t="shared" si="651"/>
        <v>1.155</v>
      </c>
      <c r="V711" s="45">
        <f t="shared" si="651"/>
        <v>1.155</v>
      </c>
      <c r="W711" s="45">
        <f t="shared" si="651"/>
        <v>1.155</v>
      </c>
      <c r="X711" s="45">
        <f t="shared" si="651"/>
        <v>1.155</v>
      </c>
      <c r="Y711" s="45">
        <f t="shared" si="651"/>
        <v>1.155</v>
      </c>
      <c r="Z711" s="45">
        <f t="shared" si="651"/>
        <v>1.155</v>
      </c>
      <c r="AA711" s="45">
        <f t="shared" si="651"/>
        <v>1.155</v>
      </c>
      <c r="AB711" s="45">
        <f t="shared" si="651"/>
        <v>1.155</v>
      </c>
      <c r="AC711" s="45">
        <f t="shared" si="651"/>
        <v>1.155</v>
      </c>
      <c r="AD711" s="45">
        <f t="shared" si="651"/>
        <v>1.155</v>
      </c>
      <c r="AE711" s="45">
        <f t="shared" si="651"/>
        <v>1.155</v>
      </c>
      <c r="AF711" s="1"/>
    </row>
    <row r="712" spans="2:32" x14ac:dyDescent="0.2">
      <c r="C712" s="5" t="s">
        <v>781</v>
      </c>
      <c r="D712" s="95">
        <v>2.41</v>
      </c>
      <c r="E712" s="431">
        <f>D712*E14</f>
        <v>1.8557000000000001</v>
      </c>
      <c r="F712" s="1" t="s">
        <v>3</v>
      </c>
      <c r="G712" s="21">
        <f>AVERAGE(I712:AE712)</f>
        <v>1.8556999999999995</v>
      </c>
      <c r="I712" s="45">
        <f t="shared" ref="I712" si="652">$D$712*I14</f>
        <v>1.8557000000000001</v>
      </c>
      <c r="J712" s="45">
        <f t="shared" ref="J712" si="653">$D$712*J14</f>
        <v>1.8557000000000001</v>
      </c>
      <c r="K712" s="45">
        <f t="shared" ref="K712:AE712" si="654">$D$712*K14</f>
        <v>1.8557000000000001</v>
      </c>
      <c r="L712" s="45">
        <f t="shared" si="654"/>
        <v>1.8557000000000001</v>
      </c>
      <c r="M712" s="45">
        <f t="shared" si="654"/>
        <v>1.8557000000000001</v>
      </c>
      <c r="N712" s="45">
        <f t="shared" si="654"/>
        <v>1.8557000000000001</v>
      </c>
      <c r="O712" s="45">
        <f t="shared" si="654"/>
        <v>1.8557000000000001</v>
      </c>
      <c r="P712" s="45">
        <f t="shared" si="654"/>
        <v>1.8557000000000001</v>
      </c>
      <c r="Q712" s="45">
        <f t="shared" si="654"/>
        <v>1.8557000000000001</v>
      </c>
      <c r="R712" s="45">
        <f t="shared" si="654"/>
        <v>1.8557000000000001</v>
      </c>
      <c r="S712" s="45">
        <f t="shared" si="654"/>
        <v>1.8557000000000001</v>
      </c>
      <c r="T712" s="45">
        <f t="shared" si="654"/>
        <v>1.8557000000000001</v>
      </c>
      <c r="U712" s="45">
        <f t="shared" si="654"/>
        <v>1.8557000000000001</v>
      </c>
      <c r="V712" s="45">
        <f t="shared" si="654"/>
        <v>1.8557000000000001</v>
      </c>
      <c r="W712" s="45">
        <f t="shared" si="654"/>
        <v>1.8557000000000001</v>
      </c>
      <c r="X712" s="45">
        <f t="shared" si="654"/>
        <v>1.8557000000000001</v>
      </c>
      <c r="Y712" s="45">
        <f t="shared" si="654"/>
        <v>1.8557000000000001</v>
      </c>
      <c r="Z712" s="45">
        <f t="shared" si="654"/>
        <v>1.8557000000000001</v>
      </c>
      <c r="AA712" s="45">
        <f t="shared" si="654"/>
        <v>1.8557000000000001</v>
      </c>
      <c r="AB712" s="45">
        <f t="shared" si="654"/>
        <v>1.8557000000000001</v>
      </c>
      <c r="AC712" s="45">
        <f t="shared" si="654"/>
        <v>1.8557000000000001</v>
      </c>
      <c r="AD712" s="45">
        <f t="shared" si="654"/>
        <v>1.8557000000000001</v>
      </c>
      <c r="AE712" s="45">
        <f t="shared" si="654"/>
        <v>1.8557000000000001</v>
      </c>
      <c r="AF712" s="1"/>
    </row>
    <row r="713" spans="2:32" x14ac:dyDescent="0.2">
      <c r="C713" s="5"/>
      <c r="D713" s="120"/>
      <c r="E713" s="432"/>
      <c r="G713" s="21"/>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1"/>
    </row>
    <row r="714" spans="2:32" x14ac:dyDescent="0.2">
      <c r="B714" s="24">
        <f>B708+0.01</f>
        <v>4.1099999999999994</v>
      </c>
      <c r="C714" s="20" t="s">
        <v>862</v>
      </c>
      <c r="D714" s="120"/>
      <c r="E714" s="432"/>
      <c r="G714" s="21"/>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1"/>
    </row>
    <row r="715" spans="2:32" x14ac:dyDescent="0.2">
      <c r="C715" s="20" t="s">
        <v>788</v>
      </c>
      <c r="D715" s="120"/>
      <c r="E715" s="432"/>
      <c r="G715" s="21"/>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1"/>
    </row>
    <row r="716" spans="2:32" x14ac:dyDescent="0.2">
      <c r="C716" s="30" t="s">
        <v>712</v>
      </c>
      <c r="D716" s="120"/>
      <c r="E716" s="95">
        <v>25000</v>
      </c>
      <c r="F716" s="1" t="s">
        <v>51</v>
      </c>
      <c r="G716" s="21"/>
      <c r="I716" s="45">
        <f t="shared" ref="I716:K719" si="655">$E716</f>
        <v>25000</v>
      </c>
      <c r="J716" s="45">
        <f t="shared" si="655"/>
        <v>25000</v>
      </c>
      <c r="K716" s="45">
        <f t="shared" si="655"/>
        <v>25000</v>
      </c>
      <c r="L716" s="45">
        <f t="shared" ref="L716:AE719" si="656">$E716</f>
        <v>25000</v>
      </c>
      <c r="M716" s="45">
        <f t="shared" si="656"/>
        <v>25000</v>
      </c>
      <c r="N716" s="45">
        <f t="shared" si="656"/>
        <v>25000</v>
      </c>
      <c r="O716" s="45">
        <f t="shared" si="656"/>
        <v>25000</v>
      </c>
      <c r="P716" s="45">
        <f t="shared" si="656"/>
        <v>25000</v>
      </c>
      <c r="Q716" s="45">
        <f t="shared" si="656"/>
        <v>25000</v>
      </c>
      <c r="R716" s="45">
        <f t="shared" si="656"/>
        <v>25000</v>
      </c>
      <c r="S716" s="45">
        <f t="shared" si="656"/>
        <v>25000</v>
      </c>
      <c r="T716" s="45">
        <f t="shared" si="656"/>
        <v>25000</v>
      </c>
      <c r="U716" s="45">
        <f t="shared" si="656"/>
        <v>25000</v>
      </c>
      <c r="V716" s="45">
        <f t="shared" si="656"/>
        <v>25000</v>
      </c>
      <c r="W716" s="45">
        <f t="shared" si="656"/>
        <v>25000</v>
      </c>
      <c r="X716" s="45">
        <f t="shared" si="656"/>
        <v>25000</v>
      </c>
      <c r="Y716" s="45">
        <f t="shared" si="656"/>
        <v>25000</v>
      </c>
      <c r="Z716" s="45">
        <f t="shared" si="656"/>
        <v>25000</v>
      </c>
      <c r="AA716" s="45">
        <f t="shared" si="656"/>
        <v>25000</v>
      </c>
      <c r="AB716" s="45">
        <f t="shared" si="656"/>
        <v>25000</v>
      </c>
      <c r="AC716" s="45">
        <f t="shared" si="656"/>
        <v>25000</v>
      </c>
      <c r="AD716" s="45">
        <f t="shared" si="656"/>
        <v>25000</v>
      </c>
      <c r="AE716" s="45">
        <f t="shared" si="656"/>
        <v>25000</v>
      </c>
      <c r="AF716" s="1"/>
    </row>
    <row r="717" spans="2:32" x14ac:dyDescent="0.2">
      <c r="C717" s="30" t="s">
        <v>784</v>
      </c>
      <c r="D717" s="120"/>
      <c r="E717" s="95">
        <v>3</v>
      </c>
      <c r="F717" s="1" t="s">
        <v>6</v>
      </c>
      <c r="G717" s="21"/>
      <c r="I717" s="45">
        <f t="shared" si="655"/>
        <v>3</v>
      </c>
      <c r="J717" s="45">
        <f t="shared" si="655"/>
        <v>3</v>
      </c>
      <c r="K717" s="45">
        <f t="shared" si="655"/>
        <v>3</v>
      </c>
      <c r="L717" s="45">
        <f t="shared" si="656"/>
        <v>3</v>
      </c>
      <c r="M717" s="45">
        <f t="shared" si="656"/>
        <v>3</v>
      </c>
      <c r="N717" s="45">
        <f t="shared" si="656"/>
        <v>3</v>
      </c>
      <c r="O717" s="45">
        <f t="shared" si="656"/>
        <v>3</v>
      </c>
      <c r="P717" s="45">
        <f t="shared" si="656"/>
        <v>3</v>
      </c>
      <c r="Q717" s="45">
        <f t="shared" si="656"/>
        <v>3</v>
      </c>
      <c r="R717" s="45">
        <f t="shared" si="656"/>
        <v>3</v>
      </c>
      <c r="S717" s="45">
        <f t="shared" si="656"/>
        <v>3</v>
      </c>
      <c r="T717" s="45">
        <f t="shared" si="656"/>
        <v>3</v>
      </c>
      <c r="U717" s="45">
        <f t="shared" si="656"/>
        <v>3</v>
      </c>
      <c r="V717" s="45">
        <f t="shared" si="656"/>
        <v>3</v>
      </c>
      <c r="W717" s="45">
        <f t="shared" si="656"/>
        <v>3</v>
      </c>
      <c r="X717" s="45">
        <f t="shared" si="656"/>
        <v>3</v>
      </c>
      <c r="Y717" s="45">
        <f t="shared" si="656"/>
        <v>3</v>
      </c>
      <c r="Z717" s="45">
        <f t="shared" si="656"/>
        <v>3</v>
      </c>
      <c r="AA717" s="45">
        <f t="shared" si="656"/>
        <v>3</v>
      </c>
      <c r="AB717" s="45">
        <f t="shared" si="656"/>
        <v>3</v>
      </c>
      <c r="AC717" s="45">
        <f t="shared" si="656"/>
        <v>3</v>
      </c>
      <c r="AD717" s="45">
        <f t="shared" si="656"/>
        <v>3</v>
      </c>
      <c r="AE717" s="45">
        <f t="shared" si="656"/>
        <v>3</v>
      </c>
      <c r="AF717" s="1"/>
    </row>
    <row r="718" spans="2:32" x14ac:dyDescent="0.2">
      <c r="C718" s="30" t="s">
        <v>785</v>
      </c>
      <c r="D718" s="120"/>
      <c r="E718" s="95">
        <v>2</v>
      </c>
      <c r="F718" s="1" t="s">
        <v>6</v>
      </c>
      <c r="G718" s="21"/>
      <c r="I718" s="45">
        <f t="shared" si="655"/>
        <v>2</v>
      </c>
      <c r="J718" s="45">
        <f t="shared" si="655"/>
        <v>2</v>
      </c>
      <c r="K718" s="45">
        <f t="shared" si="655"/>
        <v>2</v>
      </c>
      <c r="L718" s="45">
        <f t="shared" si="656"/>
        <v>2</v>
      </c>
      <c r="M718" s="45">
        <f t="shared" si="656"/>
        <v>2</v>
      </c>
      <c r="N718" s="45">
        <f t="shared" si="656"/>
        <v>2</v>
      </c>
      <c r="O718" s="45">
        <f t="shared" si="656"/>
        <v>2</v>
      </c>
      <c r="P718" s="45">
        <f t="shared" si="656"/>
        <v>2</v>
      </c>
      <c r="Q718" s="45">
        <f t="shared" si="656"/>
        <v>2</v>
      </c>
      <c r="R718" s="45">
        <f t="shared" si="656"/>
        <v>2</v>
      </c>
      <c r="S718" s="45">
        <f t="shared" si="656"/>
        <v>2</v>
      </c>
      <c r="T718" s="45">
        <f t="shared" si="656"/>
        <v>2</v>
      </c>
      <c r="U718" s="45">
        <f t="shared" si="656"/>
        <v>2</v>
      </c>
      <c r="V718" s="45">
        <f t="shared" si="656"/>
        <v>2</v>
      </c>
      <c r="W718" s="45">
        <f t="shared" si="656"/>
        <v>2</v>
      </c>
      <c r="X718" s="45">
        <f t="shared" si="656"/>
        <v>2</v>
      </c>
      <c r="Y718" s="45">
        <f t="shared" si="656"/>
        <v>2</v>
      </c>
      <c r="Z718" s="45">
        <f t="shared" si="656"/>
        <v>2</v>
      </c>
      <c r="AA718" s="45">
        <f t="shared" si="656"/>
        <v>2</v>
      </c>
      <c r="AB718" s="45">
        <f t="shared" si="656"/>
        <v>2</v>
      </c>
      <c r="AC718" s="45">
        <f t="shared" si="656"/>
        <v>2</v>
      </c>
      <c r="AD718" s="45">
        <f t="shared" si="656"/>
        <v>2</v>
      </c>
      <c r="AE718" s="45">
        <f t="shared" si="656"/>
        <v>2</v>
      </c>
      <c r="AF718" s="1"/>
    </row>
    <row r="719" spans="2:32" x14ac:dyDescent="0.2">
      <c r="C719" s="30" t="s">
        <v>714</v>
      </c>
      <c r="D719" s="120"/>
      <c r="E719" s="181">
        <v>22500</v>
      </c>
      <c r="F719" s="1" t="s">
        <v>715</v>
      </c>
      <c r="G719" s="21"/>
      <c r="I719" s="45">
        <f t="shared" si="655"/>
        <v>22500</v>
      </c>
      <c r="J719" s="45">
        <f t="shared" si="655"/>
        <v>22500</v>
      </c>
      <c r="K719" s="45">
        <f t="shared" si="655"/>
        <v>22500</v>
      </c>
      <c r="L719" s="45">
        <f t="shared" si="656"/>
        <v>22500</v>
      </c>
      <c r="M719" s="45">
        <f t="shared" si="656"/>
        <v>22500</v>
      </c>
      <c r="N719" s="45">
        <f t="shared" si="656"/>
        <v>22500</v>
      </c>
      <c r="O719" s="45">
        <f t="shared" si="656"/>
        <v>22500</v>
      </c>
      <c r="P719" s="45">
        <f t="shared" si="656"/>
        <v>22500</v>
      </c>
      <c r="Q719" s="45">
        <f t="shared" si="656"/>
        <v>22500</v>
      </c>
      <c r="R719" s="45">
        <f t="shared" si="656"/>
        <v>22500</v>
      </c>
      <c r="S719" s="45">
        <f t="shared" si="656"/>
        <v>22500</v>
      </c>
      <c r="T719" s="45">
        <f t="shared" si="656"/>
        <v>22500</v>
      </c>
      <c r="U719" s="45">
        <f t="shared" si="656"/>
        <v>22500</v>
      </c>
      <c r="V719" s="45">
        <f t="shared" si="656"/>
        <v>22500</v>
      </c>
      <c r="W719" s="45">
        <f t="shared" si="656"/>
        <v>22500</v>
      </c>
      <c r="X719" s="45">
        <f t="shared" si="656"/>
        <v>22500</v>
      </c>
      <c r="Y719" s="45">
        <f t="shared" si="656"/>
        <v>22500</v>
      </c>
      <c r="Z719" s="45">
        <f t="shared" si="656"/>
        <v>22500</v>
      </c>
      <c r="AA719" s="45">
        <f t="shared" si="656"/>
        <v>22500</v>
      </c>
      <c r="AB719" s="45">
        <f t="shared" si="656"/>
        <v>22500</v>
      </c>
      <c r="AC719" s="45">
        <f t="shared" si="656"/>
        <v>22500</v>
      </c>
      <c r="AD719" s="45">
        <f t="shared" si="656"/>
        <v>22500</v>
      </c>
      <c r="AE719" s="45">
        <f t="shared" si="656"/>
        <v>22500</v>
      </c>
      <c r="AF719" s="1"/>
    </row>
    <row r="720" spans="2:32" x14ac:dyDescent="0.2">
      <c r="C720" s="30" t="s">
        <v>786</v>
      </c>
      <c r="D720" s="120"/>
      <c r="E720" s="431">
        <f>E716*(E717+E718)/E719</f>
        <v>5.5555555555555554</v>
      </c>
      <c r="F720" s="1" t="s">
        <v>3</v>
      </c>
      <c r="G720" s="21"/>
      <c r="I720" s="45">
        <f>I716*(I717+I718)/I719</f>
        <v>5.5555555555555554</v>
      </c>
      <c r="J720" s="45">
        <f>J716*(J717+J718)/J719</f>
        <v>5.5555555555555554</v>
      </c>
      <c r="K720" s="45">
        <f>K716*(K717+K718)/K719</f>
        <v>5.5555555555555554</v>
      </c>
      <c r="L720" s="45">
        <f t="shared" ref="L720:AE720" si="657">L716*(L717+L718)/L719</f>
        <v>5.5555555555555554</v>
      </c>
      <c r="M720" s="45">
        <f t="shared" si="657"/>
        <v>5.5555555555555554</v>
      </c>
      <c r="N720" s="45">
        <f t="shared" si="657"/>
        <v>5.5555555555555554</v>
      </c>
      <c r="O720" s="45">
        <f t="shared" si="657"/>
        <v>5.5555555555555554</v>
      </c>
      <c r="P720" s="45">
        <f t="shared" si="657"/>
        <v>5.5555555555555554</v>
      </c>
      <c r="Q720" s="45">
        <f t="shared" si="657"/>
        <v>5.5555555555555554</v>
      </c>
      <c r="R720" s="45">
        <f t="shared" si="657"/>
        <v>5.5555555555555554</v>
      </c>
      <c r="S720" s="45">
        <f t="shared" si="657"/>
        <v>5.5555555555555554</v>
      </c>
      <c r="T720" s="45">
        <f t="shared" si="657"/>
        <v>5.5555555555555554</v>
      </c>
      <c r="U720" s="45">
        <f t="shared" si="657"/>
        <v>5.5555555555555554</v>
      </c>
      <c r="V720" s="45">
        <f t="shared" si="657"/>
        <v>5.5555555555555554</v>
      </c>
      <c r="W720" s="45">
        <f t="shared" si="657"/>
        <v>5.5555555555555554</v>
      </c>
      <c r="X720" s="45">
        <f t="shared" si="657"/>
        <v>5.5555555555555554</v>
      </c>
      <c r="Y720" s="45">
        <f t="shared" si="657"/>
        <v>5.5555555555555554</v>
      </c>
      <c r="Z720" s="45">
        <f t="shared" si="657"/>
        <v>5.5555555555555554</v>
      </c>
      <c r="AA720" s="45">
        <f t="shared" si="657"/>
        <v>5.5555555555555554</v>
      </c>
      <c r="AB720" s="45">
        <f t="shared" si="657"/>
        <v>5.5555555555555554</v>
      </c>
      <c r="AC720" s="45">
        <f t="shared" si="657"/>
        <v>5.5555555555555554</v>
      </c>
      <c r="AD720" s="45">
        <f t="shared" si="657"/>
        <v>5.5555555555555554</v>
      </c>
      <c r="AE720" s="45">
        <f t="shared" si="657"/>
        <v>5.5555555555555554</v>
      </c>
      <c r="AF720" s="1"/>
    </row>
    <row r="721" spans="3:32" x14ac:dyDescent="0.2">
      <c r="C721" s="30" t="s">
        <v>797</v>
      </c>
      <c r="D721" s="120"/>
      <c r="E721" s="181">
        <v>24000</v>
      </c>
      <c r="F721" s="1" t="s">
        <v>715</v>
      </c>
      <c r="G721" s="21"/>
      <c r="I721" s="45">
        <f>$E721</f>
        <v>24000</v>
      </c>
      <c r="J721" s="45">
        <f>$E721</f>
        <v>24000</v>
      </c>
      <c r="K721" s="45">
        <f>$E721</f>
        <v>24000</v>
      </c>
      <c r="L721" s="45">
        <f t="shared" ref="L721:AE721" si="658">$E721</f>
        <v>24000</v>
      </c>
      <c r="M721" s="45">
        <f t="shared" si="658"/>
        <v>24000</v>
      </c>
      <c r="N721" s="45">
        <f t="shared" si="658"/>
        <v>24000</v>
      </c>
      <c r="O721" s="45">
        <f t="shared" si="658"/>
        <v>24000</v>
      </c>
      <c r="P721" s="45">
        <f t="shared" si="658"/>
        <v>24000</v>
      </c>
      <c r="Q721" s="45">
        <f t="shared" si="658"/>
        <v>24000</v>
      </c>
      <c r="R721" s="45">
        <f t="shared" si="658"/>
        <v>24000</v>
      </c>
      <c r="S721" s="45">
        <f t="shared" si="658"/>
        <v>24000</v>
      </c>
      <c r="T721" s="45">
        <f t="shared" si="658"/>
        <v>24000</v>
      </c>
      <c r="U721" s="45">
        <f t="shared" si="658"/>
        <v>24000</v>
      </c>
      <c r="V721" s="45">
        <f t="shared" si="658"/>
        <v>24000</v>
      </c>
      <c r="W721" s="45">
        <f t="shared" si="658"/>
        <v>24000</v>
      </c>
      <c r="X721" s="45">
        <f t="shared" si="658"/>
        <v>24000</v>
      </c>
      <c r="Y721" s="45">
        <f t="shared" si="658"/>
        <v>24000</v>
      </c>
      <c r="Z721" s="45">
        <f t="shared" si="658"/>
        <v>24000</v>
      </c>
      <c r="AA721" s="45">
        <f t="shared" si="658"/>
        <v>24000</v>
      </c>
      <c r="AB721" s="45">
        <f t="shared" si="658"/>
        <v>24000</v>
      </c>
      <c r="AC721" s="45">
        <f t="shared" si="658"/>
        <v>24000</v>
      </c>
      <c r="AD721" s="45">
        <f t="shared" si="658"/>
        <v>24000</v>
      </c>
      <c r="AE721" s="45">
        <f t="shared" si="658"/>
        <v>24000</v>
      </c>
      <c r="AF721" s="1"/>
    </row>
    <row r="722" spans="3:32" x14ac:dyDescent="0.2">
      <c r="C722" s="30"/>
      <c r="D722" s="120"/>
      <c r="E722" s="432"/>
      <c r="G722" s="21"/>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1"/>
    </row>
    <row r="723" spans="3:32" x14ac:dyDescent="0.2">
      <c r="C723" s="42" t="s">
        <v>787</v>
      </c>
      <c r="D723" s="120"/>
      <c r="E723" s="432"/>
      <c r="G723" s="21"/>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1"/>
    </row>
    <row r="724" spans="3:32" x14ac:dyDescent="0.2">
      <c r="C724" s="30" t="s">
        <v>794</v>
      </c>
      <c r="D724" s="95">
        <v>0.1061</v>
      </c>
      <c r="E724" s="431">
        <f>D724*$E$14</f>
        <v>8.1697000000000006E-2</v>
      </c>
      <c r="F724" s="1" t="s">
        <v>791</v>
      </c>
      <c r="G724" s="21"/>
      <c r="I724" s="45">
        <f t="shared" ref="I724:K728" si="659">$D724*I$14</f>
        <v>8.1697000000000006E-2</v>
      </c>
      <c r="J724" s="45">
        <f t="shared" si="659"/>
        <v>8.1697000000000006E-2</v>
      </c>
      <c r="K724" s="45">
        <f t="shared" si="659"/>
        <v>8.1697000000000006E-2</v>
      </c>
      <c r="L724" s="45">
        <f t="shared" ref="L724:AE728" si="660">$D724*L$14</f>
        <v>8.1697000000000006E-2</v>
      </c>
      <c r="M724" s="45">
        <f t="shared" si="660"/>
        <v>8.1697000000000006E-2</v>
      </c>
      <c r="N724" s="45">
        <f t="shared" si="660"/>
        <v>8.1697000000000006E-2</v>
      </c>
      <c r="O724" s="45">
        <f t="shared" si="660"/>
        <v>8.1697000000000006E-2</v>
      </c>
      <c r="P724" s="45">
        <f t="shared" si="660"/>
        <v>8.1697000000000006E-2</v>
      </c>
      <c r="Q724" s="45">
        <f t="shared" si="660"/>
        <v>8.1697000000000006E-2</v>
      </c>
      <c r="R724" s="45">
        <f t="shared" si="660"/>
        <v>8.1697000000000006E-2</v>
      </c>
      <c r="S724" s="45">
        <f t="shared" si="660"/>
        <v>8.1697000000000006E-2</v>
      </c>
      <c r="T724" s="45">
        <f t="shared" si="660"/>
        <v>8.1697000000000006E-2</v>
      </c>
      <c r="U724" s="45">
        <f t="shared" si="660"/>
        <v>8.1697000000000006E-2</v>
      </c>
      <c r="V724" s="45">
        <f t="shared" si="660"/>
        <v>8.1697000000000006E-2</v>
      </c>
      <c r="W724" s="45">
        <f t="shared" si="660"/>
        <v>8.1697000000000006E-2</v>
      </c>
      <c r="X724" s="45">
        <f t="shared" si="660"/>
        <v>8.1697000000000006E-2</v>
      </c>
      <c r="Y724" s="45">
        <f t="shared" si="660"/>
        <v>8.1697000000000006E-2</v>
      </c>
      <c r="Z724" s="45">
        <f t="shared" si="660"/>
        <v>8.1697000000000006E-2</v>
      </c>
      <c r="AA724" s="45">
        <f t="shared" si="660"/>
        <v>8.1697000000000006E-2</v>
      </c>
      <c r="AB724" s="45">
        <f t="shared" si="660"/>
        <v>8.1697000000000006E-2</v>
      </c>
      <c r="AC724" s="45">
        <f t="shared" si="660"/>
        <v>8.1697000000000006E-2</v>
      </c>
      <c r="AD724" s="45">
        <f t="shared" si="660"/>
        <v>8.1697000000000006E-2</v>
      </c>
      <c r="AE724" s="45">
        <f t="shared" si="660"/>
        <v>8.1697000000000006E-2</v>
      </c>
      <c r="AF724" s="1"/>
    </row>
    <row r="725" spans="3:32" x14ac:dyDescent="0.2">
      <c r="C725" s="30" t="s">
        <v>795</v>
      </c>
      <c r="D725" s="95">
        <v>0.16980000000000001</v>
      </c>
      <c r="E725" s="431">
        <f>D725*$E$14</f>
        <v>0.130746</v>
      </c>
      <c r="F725" s="1" t="s">
        <v>791</v>
      </c>
      <c r="G725" s="21"/>
      <c r="I725" s="45">
        <f t="shared" si="659"/>
        <v>0.130746</v>
      </c>
      <c r="J725" s="45">
        <f t="shared" si="659"/>
        <v>0.130746</v>
      </c>
      <c r="K725" s="45">
        <f t="shared" si="659"/>
        <v>0.130746</v>
      </c>
      <c r="L725" s="45">
        <f t="shared" si="660"/>
        <v>0.130746</v>
      </c>
      <c r="M725" s="45">
        <f t="shared" si="660"/>
        <v>0.130746</v>
      </c>
      <c r="N725" s="45">
        <f t="shared" si="660"/>
        <v>0.130746</v>
      </c>
      <c r="O725" s="45">
        <f t="shared" si="660"/>
        <v>0.130746</v>
      </c>
      <c r="P725" s="45">
        <f t="shared" si="660"/>
        <v>0.130746</v>
      </c>
      <c r="Q725" s="45">
        <f t="shared" si="660"/>
        <v>0.130746</v>
      </c>
      <c r="R725" s="45">
        <f t="shared" si="660"/>
        <v>0.130746</v>
      </c>
      <c r="S725" s="45">
        <f t="shared" si="660"/>
        <v>0.130746</v>
      </c>
      <c r="T725" s="45">
        <f t="shared" si="660"/>
        <v>0.130746</v>
      </c>
      <c r="U725" s="45">
        <f t="shared" si="660"/>
        <v>0.130746</v>
      </c>
      <c r="V725" s="45">
        <f t="shared" si="660"/>
        <v>0.130746</v>
      </c>
      <c r="W725" s="45">
        <f t="shared" si="660"/>
        <v>0.130746</v>
      </c>
      <c r="X725" s="45">
        <f t="shared" si="660"/>
        <v>0.130746</v>
      </c>
      <c r="Y725" s="45">
        <f t="shared" si="660"/>
        <v>0.130746</v>
      </c>
      <c r="Z725" s="45">
        <f t="shared" si="660"/>
        <v>0.130746</v>
      </c>
      <c r="AA725" s="45">
        <f t="shared" si="660"/>
        <v>0.130746</v>
      </c>
      <c r="AB725" s="45">
        <f t="shared" si="660"/>
        <v>0.130746</v>
      </c>
      <c r="AC725" s="45">
        <f t="shared" si="660"/>
        <v>0.130746</v>
      </c>
      <c r="AD725" s="45">
        <f t="shared" si="660"/>
        <v>0.130746</v>
      </c>
      <c r="AE725" s="45">
        <f t="shared" si="660"/>
        <v>0.130746</v>
      </c>
      <c r="AF725" s="1"/>
    </row>
    <row r="726" spans="3:32" x14ac:dyDescent="0.2">
      <c r="C726" s="30" t="s">
        <v>792</v>
      </c>
      <c r="D726" s="95">
        <v>1.0996999999999999</v>
      </c>
      <c r="E726" s="431">
        <f>D726*$E$14</f>
        <v>0.84676899999999999</v>
      </c>
      <c r="F726" s="1" t="s">
        <v>796</v>
      </c>
      <c r="G726" s="21"/>
      <c r="I726" s="45">
        <f t="shared" si="659"/>
        <v>0.84676899999999999</v>
      </c>
      <c r="J726" s="45">
        <f t="shared" si="659"/>
        <v>0.84676899999999999</v>
      </c>
      <c r="K726" s="45">
        <f t="shared" si="659"/>
        <v>0.84676899999999999</v>
      </c>
      <c r="L726" s="45">
        <f t="shared" si="660"/>
        <v>0.84676899999999999</v>
      </c>
      <c r="M726" s="45">
        <f t="shared" si="660"/>
        <v>0.84676899999999999</v>
      </c>
      <c r="N726" s="45">
        <f t="shared" si="660"/>
        <v>0.84676899999999999</v>
      </c>
      <c r="O726" s="45">
        <f t="shared" si="660"/>
        <v>0.84676899999999999</v>
      </c>
      <c r="P726" s="45">
        <f t="shared" si="660"/>
        <v>0.84676899999999999</v>
      </c>
      <c r="Q726" s="45">
        <f t="shared" si="660"/>
        <v>0.84676899999999999</v>
      </c>
      <c r="R726" s="45">
        <f t="shared" si="660"/>
        <v>0.84676899999999999</v>
      </c>
      <c r="S726" s="45">
        <f t="shared" si="660"/>
        <v>0.84676899999999999</v>
      </c>
      <c r="T726" s="45">
        <f t="shared" si="660"/>
        <v>0.84676899999999999</v>
      </c>
      <c r="U726" s="45">
        <f t="shared" si="660"/>
        <v>0.84676899999999999</v>
      </c>
      <c r="V726" s="45">
        <f t="shared" si="660"/>
        <v>0.84676899999999999</v>
      </c>
      <c r="W726" s="45">
        <f t="shared" si="660"/>
        <v>0.84676899999999999</v>
      </c>
      <c r="X726" s="45">
        <f t="shared" si="660"/>
        <v>0.84676899999999999</v>
      </c>
      <c r="Y726" s="45">
        <f t="shared" si="660"/>
        <v>0.84676899999999999</v>
      </c>
      <c r="Z726" s="45">
        <f t="shared" si="660"/>
        <v>0.84676899999999999</v>
      </c>
      <c r="AA726" s="45">
        <f t="shared" si="660"/>
        <v>0.84676899999999999</v>
      </c>
      <c r="AB726" s="45">
        <f t="shared" si="660"/>
        <v>0.84676899999999999</v>
      </c>
      <c r="AC726" s="45">
        <f t="shared" si="660"/>
        <v>0.84676899999999999</v>
      </c>
      <c r="AD726" s="45">
        <f t="shared" si="660"/>
        <v>0.84676899999999999</v>
      </c>
      <c r="AE726" s="45">
        <f t="shared" si="660"/>
        <v>0.84676899999999999</v>
      </c>
      <c r="AF726" s="1"/>
    </row>
    <row r="727" spans="3:32" x14ac:dyDescent="0.2">
      <c r="C727" s="30" t="s">
        <v>793</v>
      </c>
      <c r="D727" s="95">
        <v>0.75060000000000004</v>
      </c>
      <c r="E727" s="431">
        <f>D727*$E$14</f>
        <v>0.57796200000000009</v>
      </c>
      <c r="F727" s="1" t="s">
        <v>796</v>
      </c>
      <c r="G727" s="21"/>
      <c r="I727" s="45">
        <f t="shared" si="659"/>
        <v>0.57796200000000009</v>
      </c>
      <c r="J727" s="45">
        <f t="shared" si="659"/>
        <v>0.57796200000000009</v>
      </c>
      <c r="K727" s="45">
        <f t="shared" si="659"/>
        <v>0.57796200000000009</v>
      </c>
      <c r="L727" s="45">
        <f t="shared" si="660"/>
        <v>0.57796200000000009</v>
      </c>
      <c r="M727" s="45">
        <f t="shared" si="660"/>
        <v>0.57796200000000009</v>
      </c>
      <c r="N727" s="45">
        <f t="shared" si="660"/>
        <v>0.57796200000000009</v>
      </c>
      <c r="O727" s="45">
        <f t="shared" si="660"/>
        <v>0.57796200000000009</v>
      </c>
      <c r="P727" s="45">
        <f t="shared" si="660"/>
        <v>0.57796200000000009</v>
      </c>
      <c r="Q727" s="45">
        <f t="shared" si="660"/>
        <v>0.57796200000000009</v>
      </c>
      <c r="R727" s="45">
        <f t="shared" si="660"/>
        <v>0.57796200000000009</v>
      </c>
      <c r="S727" s="45">
        <f t="shared" si="660"/>
        <v>0.57796200000000009</v>
      </c>
      <c r="T727" s="45">
        <f t="shared" si="660"/>
        <v>0.57796200000000009</v>
      </c>
      <c r="U727" s="45">
        <f t="shared" si="660"/>
        <v>0.57796200000000009</v>
      </c>
      <c r="V727" s="45">
        <f t="shared" si="660"/>
        <v>0.57796200000000009</v>
      </c>
      <c r="W727" s="45">
        <f t="shared" si="660"/>
        <v>0.57796200000000009</v>
      </c>
      <c r="X727" s="45">
        <f t="shared" si="660"/>
        <v>0.57796200000000009</v>
      </c>
      <c r="Y727" s="45">
        <f t="shared" si="660"/>
        <v>0.57796200000000009</v>
      </c>
      <c r="Z727" s="45">
        <f t="shared" si="660"/>
        <v>0.57796200000000009</v>
      </c>
      <c r="AA727" s="45">
        <f t="shared" si="660"/>
        <v>0.57796200000000009</v>
      </c>
      <c r="AB727" s="45">
        <f t="shared" si="660"/>
        <v>0.57796200000000009</v>
      </c>
      <c r="AC727" s="45">
        <f t="shared" si="660"/>
        <v>0.57796200000000009</v>
      </c>
      <c r="AD727" s="45">
        <f t="shared" si="660"/>
        <v>0.57796200000000009</v>
      </c>
      <c r="AE727" s="45">
        <f t="shared" si="660"/>
        <v>0.57796200000000009</v>
      </c>
      <c r="AF727" s="1"/>
    </row>
    <row r="728" spans="3:32" x14ac:dyDescent="0.2">
      <c r="C728" s="30" t="s">
        <v>790</v>
      </c>
      <c r="D728" s="95">
        <v>3955</v>
      </c>
      <c r="E728" s="431">
        <f>D728*$E$14</f>
        <v>3045.35</v>
      </c>
      <c r="F728" s="1" t="s">
        <v>51</v>
      </c>
      <c r="G728" s="21"/>
      <c r="I728" s="45">
        <f t="shared" si="659"/>
        <v>3045.35</v>
      </c>
      <c r="J728" s="45">
        <f t="shared" si="659"/>
        <v>3045.35</v>
      </c>
      <c r="K728" s="45">
        <f t="shared" si="659"/>
        <v>3045.35</v>
      </c>
      <c r="L728" s="45">
        <f t="shared" si="660"/>
        <v>3045.35</v>
      </c>
      <c r="M728" s="45">
        <f t="shared" si="660"/>
        <v>3045.35</v>
      </c>
      <c r="N728" s="45">
        <f t="shared" si="660"/>
        <v>3045.35</v>
      </c>
      <c r="O728" s="45">
        <f t="shared" si="660"/>
        <v>3045.35</v>
      </c>
      <c r="P728" s="45">
        <f t="shared" si="660"/>
        <v>3045.35</v>
      </c>
      <c r="Q728" s="45">
        <f t="shared" si="660"/>
        <v>3045.35</v>
      </c>
      <c r="R728" s="45">
        <f t="shared" si="660"/>
        <v>3045.35</v>
      </c>
      <c r="S728" s="45">
        <f t="shared" si="660"/>
        <v>3045.35</v>
      </c>
      <c r="T728" s="45">
        <f t="shared" si="660"/>
        <v>3045.35</v>
      </c>
      <c r="U728" s="45">
        <f t="shared" si="660"/>
        <v>3045.35</v>
      </c>
      <c r="V728" s="45">
        <f t="shared" si="660"/>
        <v>3045.35</v>
      </c>
      <c r="W728" s="45">
        <f t="shared" si="660"/>
        <v>3045.35</v>
      </c>
      <c r="X728" s="45">
        <f t="shared" si="660"/>
        <v>3045.35</v>
      </c>
      <c r="Y728" s="45">
        <f t="shared" si="660"/>
        <v>3045.35</v>
      </c>
      <c r="Z728" s="45">
        <f t="shared" si="660"/>
        <v>3045.35</v>
      </c>
      <c r="AA728" s="45">
        <f t="shared" si="660"/>
        <v>3045.35</v>
      </c>
      <c r="AB728" s="45">
        <f t="shared" si="660"/>
        <v>3045.35</v>
      </c>
      <c r="AC728" s="45">
        <f t="shared" si="660"/>
        <v>3045.35</v>
      </c>
      <c r="AD728" s="45">
        <f t="shared" si="660"/>
        <v>3045.35</v>
      </c>
      <c r="AE728" s="45">
        <f t="shared" si="660"/>
        <v>3045.35</v>
      </c>
      <c r="AF728" s="1"/>
    </row>
    <row r="729" spans="3:32" x14ac:dyDescent="0.2">
      <c r="C729" s="30" t="s">
        <v>799</v>
      </c>
      <c r="D729" s="120"/>
      <c r="E729" s="431">
        <f>(E724+E725)*E721/E719+E726+E727+E728/E719</f>
        <v>1.7866857555555558</v>
      </c>
      <c r="F729" s="1" t="s">
        <v>3</v>
      </c>
      <c r="G729" s="21"/>
      <c r="I729" s="45">
        <f>(I724+I725)*I721/I719+I726+I727+I728/I719</f>
        <v>1.7866857555555558</v>
      </c>
      <c r="J729" s="45">
        <f>(J724+J725)*J721/J719+J726+J727+J728/J719</f>
        <v>1.7866857555555558</v>
      </c>
      <c r="K729" s="45">
        <f>(K724+K725)*K721/K719+K726+K727+K728/K719</f>
        <v>1.7866857555555558</v>
      </c>
      <c r="L729" s="45">
        <f t="shared" ref="L729:AE729" si="661">(L724+L725)*L721/L719+L726+L727+L728/L719</f>
        <v>1.7866857555555558</v>
      </c>
      <c r="M729" s="45">
        <f t="shared" si="661"/>
        <v>1.7866857555555558</v>
      </c>
      <c r="N729" s="45">
        <f t="shared" si="661"/>
        <v>1.7866857555555558</v>
      </c>
      <c r="O729" s="45">
        <f t="shared" si="661"/>
        <v>1.7866857555555558</v>
      </c>
      <c r="P729" s="45">
        <f t="shared" si="661"/>
        <v>1.7866857555555558</v>
      </c>
      <c r="Q729" s="45">
        <f t="shared" si="661"/>
        <v>1.7866857555555558</v>
      </c>
      <c r="R729" s="45">
        <f t="shared" si="661"/>
        <v>1.7866857555555558</v>
      </c>
      <c r="S729" s="45">
        <f t="shared" si="661"/>
        <v>1.7866857555555558</v>
      </c>
      <c r="T729" s="45">
        <f t="shared" si="661"/>
        <v>1.7866857555555558</v>
      </c>
      <c r="U729" s="45">
        <f t="shared" si="661"/>
        <v>1.7866857555555558</v>
      </c>
      <c r="V729" s="45">
        <f t="shared" si="661"/>
        <v>1.7866857555555558</v>
      </c>
      <c r="W729" s="45">
        <f t="shared" si="661"/>
        <v>1.7866857555555558</v>
      </c>
      <c r="X729" s="45">
        <f t="shared" si="661"/>
        <v>1.7866857555555558</v>
      </c>
      <c r="Y729" s="45">
        <f t="shared" si="661"/>
        <v>1.7866857555555558</v>
      </c>
      <c r="Z729" s="45">
        <f t="shared" si="661"/>
        <v>1.7866857555555558</v>
      </c>
      <c r="AA729" s="45">
        <f t="shared" si="661"/>
        <v>1.7866857555555558</v>
      </c>
      <c r="AB729" s="45">
        <f t="shared" si="661"/>
        <v>1.7866857555555558</v>
      </c>
      <c r="AC729" s="45">
        <f t="shared" si="661"/>
        <v>1.7866857555555558</v>
      </c>
      <c r="AD729" s="45">
        <f t="shared" si="661"/>
        <v>1.7866857555555558</v>
      </c>
      <c r="AE729" s="45">
        <f t="shared" si="661"/>
        <v>1.7866857555555558</v>
      </c>
      <c r="AF729" s="1"/>
    </row>
    <row r="730" spans="3:32" x14ac:dyDescent="0.2">
      <c r="C730" s="30"/>
      <c r="D730" s="120"/>
      <c r="E730" s="432"/>
      <c r="G730" s="21"/>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1"/>
    </row>
    <row r="731" spans="3:32" x14ac:dyDescent="0.2">
      <c r="C731" s="42" t="s">
        <v>798</v>
      </c>
      <c r="D731" s="120"/>
      <c r="E731" s="432"/>
      <c r="G731" s="21"/>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1"/>
    </row>
    <row r="732" spans="3:32" x14ac:dyDescent="0.2">
      <c r="C732" s="30" t="s">
        <v>803</v>
      </c>
      <c r="D732" s="120"/>
      <c r="E732" s="95">
        <v>5</v>
      </c>
      <c r="F732" s="1" t="s">
        <v>3</v>
      </c>
      <c r="G732" s="21"/>
      <c r="I732" s="45">
        <f>$E$732</f>
        <v>5</v>
      </c>
      <c r="J732" s="45">
        <f>$E$732</f>
        <v>5</v>
      </c>
      <c r="K732" s="45">
        <f>$E$732</f>
        <v>5</v>
      </c>
      <c r="L732" s="45">
        <f t="shared" ref="L732:AE732" si="662">$E$732</f>
        <v>5</v>
      </c>
      <c r="M732" s="45">
        <f t="shared" si="662"/>
        <v>5</v>
      </c>
      <c r="N732" s="45">
        <f t="shared" si="662"/>
        <v>5</v>
      </c>
      <c r="O732" s="45">
        <f t="shared" si="662"/>
        <v>5</v>
      </c>
      <c r="P732" s="45">
        <f t="shared" si="662"/>
        <v>5</v>
      </c>
      <c r="Q732" s="45">
        <f t="shared" si="662"/>
        <v>5</v>
      </c>
      <c r="R732" s="45">
        <f t="shared" si="662"/>
        <v>5</v>
      </c>
      <c r="S732" s="45">
        <f t="shared" si="662"/>
        <v>5</v>
      </c>
      <c r="T732" s="45">
        <f t="shared" si="662"/>
        <v>5</v>
      </c>
      <c r="U732" s="45">
        <f t="shared" si="662"/>
        <v>5</v>
      </c>
      <c r="V732" s="45">
        <f t="shared" si="662"/>
        <v>5</v>
      </c>
      <c r="W732" s="45">
        <f t="shared" si="662"/>
        <v>5</v>
      </c>
      <c r="X732" s="45">
        <f t="shared" si="662"/>
        <v>5</v>
      </c>
      <c r="Y732" s="45">
        <f t="shared" si="662"/>
        <v>5</v>
      </c>
      <c r="Z732" s="45">
        <f t="shared" si="662"/>
        <v>5</v>
      </c>
      <c r="AA732" s="45">
        <f t="shared" si="662"/>
        <v>5</v>
      </c>
      <c r="AB732" s="45">
        <f t="shared" si="662"/>
        <v>5</v>
      </c>
      <c r="AC732" s="45">
        <f t="shared" si="662"/>
        <v>5</v>
      </c>
      <c r="AD732" s="45">
        <f t="shared" si="662"/>
        <v>5</v>
      </c>
      <c r="AE732" s="45">
        <f t="shared" si="662"/>
        <v>5</v>
      </c>
      <c r="AF732" s="1"/>
    </row>
    <row r="733" spans="3:32" x14ac:dyDescent="0.2">
      <c r="C733" s="30"/>
      <c r="D733" s="120"/>
      <c r="E733" s="120"/>
      <c r="G733" s="21"/>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1"/>
    </row>
    <row r="734" spans="3:32" x14ac:dyDescent="0.2">
      <c r="C734" s="70" t="s">
        <v>800</v>
      </c>
      <c r="D734" s="70"/>
      <c r="E734" s="431">
        <f>E720+E729+E732</f>
        <v>12.342241311111112</v>
      </c>
      <c r="F734" s="1" t="s">
        <v>3</v>
      </c>
      <c r="G734" s="21">
        <f>AVERAGE(K734:AE734)</f>
        <v>12.342241311111112</v>
      </c>
      <c r="I734" s="45">
        <f>I720+I729+I732</f>
        <v>12.342241311111112</v>
      </c>
      <c r="J734" s="45">
        <f>J720+J729+J732</f>
        <v>12.342241311111112</v>
      </c>
      <c r="K734" s="45">
        <f>K720+K729+K732</f>
        <v>12.342241311111112</v>
      </c>
      <c r="L734" s="45">
        <f t="shared" ref="L734:AE734" si="663">L720+L729+L732</f>
        <v>12.342241311111112</v>
      </c>
      <c r="M734" s="45">
        <f t="shared" si="663"/>
        <v>12.342241311111112</v>
      </c>
      <c r="N734" s="45">
        <f t="shared" si="663"/>
        <v>12.342241311111112</v>
      </c>
      <c r="O734" s="45">
        <f t="shared" si="663"/>
        <v>12.342241311111112</v>
      </c>
      <c r="P734" s="45">
        <f t="shared" si="663"/>
        <v>12.342241311111112</v>
      </c>
      <c r="Q734" s="45">
        <f t="shared" si="663"/>
        <v>12.342241311111112</v>
      </c>
      <c r="R734" s="45">
        <f t="shared" si="663"/>
        <v>12.342241311111112</v>
      </c>
      <c r="S734" s="45">
        <f t="shared" si="663"/>
        <v>12.342241311111112</v>
      </c>
      <c r="T734" s="45">
        <f t="shared" si="663"/>
        <v>12.342241311111112</v>
      </c>
      <c r="U734" s="45">
        <f t="shared" si="663"/>
        <v>12.342241311111112</v>
      </c>
      <c r="V734" s="45">
        <f t="shared" si="663"/>
        <v>12.342241311111112</v>
      </c>
      <c r="W734" s="45">
        <f t="shared" si="663"/>
        <v>12.342241311111112</v>
      </c>
      <c r="X734" s="45">
        <f t="shared" si="663"/>
        <v>12.342241311111112</v>
      </c>
      <c r="Y734" s="45">
        <f t="shared" si="663"/>
        <v>12.342241311111112</v>
      </c>
      <c r="Z734" s="45">
        <f t="shared" si="663"/>
        <v>12.342241311111112</v>
      </c>
      <c r="AA734" s="45">
        <f t="shared" si="663"/>
        <v>12.342241311111112</v>
      </c>
      <c r="AB734" s="45">
        <f t="shared" si="663"/>
        <v>12.342241311111112</v>
      </c>
      <c r="AC734" s="45">
        <f t="shared" si="663"/>
        <v>12.342241311111112</v>
      </c>
      <c r="AD734" s="45">
        <f t="shared" si="663"/>
        <v>12.342241311111112</v>
      </c>
      <c r="AE734" s="45">
        <f t="shared" si="663"/>
        <v>12.342241311111112</v>
      </c>
      <c r="AF734" s="1"/>
    </row>
    <row r="735" spans="3:32" x14ac:dyDescent="0.2">
      <c r="C735" s="5"/>
      <c r="D735" s="5"/>
      <c r="AF735" s="1"/>
    </row>
    <row r="736" spans="3:32" x14ac:dyDescent="0.2">
      <c r="C736" s="20" t="s">
        <v>863</v>
      </c>
      <c r="D736" s="20"/>
      <c r="AF736" s="1"/>
    </row>
    <row r="737" spans="2:32" x14ac:dyDescent="0.2">
      <c r="C737" s="5" t="s">
        <v>886</v>
      </c>
      <c r="D737" s="5"/>
      <c r="F737" s="1" t="s">
        <v>15</v>
      </c>
      <c r="G737" s="21">
        <f>SUM(K737:AE737)</f>
        <v>4.2960731562499985</v>
      </c>
      <c r="I737" s="45">
        <f>I119</f>
        <v>0</v>
      </c>
      <c r="J737" s="45">
        <f>J119</f>
        <v>0</v>
      </c>
      <c r="K737" s="45">
        <f>K119</f>
        <v>6.7761406249999989E-2</v>
      </c>
      <c r="L737" s="45">
        <f t="shared" ref="L737:AE737" si="664">L119</f>
        <v>0.10841824999999999</v>
      </c>
      <c r="M737" s="45">
        <f t="shared" si="664"/>
        <v>0.21683649999999999</v>
      </c>
      <c r="N737" s="45">
        <f t="shared" si="664"/>
        <v>0.21683649999999999</v>
      </c>
      <c r="O737" s="45">
        <f t="shared" si="664"/>
        <v>0.21683649999999999</v>
      </c>
      <c r="P737" s="45">
        <f t="shared" si="664"/>
        <v>0.21683649999999999</v>
      </c>
      <c r="Q737" s="45">
        <f t="shared" si="664"/>
        <v>0.21683649999999999</v>
      </c>
      <c r="R737" s="45">
        <f t="shared" si="664"/>
        <v>0.21683649999999999</v>
      </c>
      <c r="S737" s="45">
        <f t="shared" si="664"/>
        <v>0.21683649999999999</v>
      </c>
      <c r="T737" s="45">
        <f t="shared" si="664"/>
        <v>0.21683649999999999</v>
      </c>
      <c r="U737" s="45">
        <f t="shared" si="664"/>
        <v>0.21683649999999999</v>
      </c>
      <c r="V737" s="45">
        <f t="shared" si="664"/>
        <v>0.21683649999999999</v>
      </c>
      <c r="W737" s="45">
        <f t="shared" si="664"/>
        <v>0.21683649999999999</v>
      </c>
      <c r="X737" s="45">
        <f t="shared" si="664"/>
        <v>0.21683649999999999</v>
      </c>
      <c r="Y737" s="45">
        <f t="shared" si="664"/>
        <v>0.21683649999999999</v>
      </c>
      <c r="Z737" s="45">
        <f t="shared" si="664"/>
        <v>0.21683649999999999</v>
      </c>
      <c r="AA737" s="45">
        <f t="shared" si="664"/>
        <v>0.21683649999999999</v>
      </c>
      <c r="AB737" s="45">
        <f t="shared" si="664"/>
        <v>0.21683649999999999</v>
      </c>
      <c r="AC737" s="45">
        <f t="shared" si="664"/>
        <v>0.21683649999999999</v>
      </c>
      <c r="AD737" s="45">
        <f t="shared" si="664"/>
        <v>0.21683649999999999</v>
      </c>
      <c r="AE737" s="45">
        <f t="shared" si="664"/>
        <v>0.21683649999999999</v>
      </c>
      <c r="AF737" s="1"/>
    </row>
    <row r="738" spans="2:32" x14ac:dyDescent="0.2">
      <c r="C738" s="5"/>
      <c r="D738" s="5"/>
      <c r="G738" s="21"/>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1"/>
    </row>
    <row r="739" spans="2:32" x14ac:dyDescent="0.2">
      <c r="C739" s="20" t="s">
        <v>880</v>
      </c>
      <c r="D739" s="5"/>
      <c r="G739" s="21"/>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1"/>
    </row>
    <row r="740" spans="2:32" x14ac:dyDescent="0.2">
      <c r="C740" s="5" t="s">
        <v>881</v>
      </c>
      <c r="D740" s="5"/>
      <c r="F740" s="1" t="s">
        <v>55</v>
      </c>
      <c r="G740" s="21">
        <f>SUM(K740:AE740)</f>
        <v>53.023171584624237</v>
      </c>
      <c r="I740" s="45">
        <f>I737*I734</f>
        <v>0</v>
      </c>
      <c r="J740" s="45">
        <f>J737*J734</f>
        <v>0</v>
      </c>
      <c r="K740" s="45">
        <f>K737*K734</f>
        <v>0.83632762751773249</v>
      </c>
      <c r="L740" s="45">
        <f t="shared" ref="L740:AE740" si="665">L737*L734</f>
        <v>1.3381242040283723</v>
      </c>
      <c r="M740" s="45">
        <f t="shared" si="665"/>
        <v>2.6762484080567446</v>
      </c>
      <c r="N740" s="45">
        <f t="shared" si="665"/>
        <v>2.6762484080567446</v>
      </c>
      <c r="O740" s="45">
        <f t="shared" si="665"/>
        <v>2.6762484080567446</v>
      </c>
      <c r="P740" s="45">
        <f t="shared" si="665"/>
        <v>2.6762484080567446</v>
      </c>
      <c r="Q740" s="45">
        <f t="shared" si="665"/>
        <v>2.6762484080567446</v>
      </c>
      <c r="R740" s="45">
        <f t="shared" si="665"/>
        <v>2.6762484080567446</v>
      </c>
      <c r="S740" s="45">
        <f t="shared" si="665"/>
        <v>2.6762484080567446</v>
      </c>
      <c r="T740" s="45">
        <f t="shared" si="665"/>
        <v>2.6762484080567446</v>
      </c>
      <c r="U740" s="45">
        <f t="shared" si="665"/>
        <v>2.6762484080567446</v>
      </c>
      <c r="V740" s="45">
        <f t="shared" si="665"/>
        <v>2.6762484080567446</v>
      </c>
      <c r="W740" s="45">
        <f t="shared" si="665"/>
        <v>2.6762484080567446</v>
      </c>
      <c r="X740" s="45">
        <f t="shared" si="665"/>
        <v>2.6762484080567446</v>
      </c>
      <c r="Y740" s="45">
        <f t="shared" si="665"/>
        <v>2.6762484080567446</v>
      </c>
      <c r="Z740" s="45">
        <f t="shared" si="665"/>
        <v>2.6762484080567446</v>
      </c>
      <c r="AA740" s="45">
        <f t="shared" si="665"/>
        <v>2.6762484080567446</v>
      </c>
      <c r="AB740" s="45">
        <f t="shared" si="665"/>
        <v>2.6762484080567446</v>
      </c>
      <c r="AC740" s="45">
        <f t="shared" si="665"/>
        <v>2.6762484080567446</v>
      </c>
      <c r="AD740" s="45">
        <f t="shared" si="665"/>
        <v>2.6762484080567446</v>
      </c>
      <c r="AE740" s="45">
        <f t="shared" si="665"/>
        <v>2.6762484080567446</v>
      </c>
      <c r="AF740" s="1"/>
    </row>
    <row r="741" spans="2:32" x14ac:dyDescent="0.2">
      <c r="C741" s="5"/>
      <c r="D741" s="5"/>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1"/>
    </row>
    <row r="742" spans="2:32" x14ac:dyDescent="0.2">
      <c r="B742" s="24">
        <f>B714+0.01</f>
        <v>4.1199999999999992</v>
      </c>
      <c r="C742" s="20" t="s">
        <v>882</v>
      </c>
      <c r="D742" s="5"/>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1"/>
    </row>
    <row r="743" spans="2:32" x14ac:dyDescent="0.2">
      <c r="C743" s="5" t="s">
        <v>786</v>
      </c>
      <c r="D743" s="5"/>
      <c r="E743" s="95">
        <v>12</v>
      </c>
      <c r="F743" s="1" t="s">
        <v>3</v>
      </c>
      <c r="G743" s="21">
        <f>AVERAGE(K743:AE743)</f>
        <v>12</v>
      </c>
      <c r="I743" s="45">
        <f>$E743</f>
        <v>12</v>
      </c>
      <c r="J743" s="45">
        <f>$E743</f>
        <v>12</v>
      </c>
      <c r="K743" s="45">
        <f>$E743</f>
        <v>12</v>
      </c>
      <c r="L743" s="45">
        <f t="shared" ref="L743:AA744" si="666">$E743</f>
        <v>12</v>
      </c>
      <c r="M743" s="45">
        <f t="shared" si="666"/>
        <v>12</v>
      </c>
      <c r="N743" s="45">
        <f t="shared" si="666"/>
        <v>12</v>
      </c>
      <c r="O743" s="45">
        <f t="shared" si="666"/>
        <v>12</v>
      </c>
      <c r="P743" s="45">
        <f t="shared" si="666"/>
        <v>12</v>
      </c>
      <c r="Q743" s="45">
        <f t="shared" si="666"/>
        <v>12</v>
      </c>
      <c r="R743" s="45">
        <f t="shared" si="666"/>
        <v>12</v>
      </c>
      <c r="S743" s="45">
        <f t="shared" si="666"/>
        <v>12</v>
      </c>
      <c r="T743" s="45">
        <f t="shared" si="666"/>
        <v>12</v>
      </c>
      <c r="U743" s="45">
        <f t="shared" si="666"/>
        <v>12</v>
      </c>
      <c r="V743" s="45">
        <f t="shared" si="666"/>
        <v>12</v>
      </c>
      <c r="W743" s="45">
        <f t="shared" si="666"/>
        <v>12</v>
      </c>
      <c r="X743" s="45">
        <f t="shared" si="666"/>
        <v>12</v>
      </c>
      <c r="Y743" s="45">
        <f t="shared" si="666"/>
        <v>12</v>
      </c>
      <c r="Z743" s="45">
        <f t="shared" si="666"/>
        <v>12</v>
      </c>
      <c r="AA743" s="45">
        <f t="shared" si="666"/>
        <v>12</v>
      </c>
      <c r="AB743" s="45">
        <f t="shared" ref="AB743:AE744" si="667">$E743</f>
        <v>12</v>
      </c>
      <c r="AC743" s="45">
        <f t="shared" si="667"/>
        <v>12</v>
      </c>
      <c r="AD743" s="45">
        <f t="shared" si="667"/>
        <v>12</v>
      </c>
      <c r="AE743" s="45">
        <f t="shared" si="667"/>
        <v>12</v>
      </c>
      <c r="AF743" s="1"/>
    </row>
    <row r="744" spans="2:32" x14ac:dyDescent="0.2">
      <c r="C744" s="30" t="s">
        <v>883</v>
      </c>
      <c r="D744" s="5"/>
      <c r="E744" s="95">
        <v>0</v>
      </c>
      <c r="F744" s="1" t="s">
        <v>3</v>
      </c>
      <c r="G744" s="21">
        <f>AVERAGE(K744:AE744)</f>
        <v>0</v>
      </c>
      <c r="I744" s="45">
        <f t="shared" ref="I744:K744" si="668">$E744</f>
        <v>0</v>
      </c>
      <c r="J744" s="45">
        <f t="shared" si="668"/>
        <v>0</v>
      </c>
      <c r="K744" s="45">
        <f t="shared" si="668"/>
        <v>0</v>
      </c>
      <c r="L744" s="45">
        <f t="shared" si="666"/>
        <v>0</v>
      </c>
      <c r="M744" s="45">
        <f t="shared" si="666"/>
        <v>0</v>
      </c>
      <c r="N744" s="45">
        <f t="shared" si="666"/>
        <v>0</v>
      </c>
      <c r="O744" s="45">
        <f t="shared" si="666"/>
        <v>0</v>
      </c>
      <c r="P744" s="45">
        <f t="shared" si="666"/>
        <v>0</v>
      </c>
      <c r="Q744" s="45">
        <f t="shared" si="666"/>
        <v>0</v>
      </c>
      <c r="R744" s="45">
        <f t="shared" si="666"/>
        <v>0</v>
      </c>
      <c r="S744" s="45">
        <f t="shared" si="666"/>
        <v>0</v>
      </c>
      <c r="T744" s="45">
        <f t="shared" si="666"/>
        <v>0</v>
      </c>
      <c r="U744" s="45">
        <f t="shared" si="666"/>
        <v>0</v>
      </c>
      <c r="V744" s="45">
        <f t="shared" si="666"/>
        <v>0</v>
      </c>
      <c r="W744" s="45">
        <f t="shared" si="666"/>
        <v>0</v>
      </c>
      <c r="X744" s="45">
        <f t="shared" si="666"/>
        <v>0</v>
      </c>
      <c r="Y744" s="45">
        <f t="shared" si="666"/>
        <v>0</v>
      </c>
      <c r="Z744" s="45">
        <f t="shared" si="666"/>
        <v>0</v>
      </c>
      <c r="AA744" s="45">
        <f t="shared" si="666"/>
        <v>0</v>
      </c>
      <c r="AB744" s="45">
        <f t="shared" si="667"/>
        <v>0</v>
      </c>
      <c r="AC744" s="45">
        <f t="shared" si="667"/>
        <v>0</v>
      </c>
      <c r="AD744" s="45">
        <f t="shared" si="667"/>
        <v>0</v>
      </c>
      <c r="AE744" s="45">
        <f t="shared" si="667"/>
        <v>0</v>
      </c>
      <c r="AF744" s="1"/>
    </row>
    <row r="745" spans="2:32" x14ac:dyDescent="0.2">
      <c r="C745" s="5" t="s">
        <v>884</v>
      </c>
      <c r="D745" s="5"/>
      <c r="E745" s="432">
        <f>SUM(E743:E744)</f>
        <v>12</v>
      </c>
      <c r="F745" s="1" t="s">
        <v>3</v>
      </c>
      <c r="G745" s="21">
        <f>AVERAGE(K745:AE745)</f>
        <v>12</v>
      </c>
      <c r="I745" s="45">
        <f>SUM(I743:I744)</f>
        <v>12</v>
      </c>
      <c r="J745" s="45">
        <f>SUM(J743:J744)</f>
        <v>12</v>
      </c>
      <c r="K745" s="45">
        <f>SUM(K743:K744)</f>
        <v>12</v>
      </c>
      <c r="L745" s="45">
        <f t="shared" ref="L745:AE745" si="669">SUM(L743:L744)</f>
        <v>12</v>
      </c>
      <c r="M745" s="45">
        <f t="shared" si="669"/>
        <v>12</v>
      </c>
      <c r="N745" s="45">
        <f t="shared" si="669"/>
        <v>12</v>
      </c>
      <c r="O745" s="45">
        <f t="shared" si="669"/>
        <v>12</v>
      </c>
      <c r="P745" s="45">
        <f t="shared" si="669"/>
        <v>12</v>
      </c>
      <c r="Q745" s="45">
        <f t="shared" si="669"/>
        <v>12</v>
      </c>
      <c r="R745" s="45">
        <f t="shared" si="669"/>
        <v>12</v>
      </c>
      <c r="S745" s="45">
        <f t="shared" si="669"/>
        <v>12</v>
      </c>
      <c r="T745" s="45">
        <f t="shared" si="669"/>
        <v>12</v>
      </c>
      <c r="U745" s="45">
        <f t="shared" si="669"/>
        <v>12</v>
      </c>
      <c r="V745" s="45">
        <f t="shared" si="669"/>
        <v>12</v>
      </c>
      <c r="W745" s="45">
        <f t="shared" si="669"/>
        <v>12</v>
      </c>
      <c r="X745" s="45">
        <f t="shared" si="669"/>
        <v>12</v>
      </c>
      <c r="Y745" s="45">
        <f t="shared" si="669"/>
        <v>12</v>
      </c>
      <c r="Z745" s="45">
        <f t="shared" si="669"/>
        <v>12</v>
      </c>
      <c r="AA745" s="45">
        <f t="shared" si="669"/>
        <v>12</v>
      </c>
      <c r="AB745" s="45">
        <f t="shared" si="669"/>
        <v>12</v>
      </c>
      <c r="AC745" s="45">
        <f t="shared" si="669"/>
        <v>12</v>
      </c>
      <c r="AD745" s="45">
        <f t="shared" si="669"/>
        <v>12</v>
      </c>
      <c r="AE745" s="45">
        <f t="shared" si="669"/>
        <v>12</v>
      </c>
      <c r="AF745" s="1"/>
    </row>
    <row r="746" spans="2:32" x14ac:dyDescent="0.2">
      <c r="C746" s="5"/>
      <c r="D746" s="5"/>
      <c r="E746" s="432"/>
      <c r="G746" s="21"/>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1"/>
    </row>
    <row r="747" spans="2:32" x14ac:dyDescent="0.2">
      <c r="C747" s="20" t="s">
        <v>885</v>
      </c>
      <c r="D747" s="5"/>
      <c r="E747" s="432"/>
      <c r="G747" s="21"/>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1"/>
    </row>
    <row r="748" spans="2:32" x14ac:dyDescent="0.2">
      <c r="C748" s="5" t="s">
        <v>886</v>
      </c>
      <c r="D748" s="5"/>
      <c r="E748" s="432"/>
      <c r="F748" s="1" t="s">
        <v>15</v>
      </c>
      <c r="G748" s="21">
        <f>SUM(I748:AE748)</f>
        <v>4.2960731562499985</v>
      </c>
      <c r="I748" s="45">
        <f>I120</f>
        <v>0</v>
      </c>
      <c r="J748" s="45">
        <f>J120</f>
        <v>0</v>
      </c>
      <c r="K748" s="45">
        <f>K120</f>
        <v>6.7761406249999989E-2</v>
      </c>
      <c r="L748" s="45">
        <f t="shared" ref="L748:AE748" si="670">L120</f>
        <v>0.10841824999999999</v>
      </c>
      <c r="M748" s="45">
        <f t="shared" si="670"/>
        <v>0.21683649999999999</v>
      </c>
      <c r="N748" s="45">
        <f t="shared" si="670"/>
        <v>0.21683649999999999</v>
      </c>
      <c r="O748" s="45">
        <f t="shared" si="670"/>
        <v>0.21683649999999999</v>
      </c>
      <c r="P748" s="45">
        <f t="shared" si="670"/>
        <v>0.21683649999999999</v>
      </c>
      <c r="Q748" s="45">
        <f t="shared" si="670"/>
        <v>0.21683649999999999</v>
      </c>
      <c r="R748" s="45">
        <f t="shared" si="670"/>
        <v>0.21683649999999999</v>
      </c>
      <c r="S748" s="45">
        <f t="shared" si="670"/>
        <v>0.21683649999999999</v>
      </c>
      <c r="T748" s="45">
        <f t="shared" si="670"/>
        <v>0.21683649999999999</v>
      </c>
      <c r="U748" s="45">
        <f t="shared" si="670"/>
        <v>0.21683649999999999</v>
      </c>
      <c r="V748" s="45">
        <f t="shared" si="670"/>
        <v>0.21683649999999999</v>
      </c>
      <c r="W748" s="45">
        <f t="shared" si="670"/>
        <v>0.21683649999999999</v>
      </c>
      <c r="X748" s="45">
        <f t="shared" si="670"/>
        <v>0.21683649999999999</v>
      </c>
      <c r="Y748" s="45">
        <f t="shared" si="670"/>
        <v>0.21683649999999999</v>
      </c>
      <c r="Z748" s="45">
        <f t="shared" si="670"/>
        <v>0.21683649999999999</v>
      </c>
      <c r="AA748" s="45">
        <f t="shared" si="670"/>
        <v>0.21683649999999999</v>
      </c>
      <c r="AB748" s="45">
        <f t="shared" si="670"/>
        <v>0.21683649999999999</v>
      </c>
      <c r="AC748" s="45">
        <f t="shared" si="670"/>
        <v>0.21683649999999999</v>
      </c>
      <c r="AD748" s="45">
        <f t="shared" si="670"/>
        <v>0.21683649999999999</v>
      </c>
      <c r="AE748" s="45">
        <f t="shared" si="670"/>
        <v>0.21683649999999999</v>
      </c>
      <c r="AF748" s="1"/>
    </row>
    <row r="749" spans="2:32" x14ac:dyDescent="0.2">
      <c r="C749" s="5"/>
      <c r="D749" s="5"/>
      <c r="E749" s="432"/>
      <c r="G749" s="21"/>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1"/>
    </row>
    <row r="750" spans="2:32" x14ac:dyDescent="0.2">
      <c r="C750" s="20" t="s">
        <v>887</v>
      </c>
      <c r="D750" s="5"/>
      <c r="E750" s="432"/>
      <c r="G750" s="21"/>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1"/>
    </row>
    <row r="751" spans="2:32" x14ac:dyDescent="0.2">
      <c r="C751" s="5" t="s">
        <v>888</v>
      </c>
      <c r="D751" s="5"/>
      <c r="F751" s="1" t="s">
        <v>55</v>
      </c>
      <c r="G751" s="21">
        <f>SUM(I751:AE751)</f>
        <v>51.552877875</v>
      </c>
      <c r="I751" s="45">
        <f>I748*I745</f>
        <v>0</v>
      </c>
      <c r="J751" s="45">
        <f>J748*J745</f>
        <v>0</v>
      </c>
      <c r="K751" s="45">
        <f>K748*K745</f>
        <v>0.81313687499999987</v>
      </c>
      <c r="L751" s="45">
        <f t="shared" ref="L751:AE751" si="671">L748*L745</f>
        <v>1.3010189999999999</v>
      </c>
      <c r="M751" s="45">
        <f t="shared" si="671"/>
        <v>2.6020379999999999</v>
      </c>
      <c r="N751" s="45">
        <f t="shared" si="671"/>
        <v>2.6020379999999999</v>
      </c>
      <c r="O751" s="45">
        <f t="shared" si="671"/>
        <v>2.6020379999999999</v>
      </c>
      <c r="P751" s="45">
        <f t="shared" si="671"/>
        <v>2.6020379999999999</v>
      </c>
      <c r="Q751" s="45">
        <f t="shared" si="671"/>
        <v>2.6020379999999999</v>
      </c>
      <c r="R751" s="45">
        <f t="shared" si="671"/>
        <v>2.6020379999999999</v>
      </c>
      <c r="S751" s="45">
        <f t="shared" si="671"/>
        <v>2.6020379999999999</v>
      </c>
      <c r="T751" s="45">
        <f t="shared" si="671"/>
        <v>2.6020379999999999</v>
      </c>
      <c r="U751" s="45">
        <f t="shared" si="671"/>
        <v>2.6020379999999999</v>
      </c>
      <c r="V751" s="45">
        <f t="shared" si="671"/>
        <v>2.6020379999999999</v>
      </c>
      <c r="W751" s="45">
        <f t="shared" si="671"/>
        <v>2.6020379999999999</v>
      </c>
      <c r="X751" s="45">
        <f t="shared" si="671"/>
        <v>2.6020379999999999</v>
      </c>
      <c r="Y751" s="45">
        <f t="shared" si="671"/>
        <v>2.6020379999999999</v>
      </c>
      <c r="Z751" s="45">
        <f t="shared" si="671"/>
        <v>2.6020379999999999</v>
      </c>
      <c r="AA751" s="45">
        <f t="shared" si="671"/>
        <v>2.6020379999999999</v>
      </c>
      <c r="AB751" s="45">
        <f t="shared" si="671"/>
        <v>2.6020379999999999</v>
      </c>
      <c r="AC751" s="45">
        <f t="shared" si="671"/>
        <v>2.6020379999999999</v>
      </c>
      <c r="AD751" s="45">
        <f t="shared" si="671"/>
        <v>2.6020379999999999</v>
      </c>
      <c r="AE751" s="45">
        <f t="shared" si="671"/>
        <v>2.6020379999999999</v>
      </c>
      <c r="AF751" s="1"/>
    </row>
    <row r="752" spans="2:32" x14ac:dyDescent="0.2">
      <c r="C752" s="5"/>
      <c r="D752" s="5"/>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1"/>
    </row>
    <row r="753" spans="2:32" x14ac:dyDescent="0.2">
      <c r="C753" s="20" t="s">
        <v>801</v>
      </c>
      <c r="D753" s="20"/>
      <c r="E753" s="9"/>
      <c r="F753" s="9" t="s">
        <v>55</v>
      </c>
      <c r="G753" s="44">
        <f>SUM(K753:AE753)</f>
        <v>130.44442436266806</v>
      </c>
      <c r="I753" s="54">
        <f>(I711+I712)*I121+I740+I751</f>
        <v>0</v>
      </c>
      <c r="J753" s="54">
        <f>(J711+J712)*J121+J740+J751</f>
        <v>0</v>
      </c>
      <c r="K753" s="54">
        <f>(K711+K712)*K121+K740+K751</f>
        <v>2.057483034111482</v>
      </c>
      <c r="L753" s="54">
        <f t="shared" ref="L753:AE753" si="672">(L711+L712)*L121+L740+L751</f>
        <v>3.291972854578372</v>
      </c>
      <c r="M753" s="54">
        <f t="shared" si="672"/>
        <v>6.5839457091567439</v>
      </c>
      <c r="N753" s="54">
        <f t="shared" si="672"/>
        <v>6.5839457091567439</v>
      </c>
      <c r="O753" s="54">
        <f t="shared" si="672"/>
        <v>6.5839457091567439</v>
      </c>
      <c r="P753" s="54">
        <f t="shared" si="672"/>
        <v>6.5839457091567439</v>
      </c>
      <c r="Q753" s="54">
        <f t="shared" si="672"/>
        <v>6.5839457091567439</v>
      </c>
      <c r="R753" s="54">
        <f t="shared" si="672"/>
        <v>6.5839457091567439</v>
      </c>
      <c r="S753" s="54">
        <f t="shared" si="672"/>
        <v>6.5839457091567439</v>
      </c>
      <c r="T753" s="54">
        <f t="shared" si="672"/>
        <v>6.5839457091567439</v>
      </c>
      <c r="U753" s="54">
        <f t="shared" si="672"/>
        <v>6.5839457091567439</v>
      </c>
      <c r="V753" s="54">
        <f t="shared" si="672"/>
        <v>6.5839457091567439</v>
      </c>
      <c r="W753" s="54">
        <f t="shared" si="672"/>
        <v>6.5839457091567439</v>
      </c>
      <c r="X753" s="54">
        <f t="shared" si="672"/>
        <v>6.5839457091567439</v>
      </c>
      <c r="Y753" s="54">
        <f t="shared" si="672"/>
        <v>6.5839457091567439</v>
      </c>
      <c r="Z753" s="54">
        <f t="shared" si="672"/>
        <v>6.5839457091567439</v>
      </c>
      <c r="AA753" s="54">
        <f t="shared" si="672"/>
        <v>6.5839457091567439</v>
      </c>
      <c r="AB753" s="54">
        <f t="shared" si="672"/>
        <v>6.5839457091567439</v>
      </c>
      <c r="AC753" s="54">
        <f t="shared" si="672"/>
        <v>6.5839457091567439</v>
      </c>
      <c r="AD753" s="54">
        <f t="shared" si="672"/>
        <v>6.5839457091567439</v>
      </c>
      <c r="AE753" s="54">
        <f t="shared" si="672"/>
        <v>6.5839457091567439</v>
      </c>
      <c r="AF753" s="1"/>
    </row>
    <row r="754" spans="2:32" x14ac:dyDescent="0.2">
      <c r="C754" s="5" t="s">
        <v>802</v>
      </c>
      <c r="D754" s="20"/>
      <c r="E754" s="9"/>
      <c r="F754" s="1" t="s">
        <v>3</v>
      </c>
      <c r="G754" s="21">
        <f>IFERROR(G753/G121,0)</f>
        <v>15.181820655555567</v>
      </c>
      <c r="I754" s="21">
        <f>IFERROR(I753/I121,0)</f>
        <v>0</v>
      </c>
      <c r="J754" s="21">
        <f t="shared" ref="J754:AE754" si="673">IFERROR(J753/J121,0)</f>
        <v>0</v>
      </c>
      <c r="K754" s="21">
        <f t="shared" si="673"/>
        <v>15.181820655555553</v>
      </c>
      <c r="L754" s="21">
        <f t="shared" si="673"/>
        <v>15.181820655555555</v>
      </c>
      <c r="M754" s="21">
        <f t="shared" si="673"/>
        <v>15.181820655555555</v>
      </c>
      <c r="N754" s="21">
        <f t="shared" si="673"/>
        <v>15.181820655555555</v>
      </c>
      <c r="O754" s="21">
        <f t="shared" si="673"/>
        <v>15.181820655555555</v>
      </c>
      <c r="P754" s="21">
        <f t="shared" si="673"/>
        <v>15.181820655555555</v>
      </c>
      <c r="Q754" s="21">
        <f t="shared" si="673"/>
        <v>15.181820655555555</v>
      </c>
      <c r="R754" s="21">
        <f t="shared" si="673"/>
        <v>15.181820655555555</v>
      </c>
      <c r="S754" s="21">
        <f t="shared" si="673"/>
        <v>15.181820655555555</v>
      </c>
      <c r="T754" s="21">
        <f t="shared" si="673"/>
        <v>15.181820655555555</v>
      </c>
      <c r="U754" s="21">
        <f t="shared" si="673"/>
        <v>15.181820655555555</v>
      </c>
      <c r="V754" s="21">
        <f t="shared" si="673"/>
        <v>15.181820655555555</v>
      </c>
      <c r="W754" s="21">
        <f t="shared" si="673"/>
        <v>15.181820655555555</v>
      </c>
      <c r="X754" s="21">
        <f t="shared" si="673"/>
        <v>15.181820655555555</v>
      </c>
      <c r="Y754" s="21">
        <f t="shared" si="673"/>
        <v>15.181820655555555</v>
      </c>
      <c r="Z754" s="21">
        <f t="shared" si="673"/>
        <v>15.181820655555555</v>
      </c>
      <c r="AA754" s="21">
        <f t="shared" si="673"/>
        <v>15.181820655555555</v>
      </c>
      <c r="AB754" s="21">
        <f t="shared" si="673"/>
        <v>15.181820655555555</v>
      </c>
      <c r="AC754" s="21">
        <f t="shared" si="673"/>
        <v>15.181820655555555</v>
      </c>
      <c r="AD754" s="21">
        <f t="shared" si="673"/>
        <v>15.181820655555555</v>
      </c>
      <c r="AE754" s="21">
        <f t="shared" si="673"/>
        <v>15.181820655555555</v>
      </c>
      <c r="AF754" s="1"/>
    </row>
    <row r="755" spans="2:32" x14ac:dyDescent="0.2">
      <c r="C755" s="5"/>
      <c r="D755" s="5"/>
      <c r="AF755" s="1"/>
    </row>
    <row r="756" spans="2:32" x14ac:dyDescent="0.2">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1"/>
    </row>
    <row r="757" spans="2:32" x14ac:dyDescent="0.2">
      <c r="C757" s="5"/>
      <c r="D757" s="5"/>
      <c r="AF757" s="1"/>
    </row>
    <row r="758" spans="2:32" x14ac:dyDescent="0.2">
      <c r="B758" s="10">
        <f>B708+0.1</f>
        <v>4.1999999999999993</v>
      </c>
      <c r="C758" s="20" t="s">
        <v>68</v>
      </c>
      <c r="E758" s="234" t="s">
        <v>243</v>
      </c>
      <c r="AF758" s="1"/>
    </row>
    <row r="759" spans="2:32" x14ac:dyDescent="0.2">
      <c r="B759" s="10"/>
      <c r="C759" s="5" t="s">
        <v>848</v>
      </c>
      <c r="E759" s="234"/>
      <c r="F759" s="1" t="s">
        <v>55</v>
      </c>
      <c r="G759" s="21">
        <f>SUM(K759:AE759)</f>
        <v>70.217814522508874</v>
      </c>
      <c r="I759" s="41">
        <f>SUMIF('Quarterly Plant Model'!$I$2:$V$2,'Plant model'!I$2,'Quarterly Plant Model'!$I759:$V759)</f>
        <v>0</v>
      </c>
      <c r="J759" s="41">
        <f>SUMIF('Quarterly Plant Model'!$I$2:$V$2,'Plant model'!J$2,'Quarterly Plant Model'!$I759:$V759)</f>
        <v>0</v>
      </c>
      <c r="K759" s="41">
        <f>SUMIF('Quarterly Plant Model'!$I$2:$V$2,'Plant model'!K$2,'Quarterly Plant Model'!$I759:$V759)</f>
        <v>0.78954575417426609</v>
      </c>
      <c r="L759" s="41">
        <f>SUMIF('Quarterly Plant Model'!$I$2:$V$2,'Plant model'!L$2,'Quarterly Plant Model'!$I759:$V759)</f>
        <v>0.97541857134403287</v>
      </c>
      <c r="M759" s="527">
        <f>'CO2 tax'!H34*M14/1000000</f>
        <v>0.95279060116474146</v>
      </c>
      <c r="N759" s="43">
        <f>'CO2 tax'!I34*N14/1000000</f>
        <v>1.2476361998233847</v>
      </c>
      <c r="O759" s="43">
        <f>'CO2 tax'!J34*O14/1000000</f>
        <v>1.5790915083485322</v>
      </c>
      <c r="P759" s="43">
        <f>'CO2 tax'!K34*P14/1000000</f>
        <v>1.9508371426880657</v>
      </c>
      <c r="Q759" s="43">
        <f>'CO2 tax'!L34*Q14/1000000</f>
        <v>2.3668896174442269</v>
      </c>
      <c r="R759" s="43">
        <f>'CO2 tax'!M34*R14/1000000</f>
        <v>2.831630336667077</v>
      </c>
      <c r="S759" s="43">
        <f>'CO2 tax'!N34*S14/1000000</f>
        <v>3.3498369974556512</v>
      </c>
      <c r="T759" s="43">
        <f>'CO2 tax'!O34*T14/1000000</f>
        <v>3.9267176021049566</v>
      </c>
      <c r="U759" s="43">
        <f>'CO2 tax'!P34*U14/1000000</f>
        <v>4.5679472901176323</v>
      </c>
      <c r="V759" s="315">
        <f t="shared" ref="V759:AE759" si="674">U759</f>
        <v>4.5679472901176323</v>
      </c>
      <c r="W759" s="45">
        <f t="shared" si="674"/>
        <v>4.5679472901176323</v>
      </c>
      <c r="X759" s="45">
        <f t="shared" si="674"/>
        <v>4.5679472901176323</v>
      </c>
      <c r="Y759" s="45">
        <f t="shared" si="674"/>
        <v>4.5679472901176323</v>
      </c>
      <c r="Z759" s="45">
        <f t="shared" si="674"/>
        <v>4.5679472901176323</v>
      </c>
      <c r="AA759" s="45">
        <f t="shared" si="674"/>
        <v>4.5679472901176323</v>
      </c>
      <c r="AB759" s="45">
        <f t="shared" si="674"/>
        <v>4.5679472901176323</v>
      </c>
      <c r="AC759" s="45">
        <f t="shared" si="674"/>
        <v>4.5679472901176323</v>
      </c>
      <c r="AD759" s="45">
        <f t="shared" si="674"/>
        <v>4.5679472901176323</v>
      </c>
      <c r="AE759" s="45">
        <f t="shared" si="674"/>
        <v>4.5679472901176323</v>
      </c>
      <c r="AF759" s="1"/>
    </row>
    <row r="760" spans="2:32" x14ac:dyDescent="0.2">
      <c r="C760" s="5" t="s">
        <v>861</v>
      </c>
      <c r="E760" s="95">
        <v>0</v>
      </c>
      <c r="F760" s="1" t="s">
        <v>55</v>
      </c>
      <c r="G760" s="21">
        <f>SUM(K760:AE760)</f>
        <v>0</v>
      </c>
      <c r="I760" s="45">
        <f>$E760*I$14</f>
        <v>0</v>
      </c>
      <c r="J760" s="45">
        <f>$E760*J$14</f>
        <v>0</v>
      </c>
      <c r="K760" s="45">
        <f>$E760*K$14</f>
        <v>0</v>
      </c>
      <c r="L760" s="45">
        <f>$E760*L$14</f>
        <v>0</v>
      </c>
      <c r="M760" s="45">
        <f t="shared" ref="M760:AB760" si="675">$E760*M$14</f>
        <v>0</v>
      </c>
      <c r="N760" s="45">
        <f t="shared" si="675"/>
        <v>0</v>
      </c>
      <c r="O760" s="45">
        <f t="shared" si="675"/>
        <v>0</v>
      </c>
      <c r="P760" s="45">
        <f t="shared" si="675"/>
        <v>0</v>
      </c>
      <c r="Q760" s="45">
        <f t="shared" si="675"/>
        <v>0</v>
      </c>
      <c r="R760" s="45">
        <f t="shared" si="675"/>
        <v>0</v>
      </c>
      <c r="S760" s="45">
        <f t="shared" si="675"/>
        <v>0</v>
      </c>
      <c r="T760" s="45">
        <f t="shared" si="675"/>
        <v>0</v>
      </c>
      <c r="U760" s="45">
        <f t="shared" si="675"/>
        <v>0</v>
      </c>
      <c r="V760" s="45">
        <f t="shared" si="675"/>
        <v>0</v>
      </c>
      <c r="W760" s="45">
        <f t="shared" si="675"/>
        <v>0</v>
      </c>
      <c r="X760" s="45">
        <f t="shared" si="675"/>
        <v>0</v>
      </c>
      <c r="Y760" s="45">
        <f t="shared" si="675"/>
        <v>0</v>
      </c>
      <c r="Z760" s="45">
        <f t="shared" si="675"/>
        <v>0</v>
      </c>
      <c r="AA760" s="45">
        <f t="shared" si="675"/>
        <v>0</v>
      </c>
      <c r="AB760" s="45">
        <f t="shared" si="675"/>
        <v>0</v>
      </c>
      <c r="AC760" s="45">
        <f t="shared" ref="AC760:AE760" si="676">$E760*AC$14</f>
        <v>0</v>
      </c>
      <c r="AD760" s="45">
        <f t="shared" si="676"/>
        <v>0</v>
      </c>
      <c r="AE760" s="45">
        <f t="shared" si="676"/>
        <v>0</v>
      </c>
      <c r="AF760" s="1"/>
    </row>
    <row r="761" spans="2:32" x14ac:dyDescent="0.2">
      <c r="C761" s="20" t="s">
        <v>45</v>
      </c>
      <c r="E761" s="234"/>
      <c r="F761" s="9" t="s">
        <v>55</v>
      </c>
      <c r="G761" s="44">
        <f t="shared" ref="G761" si="677">SUM(K761:AE761)</f>
        <v>70.217814522508874</v>
      </c>
      <c r="H761" s="9"/>
      <c r="I761" s="44">
        <f t="shared" ref="I761" si="678">SUM(I759:I760)</f>
        <v>0</v>
      </c>
      <c r="J761" s="44">
        <f t="shared" ref="J761" si="679">SUM(J759:J760)</f>
        <v>0</v>
      </c>
      <c r="K761" s="44">
        <f t="shared" ref="K761:AE761" si="680">SUM(K759:K760)</f>
        <v>0.78954575417426609</v>
      </c>
      <c r="L761" s="44">
        <f t="shared" si="680"/>
        <v>0.97541857134403287</v>
      </c>
      <c r="M761" s="44">
        <f t="shared" si="680"/>
        <v>0.95279060116474146</v>
      </c>
      <c r="N761" s="44">
        <f t="shared" si="680"/>
        <v>1.2476361998233847</v>
      </c>
      <c r="O761" s="44">
        <f t="shared" si="680"/>
        <v>1.5790915083485322</v>
      </c>
      <c r="P761" s="44">
        <f t="shared" si="680"/>
        <v>1.9508371426880657</v>
      </c>
      <c r="Q761" s="44">
        <f t="shared" si="680"/>
        <v>2.3668896174442269</v>
      </c>
      <c r="R761" s="44">
        <f t="shared" si="680"/>
        <v>2.831630336667077</v>
      </c>
      <c r="S761" s="44">
        <f t="shared" si="680"/>
        <v>3.3498369974556512</v>
      </c>
      <c r="T761" s="44">
        <f t="shared" si="680"/>
        <v>3.9267176021049566</v>
      </c>
      <c r="U761" s="44">
        <f t="shared" si="680"/>
        <v>4.5679472901176323</v>
      </c>
      <c r="V761" s="44">
        <f t="shared" si="680"/>
        <v>4.5679472901176323</v>
      </c>
      <c r="W761" s="44">
        <f t="shared" si="680"/>
        <v>4.5679472901176323</v>
      </c>
      <c r="X761" s="44">
        <f t="shared" si="680"/>
        <v>4.5679472901176323</v>
      </c>
      <c r="Y761" s="44">
        <f t="shared" si="680"/>
        <v>4.5679472901176323</v>
      </c>
      <c r="Z761" s="44">
        <f t="shared" si="680"/>
        <v>4.5679472901176323</v>
      </c>
      <c r="AA761" s="44">
        <f t="shared" si="680"/>
        <v>4.5679472901176323</v>
      </c>
      <c r="AB761" s="44">
        <f t="shared" si="680"/>
        <v>4.5679472901176323</v>
      </c>
      <c r="AC761" s="44">
        <f t="shared" si="680"/>
        <v>4.5679472901176323</v>
      </c>
      <c r="AD761" s="44">
        <f t="shared" si="680"/>
        <v>4.5679472901176323</v>
      </c>
      <c r="AE761" s="44">
        <f t="shared" si="680"/>
        <v>4.5679472901176323</v>
      </c>
      <c r="AF761" s="1"/>
    </row>
    <row r="762" spans="2:32" x14ac:dyDescent="0.2">
      <c r="C762" s="20"/>
      <c r="E762" s="234"/>
      <c r="AF762" s="1"/>
    </row>
    <row r="763" spans="2:32" x14ac:dyDescent="0.2">
      <c r="B763" s="24">
        <f>B758+0.01</f>
        <v>4.2099999999999991</v>
      </c>
      <c r="C763" s="20" t="s">
        <v>69</v>
      </c>
      <c r="E763" s="234"/>
      <c r="AF763" s="1"/>
    </row>
    <row r="764" spans="2:32" x14ac:dyDescent="0.2">
      <c r="B764" s="24"/>
      <c r="C764" s="5" t="s">
        <v>848</v>
      </c>
      <c r="E764" s="234"/>
      <c r="F764" s="1" t="s">
        <v>55</v>
      </c>
      <c r="G764" s="21">
        <f>SUM(K764:AE764)</f>
        <v>20.411324585931897</v>
      </c>
      <c r="I764" s="41">
        <f>SUMIF('Quarterly Plant Model'!$I$2:$V$2,'Plant model'!I$2,'Quarterly Plant Model'!$I764:$V764)</f>
        <v>0</v>
      </c>
      <c r="J764" s="41">
        <f>SUMIF('Quarterly Plant Model'!$I$2:$V$2,'Plant model'!J$2,'Quarterly Plant Model'!$I764:$V764)</f>
        <v>0</v>
      </c>
      <c r="K764" s="41">
        <f>SUMIF('Quarterly Plant Model'!$I$2:$V$2,'Plant model'!K$2,'Quarterly Plant Model'!$I764:$V764)</f>
        <v>0</v>
      </c>
      <c r="L764" s="41">
        <f>SUMIF('Quarterly Plant Model'!$I$2:$V$2,'Plant model'!L$2,'Quarterly Plant Model'!$I764:$V764)</f>
        <v>0</v>
      </c>
      <c r="M764" s="527">
        <f>'CO2 tax'!H42*M14/1000000</f>
        <v>0.18279060116474144</v>
      </c>
      <c r="N764" s="41">
        <f>'CO2 tax'!I42*N14/1000000</f>
        <v>0.47763619982338468</v>
      </c>
      <c r="O764" s="41">
        <f>'CO2 tax'!J42*O14/1000000</f>
        <v>0.80909150834853216</v>
      </c>
      <c r="P764" s="41">
        <f>'CO2 tax'!K42*P14/1000000</f>
        <v>1.1808371426880657</v>
      </c>
      <c r="Q764" s="41">
        <f>'CO2 tax'!L42*Q14/1000000</f>
        <v>1.5968896174442271</v>
      </c>
      <c r="R764" s="41">
        <f>'CO2 tax'!M42*R14/1000000</f>
        <v>2.0616303366670774</v>
      </c>
      <c r="S764" s="41">
        <f>'CO2 tax'!N42*S14/1000000</f>
        <v>2.5798369974556512</v>
      </c>
      <c r="T764" s="41">
        <f>'CO2 tax'!O42*T14/1000000</f>
        <v>3.1567176021049566</v>
      </c>
      <c r="U764" s="41">
        <f>'CO2 tax'!P42*U14/1000000</f>
        <v>3.7979472901176328</v>
      </c>
      <c r="V764" s="315">
        <f>(1-0.33)*V759</f>
        <v>3.0605246843788132</v>
      </c>
      <c r="W764" s="315">
        <f>(1-0.67)*W759</f>
        <v>1.5074226057388185</v>
      </c>
      <c r="X764" s="50">
        <v>0</v>
      </c>
      <c r="Y764" s="50">
        <v>0</v>
      </c>
      <c r="Z764" s="50">
        <v>0</v>
      </c>
      <c r="AA764" s="50">
        <v>0</v>
      </c>
      <c r="AB764" s="50">
        <v>0</v>
      </c>
      <c r="AC764" s="50">
        <v>0</v>
      </c>
      <c r="AD764" s="50">
        <v>0</v>
      </c>
      <c r="AE764" s="50">
        <v>0</v>
      </c>
      <c r="AF764" s="1"/>
    </row>
    <row r="765" spans="2:32" x14ac:dyDescent="0.2">
      <c r="C765" s="5" t="s">
        <v>861</v>
      </c>
      <c r="E765" s="95">
        <v>0</v>
      </c>
      <c r="F765" s="1" t="s">
        <v>55</v>
      </c>
      <c r="G765" s="21">
        <f>SUM(K765:AE765)</f>
        <v>0</v>
      </c>
      <c r="I765" s="45">
        <f>$E765*I$14</f>
        <v>0</v>
      </c>
      <c r="J765" s="45">
        <f>$E765*J$14</f>
        <v>0</v>
      </c>
      <c r="K765" s="45">
        <f>$E765*K$14</f>
        <v>0</v>
      </c>
      <c r="L765" s="45">
        <f>$E765*L$14</f>
        <v>0</v>
      </c>
      <c r="M765" s="45">
        <f t="shared" ref="M765:AB765" si="681">$E765*M$14</f>
        <v>0</v>
      </c>
      <c r="N765" s="45">
        <f t="shared" si="681"/>
        <v>0</v>
      </c>
      <c r="O765" s="45">
        <f t="shared" si="681"/>
        <v>0</v>
      </c>
      <c r="P765" s="45">
        <f t="shared" si="681"/>
        <v>0</v>
      </c>
      <c r="Q765" s="45">
        <f t="shared" si="681"/>
        <v>0</v>
      </c>
      <c r="R765" s="45">
        <f t="shared" si="681"/>
        <v>0</v>
      </c>
      <c r="S765" s="45">
        <f t="shared" si="681"/>
        <v>0</v>
      </c>
      <c r="T765" s="45">
        <f t="shared" si="681"/>
        <v>0</v>
      </c>
      <c r="U765" s="45">
        <f t="shared" si="681"/>
        <v>0</v>
      </c>
      <c r="V765" s="45">
        <f t="shared" si="681"/>
        <v>0</v>
      </c>
      <c r="W765" s="45">
        <f t="shared" si="681"/>
        <v>0</v>
      </c>
      <c r="X765" s="45">
        <f t="shared" si="681"/>
        <v>0</v>
      </c>
      <c r="Y765" s="45">
        <f t="shared" si="681"/>
        <v>0</v>
      </c>
      <c r="Z765" s="45">
        <f t="shared" si="681"/>
        <v>0</v>
      </c>
      <c r="AA765" s="45">
        <f t="shared" si="681"/>
        <v>0</v>
      </c>
      <c r="AB765" s="45">
        <f t="shared" si="681"/>
        <v>0</v>
      </c>
      <c r="AC765" s="45">
        <f t="shared" ref="AC765:AE765" si="682">$E765*AC$14</f>
        <v>0</v>
      </c>
      <c r="AD765" s="45">
        <f t="shared" si="682"/>
        <v>0</v>
      </c>
      <c r="AE765" s="45">
        <f t="shared" si="682"/>
        <v>0</v>
      </c>
      <c r="AF765" s="1"/>
    </row>
    <row r="766" spans="2:32" x14ac:dyDescent="0.2">
      <c r="C766" s="20" t="s">
        <v>45</v>
      </c>
      <c r="D766" s="20"/>
      <c r="E766" s="9"/>
      <c r="F766" s="9" t="s">
        <v>55</v>
      </c>
      <c r="G766" s="44">
        <f t="shared" ref="G766" si="683">SUM(K766:AE766)</f>
        <v>20.411324585931897</v>
      </c>
      <c r="H766" s="9"/>
      <c r="I766" s="44">
        <f t="shared" ref="I766" si="684">SUM(I764:I765)</f>
        <v>0</v>
      </c>
      <c r="J766" s="44">
        <f t="shared" ref="J766" si="685">SUM(J764:J765)</f>
        <v>0</v>
      </c>
      <c r="K766" s="44">
        <f t="shared" ref="K766:AE766" si="686">SUM(K764:K765)</f>
        <v>0</v>
      </c>
      <c r="L766" s="44">
        <f t="shared" si="686"/>
        <v>0</v>
      </c>
      <c r="M766" s="44">
        <f t="shared" si="686"/>
        <v>0.18279060116474144</v>
      </c>
      <c r="N766" s="44">
        <f t="shared" si="686"/>
        <v>0.47763619982338468</v>
      </c>
      <c r="O766" s="44">
        <f t="shared" si="686"/>
        <v>0.80909150834853216</v>
      </c>
      <c r="P766" s="44">
        <f t="shared" si="686"/>
        <v>1.1808371426880657</v>
      </c>
      <c r="Q766" s="44">
        <f t="shared" si="686"/>
        <v>1.5968896174442271</v>
      </c>
      <c r="R766" s="44">
        <f t="shared" si="686"/>
        <v>2.0616303366670774</v>
      </c>
      <c r="S766" s="44">
        <f t="shared" si="686"/>
        <v>2.5798369974556512</v>
      </c>
      <c r="T766" s="44">
        <f t="shared" si="686"/>
        <v>3.1567176021049566</v>
      </c>
      <c r="U766" s="44">
        <f t="shared" si="686"/>
        <v>3.7979472901176328</v>
      </c>
      <c r="V766" s="44">
        <f t="shared" si="686"/>
        <v>3.0605246843788132</v>
      </c>
      <c r="W766" s="44">
        <f t="shared" si="686"/>
        <v>1.5074226057388185</v>
      </c>
      <c r="X766" s="44">
        <f t="shared" si="686"/>
        <v>0</v>
      </c>
      <c r="Y766" s="44">
        <f t="shared" si="686"/>
        <v>0</v>
      </c>
      <c r="Z766" s="44">
        <f t="shared" si="686"/>
        <v>0</v>
      </c>
      <c r="AA766" s="44">
        <f t="shared" si="686"/>
        <v>0</v>
      </c>
      <c r="AB766" s="44">
        <f t="shared" si="686"/>
        <v>0</v>
      </c>
      <c r="AC766" s="44">
        <f t="shared" si="686"/>
        <v>0</v>
      </c>
      <c r="AD766" s="44">
        <f t="shared" si="686"/>
        <v>0</v>
      </c>
      <c r="AE766" s="44">
        <f t="shared" si="686"/>
        <v>0</v>
      </c>
      <c r="AF766" s="1"/>
    </row>
    <row r="767" spans="2:32" x14ac:dyDescent="0.2">
      <c r="C767" s="5"/>
      <c r="D767" s="5"/>
      <c r="AF767" s="1"/>
    </row>
    <row r="768" spans="2:32" x14ac:dyDescent="0.2">
      <c r="B768" s="24">
        <f>B763+0.01</f>
        <v>4.2199999999999989</v>
      </c>
      <c r="C768" s="20" t="s">
        <v>70</v>
      </c>
      <c r="D768" s="20"/>
      <c r="AF768" s="1"/>
    </row>
    <row r="769" spans="2:32" x14ac:dyDescent="0.2">
      <c r="B769" s="24"/>
      <c r="C769" s="5" t="s">
        <v>848</v>
      </c>
      <c r="D769" s="20"/>
      <c r="F769" s="1" t="s">
        <v>55</v>
      </c>
      <c r="G769" s="21">
        <f>SUM(K769:AE769)</f>
        <v>49.80648993657698</v>
      </c>
      <c r="H769" s="21"/>
      <c r="I769" s="21">
        <f t="shared" ref="I769" si="687">I759-I764</f>
        <v>0</v>
      </c>
      <c r="J769" s="21">
        <f t="shared" ref="J769" si="688">J759-J764</f>
        <v>0</v>
      </c>
      <c r="K769" s="21">
        <f t="shared" ref="K769:AE769" si="689">K759-K764</f>
        <v>0.78954575417426609</v>
      </c>
      <c r="L769" s="21">
        <f t="shared" si="689"/>
        <v>0.97541857134403287</v>
      </c>
      <c r="M769" s="21">
        <f t="shared" si="689"/>
        <v>0.77</v>
      </c>
      <c r="N769" s="21">
        <f t="shared" si="689"/>
        <v>0.77</v>
      </c>
      <c r="O769" s="21">
        <f t="shared" si="689"/>
        <v>0.77</v>
      </c>
      <c r="P769" s="21">
        <f t="shared" si="689"/>
        <v>0.77</v>
      </c>
      <c r="Q769" s="21">
        <f t="shared" si="689"/>
        <v>0.7699999999999998</v>
      </c>
      <c r="R769" s="21">
        <f t="shared" si="689"/>
        <v>0.76999999999999957</v>
      </c>
      <c r="S769" s="21">
        <f t="shared" si="689"/>
        <v>0.77</v>
      </c>
      <c r="T769" s="21">
        <f t="shared" si="689"/>
        <v>0.77</v>
      </c>
      <c r="U769" s="21">
        <f t="shared" si="689"/>
        <v>0.76999999999999957</v>
      </c>
      <c r="V769" s="21">
        <f t="shared" si="689"/>
        <v>1.5074226057388191</v>
      </c>
      <c r="W769" s="21">
        <f t="shared" si="689"/>
        <v>3.0605246843788141</v>
      </c>
      <c r="X769" s="21">
        <f t="shared" si="689"/>
        <v>4.5679472901176323</v>
      </c>
      <c r="Y769" s="21">
        <f t="shared" si="689"/>
        <v>4.5679472901176323</v>
      </c>
      <c r="Z769" s="21">
        <f t="shared" si="689"/>
        <v>4.5679472901176323</v>
      </c>
      <c r="AA769" s="21">
        <f t="shared" si="689"/>
        <v>4.5679472901176323</v>
      </c>
      <c r="AB769" s="21">
        <f t="shared" si="689"/>
        <v>4.5679472901176323</v>
      </c>
      <c r="AC769" s="21">
        <f t="shared" si="689"/>
        <v>4.5679472901176323</v>
      </c>
      <c r="AD769" s="21">
        <f t="shared" si="689"/>
        <v>4.5679472901176323</v>
      </c>
      <c r="AE769" s="21">
        <f t="shared" si="689"/>
        <v>4.5679472901176323</v>
      </c>
      <c r="AF769" s="1"/>
    </row>
    <row r="770" spans="2:32" x14ac:dyDescent="0.2">
      <c r="C770" s="5" t="s">
        <v>861</v>
      </c>
      <c r="D770" s="5"/>
      <c r="F770" s="1" t="s">
        <v>55</v>
      </c>
      <c r="G770" s="21">
        <f>SUM(K770:AE770)</f>
        <v>0</v>
      </c>
      <c r="I770" s="21">
        <f t="shared" ref="I770" si="690">I760-I765</f>
        <v>0</v>
      </c>
      <c r="J770" s="21">
        <f t="shared" ref="J770" si="691">J760-J765</f>
        <v>0</v>
      </c>
      <c r="K770" s="21">
        <f t="shared" ref="K770:AE770" si="692">K760-K765</f>
        <v>0</v>
      </c>
      <c r="L770" s="21">
        <f t="shared" si="692"/>
        <v>0</v>
      </c>
      <c r="M770" s="21">
        <f t="shared" si="692"/>
        <v>0</v>
      </c>
      <c r="N770" s="21">
        <f t="shared" si="692"/>
        <v>0</v>
      </c>
      <c r="O770" s="21">
        <f t="shared" si="692"/>
        <v>0</v>
      </c>
      <c r="P770" s="21">
        <f t="shared" si="692"/>
        <v>0</v>
      </c>
      <c r="Q770" s="21">
        <f t="shared" si="692"/>
        <v>0</v>
      </c>
      <c r="R770" s="21">
        <f t="shared" si="692"/>
        <v>0</v>
      </c>
      <c r="S770" s="21">
        <f t="shared" si="692"/>
        <v>0</v>
      </c>
      <c r="T770" s="21">
        <f t="shared" si="692"/>
        <v>0</v>
      </c>
      <c r="U770" s="21">
        <f t="shared" si="692"/>
        <v>0</v>
      </c>
      <c r="V770" s="21">
        <f t="shared" si="692"/>
        <v>0</v>
      </c>
      <c r="W770" s="21">
        <f t="shared" si="692"/>
        <v>0</v>
      </c>
      <c r="X770" s="21">
        <f t="shared" si="692"/>
        <v>0</v>
      </c>
      <c r="Y770" s="21">
        <f t="shared" si="692"/>
        <v>0</v>
      </c>
      <c r="Z770" s="21">
        <f t="shared" si="692"/>
        <v>0</v>
      </c>
      <c r="AA770" s="21">
        <f t="shared" si="692"/>
        <v>0</v>
      </c>
      <c r="AB770" s="21">
        <f t="shared" si="692"/>
        <v>0</v>
      </c>
      <c r="AC770" s="21">
        <f t="shared" si="692"/>
        <v>0</v>
      </c>
      <c r="AD770" s="21">
        <f t="shared" si="692"/>
        <v>0</v>
      </c>
      <c r="AE770" s="21">
        <f t="shared" si="692"/>
        <v>0</v>
      </c>
      <c r="AF770" s="1"/>
    </row>
    <row r="771" spans="2:32" x14ac:dyDescent="0.2">
      <c r="C771" s="20" t="s">
        <v>45</v>
      </c>
      <c r="D771" s="20"/>
      <c r="E771" s="9"/>
      <c r="F771" s="9" t="s">
        <v>55</v>
      </c>
      <c r="G771" s="44">
        <f t="shared" ref="G771" si="693">SUM(K771:AE771)</f>
        <v>49.80648993657698</v>
      </c>
      <c r="H771" s="9"/>
      <c r="I771" s="44">
        <f t="shared" ref="I771" si="694">SUM(I769:I770)</f>
        <v>0</v>
      </c>
      <c r="J771" s="44">
        <f t="shared" ref="J771" si="695">SUM(J769:J770)</f>
        <v>0</v>
      </c>
      <c r="K771" s="44">
        <f t="shared" ref="K771:AE771" si="696">SUM(K769:K770)</f>
        <v>0.78954575417426609</v>
      </c>
      <c r="L771" s="44">
        <f t="shared" si="696"/>
        <v>0.97541857134403287</v>
      </c>
      <c r="M771" s="44">
        <f t="shared" si="696"/>
        <v>0.77</v>
      </c>
      <c r="N771" s="44">
        <f t="shared" si="696"/>
        <v>0.77</v>
      </c>
      <c r="O771" s="44">
        <f t="shared" si="696"/>
        <v>0.77</v>
      </c>
      <c r="P771" s="44">
        <f t="shared" si="696"/>
        <v>0.77</v>
      </c>
      <c r="Q771" s="44">
        <f t="shared" si="696"/>
        <v>0.7699999999999998</v>
      </c>
      <c r="R771" s="44">
        <f t="shared" si="696"/>
        <v>0.76999999999999957</v>
      </c>
      <c r="S771" s="44">
        <f t="shared" si="696"/>
        <v>0.77</v>
      </c>
      <c r="T771" s="44">
        <f t="shared" si="696"/>
        <v>0.77</v>
      </c>
      <c r="U771" s="44">
        <f t="shared" si="696"/>
        <v>0.76999999999999957</v>
      </c>
      <c r="V771" s="44">
        <f t="shared" si="696"/>
        <v>1.5074226057388191</v>
      </c>
      <c r="W771" s="44">
        <f t="shared" si="696"/>
        <v>3.0605246843788141</v>
      </c>
      <c r="X771" s="44">
        <f t="shared" si="696"/>
        <v>4.5679472901176323</v>
      </c>
      <c r="Y771" s="44">
        <f t="shared" si="696"/>
        <v>4.5679472901176323</v>
      </c>
      <c r="Z771" s="44">
        <f t="shared" si="696"/>
        <v>4.5679472901176323</v>
      </c>
      <c r="AA771" s="44">
        <f t="shared" si="696"/>
        <v>4.5679472901176323</v>
      </c>
      <c r="AB771" s="44">
        <f t="shared" si="696"/>
        <v>4.5679472901176323</v>
      </c>
      <c r="AC771" s="44">
        <f t="shared" si="696"/>
        <v>4.5679472901176323</v>
      </c>
      <c r="AD771" s="44">
        <f t="shared" si="696"/>
        <v>4.5679472901176323</v>
      </c>
      <c r="AE771" s="44">
        <f t="shared" si="696"/>
        <v>4.5679472901176323</v>
      </c>
      <c r="AF771" s="1"/>
    </row>
    <row r="772" spans="2:32" x14ac:dyDescent="0.2">
      <c r="C772" s="20"/>
      <c r="D772" s="20"/>
      <c r="AF772" s="1"/>
    </row>
    <row r="773" spans="2:32" x14ac:dyDescent="0.2">
      <c r="C773" s="22"/>
      <c r="D773" s="22"/>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1"/>
    </row>
    <row r="774" spans="2:32" x14ac:dyDescent="0.2">
      <c r="C774" s="20"/>
      <c r="D774" s="20"/>
      <c r="AF774" s="1"/>
    </row>
    <row r="775" spans="2:32" x14ac:dyDescent="0.2">
      <c r="B775" s="10">
        <f>B758+0.1</f>
        <v>4.2999999999999989</v>
      </c>
      <c r="C775" s="20" t="s">
        <v>71</v>
      </c>
      <c r="D775" s="20"/>
      <c r="AF775" s="1"/>
    </row>
    <row r="776" spans="2:32" x14ac:dyDescent="0.2">
      <c r="C776" s="5"/>
      <c r="D776" s="5"/>
      <c r="AF776" s="1"/>
    </row>
    <row r="777" spans="2:32" x14ac:dyDescent="0.2">
      <c r="C777" s="5" t="s">
        <v>72</v>
      </c>
      <c r="D777" s="5"/>
      <c r="F777" s="1" t="s">
        <v>55</v>
      </c>
      <c r="G777" s="21">
        <f>SUM(K777:AE777)</f>
        <v>130.44442436266806</v>
      </c>
      <c r="I777" s="21">
        <f t="shared" ref="I777" si="697">I753</f>
        <v>0</v>
      </c>
      <c r="J777" s="21">
        <f t="shared" ref="J777" si="698">J753</f>
        <v>0</v>
      </c>
      <c r="K777" s="21">
        <f t="shared" ref="K777:AE777" si="699">K753</f>
        <v>2.057483034111482</v>
      </c>
      <c r="L777" s="21">
        <f t="shared" si="699"/>
        <v>3.291972854578372</v>
      </c>
      <c r="M777" s="21">
        <f t="shared" si="699"/>
        <v>6.5839457091567439</v>
      </c>
      <c r="N777" s="21">
        <f t="shared" si="699"/>
        <v>6.5839457091567439</v>
      </c>
      <c r="O777" s="21">
        <f t="shared" si="699"/>
        <v>6.5839457091567439</v>
      </c>
      <c r="P777" s="21">
        <f t="shared" si="699"/>
        <v>6.5839457091567439</v>
      </c>
      <c r="Q777" s="21">
        <f t="shared" si="699"/>
        <v>6.5839457091567439</v>
      </c>
      <c r="R777" s="21">
        <f t="shared" si="699"/>
        <v>6.5839457091567439</v>
      </c>
      <c r="S777" s="21">
        <f t="shared" si="699"/>
        <v>6.5839457091567439</v>
      </c>
      <c r="T777" s="21">
        <f t="shared" si="699"/>
        <v>6.5839457091567439</v>
      </c>
      <c r="U777" s="21">
        <f t="shared" si="699"/>
        <v>6.5839457091567439</v>
      </c>
      <c r="V777" s="21">
        <f t="shared" si="699"/>
        <v>6.5839457091567439</v>
      </c>
      <c r="W777" s="21">
        <f t="shared" si="699"/>
        <v>6.5839457091567439</v>
      </c>
      <c r="X777" s="21">
        <f t="shared" si="699"/>
        <v>6.5839457091567439</v>
      </c>
      <c r="Y777" s="21">
        <f t="shared" si="699"/>
        <v>6.5839457091567439</v>
      </c>
      <c r="Z777" s="21">
        <f t="shared" si="699"/>
        <v>6.5839457091567439</v>
      </c>
      <c r="AA777" s="21">
        <f t="shared" si="699"/>
        <v>6.5839457091567439</v>
      </c>
      <c r="AB777" s="21">
        <f t="shared" si="699"/>
        <v>6.5839457091567439</v>
      </c>
      <c r="AC777" s="21">
        <f t="shared" si="699"/>
        <v>6.5839457091567439</v>
      </c>
      <c r="AD777" s="21">
        <f t="shared" si="699"/>
        <v>6.5839457091567439</v>
      </c>
      <c r="AE777" s="21">
        <f t="shared" si="699"/>
        <v>6.5839457091567439</v>
      </c>
      <c r="AF777" s="1"/>
    </row>
    <row r="778" spans="2:32" x14ac:dyDescent="0.2">
      <c r="C778" s="5" t="s">
        <v>68</v>
      </c>
      <c r="D778" s="5"/>
      <c r="F778" s="1" t="s">
        <v>55</v>
      </c>
      <c r="G778" s="21">
        <f>SUM(K778:AE778)</f>
        <v>70.217814522508874</v>
      </c>
      <c r="I778" s="21">
        <f t="shared" ref="I778" si="700">I761</f>
        <v>0</v>
      </c>
      <c r="J778" s="21">
        <f t="shared" ref="J778" si="701">J761</f>
        <v>0</v>
      </c>
      <c r="K778" s="21">
        <f t="shared" ref="K778:AE778" si="702">K761</f>
        <v>0.78954575417426609</v>
      </c>
      <c r="L778" s="21">
        <f t="shared" si="702"/>
        <v>0.97541857134403287</v>
      </c>
      <c r="M778" s="21">
        <f t="shared" si="702"/>
        <v>0.95279060116474146</v>
      </c>
      <c r="N778" s="21">
        <f t="shared" si="702"/>
        <v>1.2476361998233847</v>
      </c>
      <c r="O778" s="21">
        <f t="shared" si="702"/>
        <v>1.5790915083485322</v>
      </c>
      <c r="P778" s="21">
        <f t="shared" si="702"/>
        <v>1.9508371426880657</v>
      </c>
      <c r="Q778" s="21">
        <f t="shared" si="702"/>
        <v>2.3668896174442269</v>
      </c>
      <c r="R778" s="21">
        <f t="shared" si="702"/>
        <v>2.831630336667077</v>
      </c>
      <c r="S778" s="21">
        <f t="shared" si="702"/>
        <v>3.3498369974556512</v>
      </c>
      <c r="T778" s="21">
        <f t="shared" si="702"/>
        <v>3.9267176021049566</v>
      </c>
      <c r="U778" s="21">
        <f t="shared" si="702"/>
        <v>4.5679472901176323</v>
      </c>
      <c r="V778" s="21">
        <f t="shared" si="702"/>
        <v>4.5679472901176323</v>
      </c>
      <c r="W778" s="21">
        <f t="shared" si="702"/>
        <v>4.5679472901176323</v>
      </c>
      <c r="X778" s="21">
        <f t="shared" si="702"/>
        <v>4.5679472901176323</v>
      </c>
      <c r="Y778" s="21">
        <f t="shared" si="702"/>
        <v>4.5679472901176323</v>
      </c>
      <c r="Z778" s="21">
        <f t="shared" si="702"/>
        <v>4.5679472901176323</v>
      </c>
      <c r="AA778" s="21">
        <f t="shared" si="702"/>
        <v>4.5679472901176323</v>
      </c>
      <c r="AB778" s="21">
        <f t="shared" si="702"/>
        <v>4.5679472901176323</v>
      </c>
      <c r="AC778" s="21">
        <f t="shared" si="702"/>
        <v>4.5679472901176323</v>
      </c>
      <c r="AD778" s="21">
        <f t="shared" si="702"/>
        <v>4.5679472901176323</v>
      </c>
      <c r="AE778" s="21">
        <f t="shared" si="702"/>
        <v>4.5679472901176323</v>
      </c>
      <c r="AF778" s="1"/>
    </row>
    <row r="779" spans="2:32" x14ac:dyDescent="0.2">
      <c r="C779" s="5" t="s">
        <v>69</v>
      </c>
      <c r="D779" s="5"/>
      <c r="F779" s="1" t="s">
        <v>55</v>
      </c>
      <c r="G779" s="21">
        <f>SUM(K779:AE779)</f>
        <v>-20.411324585931897</v>
      </c>
      <c r="I779" s="21">
        <f t="shared" ref="I779" si="703">-I766</f>
        <v>0</v>
      </c>
      <c r="J779" s="21">
        <f t="shared" ref="J779" si="704">-J766</f>
        <v>0</v>
      </c>
      <c r="K779" s="21">
        <f t="shared" ref="K779:AE779" si="705">-K766</f>
        <v>0</v>
      </c>
      <c r="L779" s="21">
        <f t="shared" si="705"/>
        <v>0</v>
      </c>
      <c r="M779" s="21">
        <f t="shared" si="705"/>
        <v>-0.18279060116474144</v>
      </c>
      <c r="N779" s="21">
        <f t="shared" si="705"/>
        <v>-0.47763619982338468</v>
      </c>
      <c r="O779" s="21">
        <f t="shared" si="705"/>
        <v>-0.80909150834853216</v>
      </c>
      <c r="P779" s="21">
        <f t="shared" si="705"/>
        <v>-1.1808371426880657</v>
      </c>
      <c r="Q779" s="21">
        <f t="shared" si="705"/>
        <v>-1.5968896174442271</v>
      </c>
      <c r="R779" s="21">
        <f t="shared" si="705"/>
        <v>-2.0616303366670774</v>
      </c>
      <c r="S779" s="21">
        <f t="shared" si="705"/>
        <v>-2.5798369974556512</v>
      </c>
      <c r="T779" s="21">
        <f t="shared" si="705"/>
        <v>-3.1567176021049566</v>
      </c>
      <c r="U779" s="21">
        <f t="shared" si="705"/>
        <v>-3.7979472901176328</v>
      </c>
      <c r="V779" s="21">
        <f t="shared" si="705"/>
        <v>-3.0605246843788132</v>
      </c>
      <c r="W779" s="21">
        <f t="shared" si="705"/>
        <v>-1.5074226057388185</v>
      </c>
      <c r="X779" s="21">
        <f t="shared" si="705"/>
        <v>0</v>
      </c>
      <c r="Y779" s="21">
        <f t="shared" si="705"/>
        <v>0</v>
      </c>
      <c r="Z779" s="21">
        <f t="shared" si="705"/>
        <v>0</v>
      </c>
      <c r="AA779" s="21">
        <f t="shared" si="705"/>
        <v>0</v>
      </c>
      <c r="AB779" s="21">
        <f t="shared" si="705"/>
        <v>0</v>
      </c>
      <c r="AC779" s="21">
        <f t="shared" si="705"/>
        <v>0</v>
      </c>
      <c r="AD779" s="21">
        <f t="shared" si="705"/>
        <v>0</v>
      </c>
      <c r="AE779" s="21">
        <f t="shared" si="705"/>
        <v>0</v>
      </c>
      <c r="AF779" s="1"/>
    </row>
    <row r="780" spans="2:32" x14ac:dyDescent="0.2">
      <c r="C780" s="20" t="s">
        <v>45</v>
      </c>
      <c r="D780" s="20"/>
      <c r="E780" s="9"/>
      <c r="F780" s="9" t="s">
        <v>55</v>
      </c>
      <c r="G780" s="44">
        <f>SUM(K780:AE780)</f>
        <v>180.25091429924495</v>
      </c>
      <c r="H780" s="9"/>
      <c r="I780" s="44">
        <f>SUM(I777:I779)</f>
        <v>0</v>
      </c>
      <c r="J780" s="44">
        <f>SUM(J777:J779)</f>
        <v>0</v>
      </c>
      <c r="K780" s="44">
        <f>SUM(K777:K779)</f>
        <v>2.8470287882857481</v>
      </c>
      <c r="L780" s="44">
        <f>SUM(L777:L779)</f>
        <v>4.2673914259224048</v>
      </c>
      <c r="M780" s="44">
        <f t="shared" ref="M780:AE780" si="706">SUM(M777:M779)</f>
        <v>7.3539457091567435</v>
      </c>
      <c r="N780" s="44">
        <f t="shared" si="706"/>
        <v>7.3539457091567435</v>
      </c>
      <c r="O780" s="44">
        <f t="shared" si="706"/>
        <v>7.3539457091567453</v>
      </c>
      <c r="P780" s="44">
        <f t="shared" si="706"/>
        <v>7.3539457091567435</v>
      </c>
      <c r="Q780" s="44">
        <f t="shared" si="706"/>
        <v>7.3539457091567426</v>
      </c>
      <c r="R780" s="44">
        <f t="shared" si="706"/>
        <v>7.3539457091567435</v>
      </c>
      <c r="S780" s="44">
        <f t="shared" si="706"/>
        <v>7.3539457091567435</v>
      </c>
      <c r="T780" s="44">
        <f t="shared" si="706"/>
        <v>7.3539457091567435</v>
      </c>
      <c r="U780" s="44">
        <f t="shared" si="706"/>
        <v>7.3539457091567444</v>
      </c>
      <c r="V780" s="44">
        <f t="shared" si="706"/>
        <v>8.0913683148955649</v>
      </c>
      <c r="W780" s="44">
        <f t="shared" si="706"/>
        <v>9.644470393535558</v>
      </c>
      <c r="X780" s="44">
        <f t="shared" si="706"/>
        <v>11.151892999274377</v>
      </c>
      <c r="Y780" s="44">
        <f t="shared" si="706"/>
        <v>11.151892999274377</v>
      </c>
      <c r="Z780" s="44">
        <f t="shared" si="706"/>
        <v>11.151892999274377</v>
      </c>
      <c r="AA780" s="44">
        <f t="shared" si="706"/>
        <v>11.151892999274377</v>
      </c>
      <c r="AB780" s="44">
        <f t="shared" si="706"/>
        <v>11.151892999274377</v>
      </c>
      <c r="AC780" s="44">
        <f t="shared" si="706"/>
        <v>11.151892999274377</v>
      </c>
      <c r="AD780" s="44">
        <f t="shared" si="706"/>
        <v>11.151892999274377</v>
      </c>
      <c r="AE780" s="44">
        <f t="shared" si="706"/>
        <v>11.151892999274377</v>
      </c>
      <c r="AF780" s="1"/>
    </row>
    <row r="781" spans="2:32" x14ac:dyDescent="0.2">
      <c r="C781" s="5" t="s">
        <v>73</v>
      </c>
      <c r="D781" s="5"/>
      <c r="F781" s="1" t="s">
        <v>3</v>
      </c>
      <c r="G781" s="21">
        <f>G780/G104</f>
        <v>20.978566675128999</v>
      </c>
      <c r="I781" s="21">
        <f>IFERROR(I780/I104,0)</f>
        <v>0</v>
      </c>
      <c r="J781" s="21">
        <f>IFERROR(J780/J104,0)</f>
        <v>0</v>
      </c>
      <c r="K781" s="21">
        <f>IFERROR(K780/K104,0)</f>
        <v>21.007745749710946</v>
      </c>
      <c r="L781" s="21">
        <f t="shared" ref="L781:AE781" si="707">L780/L104</f>
        <v>19.680226465204914</v>
      </c>
      <c r="M781" s="21">
        <f t="shared" si="707"/>
        <v>16.957351989071821</v>
      </c>
      <c r="N781" s="21">
        <f t="shared" si="707"/>
        <v>16.957351989071821</v>
      </c>
      <c r="O781" s="21">
        <f t="shared" si="707"/>
        <v>16.957351989071825</v>
      </c>
      <c r="P781" s="21">
        <f t="shared" si="707"/>
        <v>16.957351989071821</v>
      </c>
      <c r="Q781" s="21">
        <f t="shared" si="707"/>
        <v>16.957351989071817</v>
      </c>
      <c r="R781" s="21">
        <f t="shared" si="707"/>
        <v>16.957351989071821</v>
      </c>
      <c r="S781" s="21">
        <f t="shared" si="707"/>
        <v>16.957351989071821</v>
      </c>
      <c r="T781" s="21">
        <f t="shared" si="707"/>
        <v>16.957351989071821</v>
      </c>
      <c r="U781" s="21">
        <f t="shared" si="707"/>
        <v>16.957351989071825</v>
      </c>
      <c r="V781" s="21">
        <f t="shared" si="707"/>
        <v>18.657763602750379</v>
      </c>
      <c r="W781" s="21">
        <f t="shared" si="707"/>
        <v>22.239038154405645</v>
      </c>
      <c r="X781" s="21">
        <f t="shared" si="707"/>
        <v>25.714981101600465</v>
      </c>
      <c r="Y781" s="21">
        <f t="shared" si="707"/>
        <v>25.714981101600465</v>
      </c>
      <c r="Z781" s="21">
        <f t="shared" si="707"/>
        <v>25.714981101600465</v>
      </c>
      <c r="AA781" s="21">
        <f t="shared" si="707"/>
        <v>25.714981101600465</v>
      </c>
      <c r="AB781" s="21">
        <f t="shared" si="707"/>
        <v>25.714981101600465</v>
      </c>
      <c r="AC781" s="21">
        <f t="shared" si="707"/>
        <v>25.714981101600465</v>
      </c>
      <c r="AD781" s="21">
        <f t="shared" si="707"/>
        <v>25.714981101600465</v>
      </c>
      <c r="AE781" s="21">
        <f t="shared" si="707"/>
        <v>25.714981101600465</v>
      </c>
      <c r="AF781" s="1"/>
    </row>
    <row r="782" spans="2:32" x14ac:dyDescent="0.2">
      <c r="C782" s="5"/>
      <c r="D782" s="5"/>
      <c r="AF782" s="1"/>
    </row>
    <row r="783" spans="2:32" x14ac:dyDescent="0.2">
      <c r="B783" s="6"/>
      <c r="C783" s="6"/>
      <c r="D783" s="6"/>
      <c r="E783" s="7"/>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1"/>
    </row>
    <row r="784" spans="2:32" x14ac:dyDescent="0.2">
      <c r="C784" s="5"/>
      <c r="D784" s="5"/>
      <c r="AF784" s="1"/>
    </row>
    <row r="785" spans="2:32" x14ac:dyDescent="0.2">
      <c r="B785" s="8">
        <f>B706+1</f>
        <v>5</v>
      </c>
      <c r="C785" s="20" t="s">
        <v>74</v>
      </c>
      <c r="D785" s="20"/>
      <c r="AF785" s="1"/>
    </row>
    <row r="786" spans="2:32" x14ac:dyDescent="0.2">
      <c r="C786" s="5"/>
      <c r="D786" s="5"/>
      <c r="AF786" s="1"/>
    </row>
    <row r="787" spans="2:32" x14ac:dyDescent="0.2">
      <c r="C787" s="5" t="s">
        <v>367</v>
      </c>
      <c r="D787" s="5"/>
      <c r="F787" s="1" t="s">
        <v>55</v>
      </c>
      <c r="G787" s="21">
        <f>SUM(I787:AE787)</f>
        <v>2831.0280302802148</v>
      </c>
      <c r="I787" s="21">
        <f t="shared" ref="I787" si="708">I670</f>
        <v>0</v>
      </c>
      <c r="J787" s="21">
        <f t="shared" ref="J787" si="709">J670</f>
        <v>0</v>
      </c>
      <c r="K787" s="21">
        <f t="shared" ref="K787:AE787" si="710">K670</f>
        <v>45.005808177238727</v>
      </c>
      <c r="L787" s="21">
        <f t="shared" si="710"/>
        <v>69.128256705684834</v>
      </c>
      <c r="M787" s="21">
        <f t="shared" si="710"/>
        <v>141.59144674418306</v>
      </c>
      <c r="N787" s="21">
        <f t="shared" si="710"/>
        <v>141.59144674418306</v>
      </c>
      <c r="O787" s="21">
        <f t="shared" si="710"/>
        <v>141.59144674418306</v>
      </c>
      <c r="P787" s="21">
        <f t="shared" si="710"/>
        <v>141.59144674418306</v>
      </c>
      <c r="Q787" s="21">
        <f t="shared" si="710"/>
        <v>142.08508521192036</v>
      </c>
      <c r="R787" s="21">
        <f t="shared" si="710"/>
        <v>142.57872367965763</v>
      </c>
      <c r="S787" s="21">
        <f t="shared" si="710"/>
        <v>143.07236214739493</v>
      </c>
      <c r="T787" s="21">
        <f t="shared" si="710"/>
        <v>143.56600061513222</v>
      </c>
      <c r="U787" s="21">
        <f t="shared" si="710"/>
        <v>143.56600061513222</v>
      </c>
      <c r="V787" s="21">
        <f t="shared" si="710"/>
        <v>143.56600061513222</v>
      </c>
      <c r="W787" s="21">
        <f t="shared" si="710"/>
        <v>143.56600061513222</v>
      </c>
      <c r="X787" s="21">
        <f t="shared" si="710"/>
        <v>143.56600061513222</v>
      </c>
      <c r="Y787" s="21">
        <f t="shared" si="710"/>
        <v>143.56600061513222</v>
      </c>
      <c r="Z787" s="21">
        <f t="shared" si="710"/>
        <v>143.56600061513222</v>
      </c>
      <c r="AA787" s="21">
        <f t="shared" si="710"/>
        <v>143.56600061513222</v>
      </c>
      <c r="AB787" s="21">
        <f t="shared" si="710"/>
        <v>143.56600061513222</v>
      </c>
      <c r="AC787" s="21">
        <f t="shared" si="710"/>
        <v>143.56600061513222</v>
      </c>
      <c r="AD787" s="21">
        <f t="shared" si="710"/>
        <v>143.56600061513222</v>
      </c>
      <c r="AE787" s="21">
        <f t="shared" si="710"/>
        <v>143.56600061513222</v>
      </c>
      <c r="AF787" s="1"/>
    </row>
    <row r="788" spans="2:32" x14ac:dyDescent="0.2">
      <c r="C788" s="5" t="s">
        <v>75</v>
      </c>
      <c r="D788" s="5"/>
      <c r="F788" s="1" t="s">
        <v>55</v>
      </c>
      <c r="G788" s="21">
        <f t="shared" ref="G788:G791" si="711">SUM(I788:AE788)</f>
        <v>130.44442436266806</v>
      </c>
      <c r="I788" s="21">
        <f t="shared" ref="I788" si="712">I753</f>
        <v>0</v>
      </c>
      <c r="J788" s="21">
        <f t="shared" ref="J788" si="713">J753</f>
        <v>0</v>
      </c>
      <c r="K788" s="21">
        <f t="shared" ref="K788:AE788" si="714">K753</f>
        <v>2.057483034111482</v>
      </c>
      <c r="L788" s="21">
        <f t="shared" si="714"/>
        <v>3.291972854578372</v>
      </c>
      <c r="M788" s="21">
        <f t="shared" si="714"/>
        <v>6.5839457091567439</v>
      </c>
      <c r="N788" s="21">
        <f t="shared" si="714"/>
        <v>6.5839457091567439</v>
      </c>
      <c r="O788" s="21">
        <f t="shared" si="714"/>
        <v>6.5839457091567439</v>
      </c>
      <c r="P788" s="21">
        <f t="shared" si="714"/>
        <v>6.5839457091567439</v>
      </c>
      <c r="Q788" s="21">
        <f t="shared" si="714"/>
        <v>6.5839457091567439</v>
      </c>
      <c r="R788" s="21">
        <f t="shared" si="714"/>
        <v>6.5839457091567439</v>
      </c>
      <c r="S788" s="21">
        <f t="shared" si="714"/>
        <v>6.5839457091567439</v>
      </c>
      <c r="T788" s="21">
        <f t="shared" si="714"/>
        <v>6.5839457091567439</v>
      </c>
      <c r="U788" s="21">
        <f t="shared" si="714"/>
        <v>6.5839457091567439</v>
      </c>
      <c r="V788" s="21">
        <f t="shared" si="714"/>
        <v>6.5839457091567439</v>
      </c>
      <c r="W788" s="21">
        <f t="shared" si="714"/>
        <v>6.5839457091567439</v>
      </c>
      <c r="X788" s="21">
        <f t="shared" si="714"/>
        <v>6.5839457091567439</v>
      </c>
      <c r="Y788" s="21">
        <f t="shared" si="714"/>
        <v>6.5839457091567439</v>
      </c>
      <c r="Z788" s="21">
        <f t="shared" si="714"/>
        <v>6.5839457091567439</v>
      </c>
      <c r="AA788" s="21">
        <f t="shared" si="714"/>
        <v>6.5839457091567439</v>
      </c>
      <c r="AB788" s="21">
        <f t="shared" si="714"/>
        <v>6.5839457091567439</v>
      </c>
      <c r="AC788" s="21">
        <f t="shared" si="714"/>
        <v>6.5839457091567439</v>
      </c>
      <c r="AD788" s="21">
        <f t="shared" si="714"/>
        <v>6.5839457091567439</v>
      </c>
      <c r="AE788" s="21">
        <f t="shared" si="714"/>
        <v>6.5839457091567439</v>
      </c>
      <c r="AF788" s="1"/>
    </row>
    <row r="789" spans="2:32" x14ac:dyDescent="0.2">
      <c r="C789" s="5" t="s">
        <v>76</v>
      </c>
      <c r="D789" s="5"/>
      <c r="F789" s="1" t="s">
        <v>55</v>
      </c>
      <c r="G789" s="21">
        <f t="shared" si="711"/>
        <v>70.217814522508874</v>
      </c>
      <c r="I789" s="21">
        <f t="shared" ref="I789" si="715">I761</f>
        <v>0</v>
      </c>
      <c r="J789" s="21">
        <f t="shared" ref="J789" si="716">J761</f>
        <v>0</v>
      </c>
      <c r="K789" s="21">
        <f t="shared" ref="K789:AE789" si="717">K761</f>
        <v>0.78954575417426609</v>
      </c>
      <c r="L789" s="21">
        <f t="shared" si="717"/>
        <v>0.97541857134403287</v>
      </c>
      <c r="M789" s="21">
        <f t="shared" si="717"/>
        <v>0.95279060116474146</v>
      </c>
      <c r="N789" s="21">
        <f t="shared" si="717"/>
        <v>1.2476361998233847</v>
      </c>
      <c r="O789" s="21">
        <f t="shared" si="717"/>
        <v>1.5790915083485322</v>
      </c>
      <c r="P789" s="21">
        <f t="shared" si="717"/>
        <v>1.9508371426880657</v>
      </c>
      <c r="Q789" s="21">
        <f t="shared" si="717"/>
        <v>2.3668896174442269</v>
      </c>
      <c r="R789" s="21">
        <f t="shared" si="717"/>
        <v>2.831630336667077</v>
      </c>
      <c r="S789" s="21">
        <f t="shared" si="717"/>
        <v>3.3498369974556512</v>
      </c>
      <c r="T789" s="21">
        <f t="shared" si="717"/>
        <v>3.9267176021049566</v>
      </c>
      <c r="U789" s="21">
        <f t="shared" si="717"/>
        <v>4.5679472901176323</v>
      </c>
      <c r="V789" s="21">
        <f t="shared" si="717"/>
        <v>4.5679472901176323</v>
      </c>
      <c r="W789" s="21">
        <f t="shared" si="717"/>
        <v>4.5679472901176323</v>
      </c>
      <c r="X789" s="21">
        <f t="shared" si="717"/>
        <v>4.5679472901176323</v>
      </c>
      <c r="Y789" s="21">
        <f t="shared" si="717"/>
        <v>4.5679472901176323</v>
      </c>
      <c r="Z789" s="21">
        <f t="shared" si="717"/>
        <v>4.5679472901176323</v>
      </c>
      <c r="AA789" s="21">
        <f t="shared" si="717"/>
        <v>4.5679472901176323</v>
      </c>
      <c r="AB789" s="21">
        <f t="shared" si="717"/>
        <v>4.5679472901176323</v>
      </c>
      <c r="AC789" s="21">
        <f t="shared" si="717"/>
        <v>4.5679472901176323</v>
      </c>
      <c r="AD789" s="21">
        <f t="shared" si="717"/>
        <v>4.5679472901176323</v>
      </c>
      <c r="AE789" s="21">
        <f t="shared" si="717"/>
        <v>4.5679472901176323</v>
      </c>
      <c r="AF789" s="1"/>
    </row>
    <row r="790" spans="2:32" x14ac:dyDescent="0.2">
      <c r="C790" s="5" t="s">
        <v>69</v>
      </c>
      <c r="D790" s="5"/>
      <c r="F790" s="1" t="s">
        <v>55</v>
      </c>
      <c r="G790" s="21">
        <f t="shared" si="711"/>
        <v>-20.411324585931897</v>
      </c>
      <c r="I790" s="21">
        <f t="shared" ref="I790" si="718">-I766</f>
        <v>0</v>
      </c>
      <c r="J790" s="21">
        <f t="shared" ref="J790" si="719">-J766</f>
        <v>0</v>
      </c>
      <c r="K790" s="21">
        <f t="shared" ref="K790:AE790" si="720">-K766</f>
        <v>0</v>
      </c>
      <c r="L790" s="21">
        <f t="shared" si="720"/>
        <v>0</v>
      </c>
      <c r="M790" s="21">
        <f t="shared" si="720"/>
        <v>-0.18279060116474144</v>
      </c>
      <c r="N790" s="21">
        <f t="shared" si="720"/>
        <v>-0.47763619982338468</v>
      </c>
      <c r="O790" s="21">
        <f t="shared" si="720"/>
        <v>-0.80909150834853216</v>
      </c>
      <c r="P790" s="21">
        <f t="shared" si="720"/>
        <v>-1.1808371426880657</v>
      </c>
      <c r="Q790" s="21">
        <f t="shared" si="720"/>
        <v>-1.5968896174442271</v>
      </c>
      <c r="R790" s="21">
        <f t="shared" si="720"/>
        <v>-2.0616303366670774</v>
      </c>
      <c r="S790" s="21">
        <f t="shared" si="720"/>
        <v>-2.5798369974556512</v>
      </c>
      <c r="T790" s="21">
        <f t="shared" si="720"/>
        <v>-3.1567176021049566</v>
      </c>
      <c r="U790" s="21">
        <f t="shared" si="720"/>
        <v>-3.7979472901176328</v>
      </c>
      <c r="V790" s="21">
        <f t="shared" si="720"/>
        <v>-3.0605246843788132</v>
      </c>
      <c r="W790" s="21">
        <f t="shared" si="720"/>
        <v>-1.5074226057388185</v>
      </c>
      <c r="X790" s="21">
        <f t="shared" si="720"/>
        <v>0</v>
      </c>
      <c r="Y790" s="21">
        <f t="shared" si="720"/>
        <v>0</v>
      </c>
      <c r="Z790" s="21">
        <f t="shared" si="720"/>
        <v>0</v>
      </c>
      <c r="AA790" s="21">
        <f t="shared" si="720"/>
        <v>0</v>
      </c>
      <c r="AB790" s="21">
        <f t="shared" si="720"/>
        <v>0</v>
      </c>
      <c r="AC790" s="21">
        <f t="shared" si="720"/>
        <v>0</v>
      </c>
      <c r="AD790" s="21">
        <f t="shared" si="720"/>
        <v>0</v>
      </c>
      <c r="AE790" s="21">
        <f t="shared" si="720"/>
        <v>0</v>
      </c>
      <c r="AF790" s="1"/>
    </row>
    <row r="791" spans="2:32" x14ac:dyDescent="0.2">
      <c r="C791" s="20" t="s">
        <v>77</v>
      </c>
      <c r="D791" s="146">
        <f>E83</f>
        <v>1</v>
      </c>
      <c r="F791" s="9" t="s">
        <v>55</v>
      </c>
      <c r="G791" s="44">
        <f t="shared" si="711"/>
        <v>3011.2789445794592</v>
      </c>
      <c r="I791" s="44">
        <f>SUM(I787:I790)*$E$83</f>
        <v>0</v>
      </c>
      <c r="J791" s="44">
        <f>SUM(J787:J790)*$E$83</f>
        <v>0</v>
      </c>
      <c r="K791" s="44">
        <f>SUM(K787:K790)*$E$83</f>
        <v>47.852836965524475</v>
      </c>
      <c r="L791" s="44">
        <f>SUM(L787:L790)*$E$83</f>
        <v>73.395648131607246</v>
      </c>
      <c r="M791" s="44">
        <f t="shared" ref="M791:AE791" si="721">SUM(M787:M790)*$E$83</f>
        <v>148.94539245333979</v>
      </c>
      <c r="N791" s="44">
        <f t="shared" si="721"/>
        <v>148.94539245333979</v>
      </c>
      <c r="O791" s="44">
        <f t="shared" si="721"/>
        <v>148.94539245333982</v>
      </c>
      <c r="P791" s="44">
        <f t="shared" si="721"/>
        <v>148.94539245333982</v>
      </c>
      <c r="Q791" s="44">
        <f t="shared" si="721"/>
        <v>149.43903092107712</v>
      </c>
      <c r="R791" s="44">
        <f t="shared" si="721"/>
        <v>149.93266938881439</v>
      </c>
      <c r="S791" s="44">
        <f t="shared" si="721"/>
        <v>150.42630785655166</v>
      </c>
      <c r="T791" s="44">
        <f t="shared" si="721"/>
        <v>150.91994632428899</v>
      </c>
      <c r="U791" s="44">
        <f t="shared" si="721"/>
        <v>150.91994632428899</v>
      </c>
      <c r="V791" s="44">
        <f t="shared" si="721"/>
        <v>151.65736893002781</v>
      </c>
      <c r="W791" s="44">
        <f t="shared" si="721"/>
        <v>153.21047100866781</v>
      </c>
      <c r="X791" s="44">
        <f t="shared" si="721"/>
        <v>154.71789361440662</v>
      </c>
      <c r="Y791" s="44">
        <f t="shared" si="721"/>
        <v>154.71789361440662</v>
      </c>
      <c r="Z791" s="44">
        <f t="shared" si="721"/>
        <v>154.71789361440662</v>
      </c>
      <c r="AA791" s="44">
        <f t="shared" si="721"/>
        <v>154.71789361440662</v>
      </c>
      <c r="AB791" s="44">
        <f t="shared" si="721"/>
        <v>154.71789361440662</v>
      </c>
      <c r="AC791" s="44">
        <f t="shared" si="721"/>
        <v>154.71789361440662</v>
      </c>
      <c r="AD791" s="44">
        <f t="shared" si="721"/>
        <v>154.71789361440662</v>
      </c>
      <c r="AE791" s="44">
        <f t="shared" si="721"/>
        <v>154.71789361440662</v>
      </c>
      <c r="AF791" s="1"/>
    </row>
    <row r="792" spans="2:32" x14ac:dyDescent="0.2">
      <c r="C792" s="5"/>
      <c r="D792" s="5"/>
      <c r="AF792" s="1"/>
    </row>
    <row r="793" spans="2:32" x14ac:dyDescent="0.2">
      <c r="C793" s="5" t="str">
        <f>C787</f>
        <v>Pig iron plant production cost</v>
      </c>
      <c r="D793" s="5"/>
      <c r="F793" s="1" t="s">
        <v>3</v>
      </c>
      <c r="G793" s="21">
        <f>G787/$G$104</f>
        <v>329.49020271705433</v>
      </c>
      <c r="I793" s="21">
        <f>IFERROR(I787/I$104,0)</f>
        <v>0</v>
      </c>
      <c r="J793" s="21">
        <f>IFERROR(J787/J$104,0)</f>
        <v>0</v>
      </c>
      <c r="K793" s="21">
        <f>IFERROR(K787/K$104,0)</f>
        <v>332.0902757772883</v>
      </c>
      <c r="L793" s="21">
        <f>L787/L$104</f>
        <v>318.80359951246601</v>
      </c>
      <c r="M793" s="21">
        <f t="shared" ref="M793:AE793" si="722">M787/M$104</f>
        <v>326.49357175609981</v>
      </c>
      <c r="N793" s="21">
        <f t="shared" si="722"/>
        <v>326.49357175609981</v>
      </c>
      <c r="O793" s="21">
        <f t="shared" si="722"/>
        <v>326.49357175609981</v>
      </c>
      <c r="P793" s="21">
        <f t="shared" si="722"/>
        <v>326.49357175609981</v>
      </c>
      <c r="Q793" s="21">
        <f t="shared" si="722"/>
        <v>327.63184521960181</v>
      </c>
      <c r="R793" s="21">
        <f t="shared" si="722"/>
        <v>328.7701186831037</v>
      </c>
      <c r="S793" s="21">
        <f t="shared" si="722"/>
        <v>329.90839214660571</v>
      </c>
      <c r="T793" s="21">
        <f t="shared" si="722"/>
        <v>331.04666561010771</v>
      </c>
      <c r="U793" s="21">
        <f t="shared" si="722"/>
        <v>331.04666561010771</v>
      </c>
      <c r="V793" s="21">
        <f t="shared" si="722"/>
        <v>331.04666561010771</v>
      </c>
      <c r="W793" s="21">
        <f t="shared" si="722"/>
        <v>331.04666561010771</v>
      </c>
      <c r="X793" s="21">
        <f t="shared" si="722"/>
        <v>331.04666561010771</v>
      </c>
      <c r="Y793" s="21">
        <f t="shared" si="722"/>
        <v>331.04666561010771</v>
      </c>
      <c r="Z793" s="21">
        <f t="shared" si="722"/>
        <v>331.04666561010771</v>
      </c>
      <c r="AA793" s="21">
        <f t="shared" si="722"/>
        <v>331.04666561010771</v>
      </c>
      <c r="AB793" s="21">
        <f t="shared" si="722"/>
        <v>331.04666561010771</v>
      </c>
      <c r="AC793" s="21">
        <f t="shared" si="722"/>
        <v>331.04666561010771</v>
      </c>
      <c r="AD793" s="21">
        <f t="shared" si="722"/>
        <v>331.04666561010771</v>
      </c>
      <c r="AE793" s="21">
        <f t="shared" si="722"/>
        <v>331.04666561010771</v>
      </c>
      <c r="AF793" s="1"/>
    </row>
    <row r="794" spans="2:32" x14ac:dyDescent="0.2">
      <c r="C794" s="5" t="str">
        <f>C788</f>
        <v>Pig Iron cost to market</v>
      </c>
      <c r="D794" s="5"/>
      <c r="F794" s="1" t="s">
        <v>3</v>
      </c>
      <c r="G794" s="21">
        <f>G788/$G$104</f>
        <v>15.181820655555567</v>
      </c>
      <c r="I794" s="21">
        <f t="shared" ref="I794" si="723">IFERROR(I788/I$104,0)</f>
        <v>0</v>
      </c>
      <c r="J794" s="21">
        <f t="shared" ref="J794:K797" si="724">IFERROR(J788/J$104,0)</f>
        <v>0</v>
      </c>
      <c r="K794" s="21">
        <f t="shared" si="724"/>
        <v>15.181820655555553</v>
      </c>
      <c r="L794" s="21">
        <f t="shared" ref="L794:AE794" si="725">L788/L$104</f>
        <v>15.181820655555555</v>
      </c>
      <c r="M794" s="21">
        <f t="shared" si="725"/>
        <v>15.181820655555555</v>
      </c>
      <c r="N794" s="21">
        <f t="shared" si="725"/>
        <v>15.181820655555555</v>
      </c>
      <c r="O794" s="21">
        <f t="shared" si="725"/>
        <v>15.181820655555555</v>
      </c>
      <c r="P794" s="21">
        <f t="shared" si="725"/>
        <v>15.181820655555555</v>
      </c>
      <c r="Q794" s="21">
        <f t="shared" si="725"/>
        <v>15.181820655555555</v>
      </c>
      <c r="R794" s="21">
        <f t="shared" si="725"/>
        <v>15.181820655555555</v>
      </c>
      <c r="S794" s="21">
        <f t="shared" si="725"/>
        <v>15.181820655555555</v>
      </c>
      <c r="T794" s="21">
        <f t="shared" si="725"/>
        <v>15.181820655555555</v>
      </c>
      <c r="U794" s="21">
        <f t="shared" si="725"/>
        <v>15.181820655555555</v>
      </c>
      <c r="V794" s="21">
        <f t="shared" si="725"/>
        <v>15.181820655555555</v>
      </c>
      <c r="W794" s="21">
        <f t="shared" si="725"/>
        <v>15.181820655555555</v>
      </c>
      <c r="X794" s="21">
        <f t="shared" si="725"/>
        <v>15.181820655555555</v>
      </c>
      <c r="Y794" s="21">
        <f t="shared" si="725"/>
        <v>15.181820655555555</v>
      </c>
      <c r="Z794" s="21">
        <f t="shared" si="725"/>
        <v>15.181820655555555</v>
      </c>
      <c r="AA794" s="21">
        <f t="shared" si="725"/>
        <v>15.181820655555555</v>
      </c>
      <c r="AB794" s="21">
        <f t="shared" si="725"/>
        <v>15.181820655555555</v>
      </c>
      <c r="AC794" s="21">
        <f t="shared" si="725"/>
        <v>15.181820655555555</v>
      </c>
      <c r="AD794" s="21">
        <f t="shared" si="725"/>
        <v>15.181820655555555</v>
      </c>
      <c r="AE794" s="21">
        <f t="shared" si="725"/>
        <v>15.181820655555555</v>
      </c>
      <c r="AF794" s="1"/>
    </row>
    <row r="795" spans="2:32" x14ac:dyDescent="0.2">
      <c r="C795" s="5" t="str">
        <f>C789</f>
        <v>Other site specific costs</v>
      </c>
      <c r="D795" s="5"/>
      <c r="F795" s="1" t="s">
        <v>3</v>
      </c>
      <c r="G795" s="21">
        <f>G789/$G$104</f>
        <v>8.1723252803964517</v>
      </c>
      <c r="I795" s="21">
        <f t="shared" ref="I795" si="726">IFERROR(I789/I$104,0)</f>
        <v>0</v>
      </c>
      <c r="J795" s="21">
        <f t="shared" si="724"/>
        <v>0</v>
      </c>
      <c r="K795" s="21">
        <f t="shared" si="724"/>
        <v>5.8259250941553935</v>
      </c>
      <c r="L795" s="21">
        <f t="shared" ref="L795:AE795" si="727">L789/L$104</f>
        <v>4.4984058096493573</v>
      </c>
      <c r="M795" s="21">
        <f t="shared" si="727"/>
        <v>2.197025411230908</v>
      </c>
      <c r="N795" s="21">
        <f t="shared" si="727"/>
        <v>2.8769054098903664</v>
      </c>
      <c r="O795" s="21">
        <f t="shared" si="727"/>
        <v>3.6412031838471206</v>
      </c>
      <c r="P795" s="21">
        <f t="shared" si="727"/>
        <v>4.4984058096493573</v>
      </c>
      <c r="Q795" s="21">
        <f t="shared" si="727"/>
        <v>5.457774907463059</v>
      </c>
      <c r="R795" s="21">
        <f t="shared" si="727"/>
        <v>6.5294134905033907</v>
      </c>
      <c r="S795" s="21">
        <f t="shared" si="727"/>
        <v>7.7243383781228054</v>
      </c>
      <c r="T795" s="21">
        <f t="shared" si="727"/>
        <v>9.0545586239054696</v>
      </c>
      <c r="U795" s="21">
        <f t="shared" si="727"/>
        <v>10.533160446044906</v>
      </c>
      <c r="V795" s="21">
        <f t="shared" si="727"/>
        <v>10.533160446044906</v>
      </c>
      <c r="W795" s="21">
        <f t="shared" si="727"/>
        <v>10.533160446044906</v>
      </c>
      <c r="X795" s="21">
        <f t="shared" si="727"/>
        <v>10.533160446044906</v>
      </c>
      <c r="Y795" s="21">
        <f t="shared" si="727"/>
        <v>10.533160446044906</v>
      </c>
      <c r="Z795" s="21">
        <f t="shared" si="727"/>
        <v>10.533160446044906</v>
      </c>
      <c r="AA795" s="21">
        <f t="shared" si="727"/>
        <v>10.533160446044906</v>
      </c>
      <c r="AB795" s="21">
        <f t="shared" si="727"/>
        <v>10.533160446044906</v>
      </c>
      <c r="AC795" s="21">
        <f t="shared" si="727"/>
        <v>10.533160446044906</v>
      </c>
      <c r="AD795" s="21">
        <f t="shared" si="727"/>
        <v>10.533160446044906</v>
      </c>
      <c r="AE795" s="21">
        <f t="shared" si="727"/>
        <v>10.533160446044906</v>
      </c>
      <c r="AF795" s="1"/>
    </row>
    <row r="796" spans="2:32" x14ac:dyDescent="0.2">
      <c r="C796" s="5" t="str">
        <f>C790</f>
        <v>Incentives</v>
      </c>
      <c r="D796" s="5"/>
      <c r="F796" s="1" t="s">
        <v>3</v>
      </c>
      <c r="G796" s="21">
        <f>G790/$G$104</f>
        <v>-2.3755792608230104</v>
      </c>
      <c r="I796" s="21">
        <f t="shared" ref="I796" si="728">IFERROR(I790/I$104,0)</f>
        <v>0</v>
      </c>
      <c r="J796" s="21">
        <f t="shared" si="724"/>
        <v>0</v>
      </c>
      <c r="K796" s="21">
        <f t="shared" si="724"/>
        <v>0</v>
      </c>
      <c r="L796" s="21">
        <f t="shared" ref="L796:AE796" si="729">L790/L$104</f>
        <v>0</v>
      </c>
      <c r="M796" s="21">
        <f t="shared" si="729"/>
        <v>-0.42149407771464087</v>
      </c>
      <c r="N796" s="21">
        <f t="shared" si="729"/>
        <v>-1.1013740763740991</v>
      </c>
      <c r="O796" s="21">
        <f t="shared" si="729"/>
        <v>-1.8656718503308534</v>
      </c>
      <c r="P796" s="21">
        <f t="shared" si="729"/>
        <v>-2.7228744761330907</v>
      </c>
      <c r="Q796" s="21">
        <f t="shared" si="729"/>
        <v>-3.682243573946792</v>
      </c>
      <c r="R796" s="21">
        <f t="shared" si="729"/>
        <v>-4.7538821569871255</v>
      </c>
      <c r="S796" s="21">
        <f t="shared" si="729"/>
        <v>-5.9488070446065384</v>
      </c>
      <c r="T796" s="21">
        <f t="shared" si="729"/>
        <v>-7.2790272903892026</v>
      </c>
      <c r="U796" s="21">
        <f t="shared" si="729"/>
        <v>-8.7576291125286403</v>
      </c>
      <c r="V796" s="21">
        <f t="shared" si="729"/>
        <v>-7.0572174988500862</v>
      </c>
      <c r="W796" s="21">
        <f t="shared" si="729"/>
        <v>-3.4759429471948184</v>
      </c>
      <c r="X796" s="21">
        <f t="shared" si="729"/>
        <v>0</v>
      </c>
      <c r="Y796" s="21">
        <f t="shared" si="729"/>
        <v>0</v>
      </c>
      <c r="Z796" s="21">
        <f t="shared" si="729"/>
        <v>0</v>
      </c>
      <c r="AA796" s="21">
        <f t="shared" si="729"/>
        <v>0</v>
      </c>
      <c r="AB796" s="21">
        <f t="shared" si="729"/>
        <v>0</v>
      </c>
      <c r="AC796" s="21">
        <f t="shared" si="729"/>
        <v>0</v>
      </c>
      <c r="AD796" s="21">
        <f t="shared" si="729"/>
        <v>0</v>
      </c>
      <c r="AE796" s="21">
        <f t="shared" si="729"/>
        <v>0</v>
      </c>
      <c r="AF796" s="1"/>
    </row>
    <row r="797" spans="2:32" x14ac:dyDescent="0.2">
      <c r="C797" s="20" t="str">
        <f>C791</f>
        <v>Total operating cost</v>
      </c>
      <c r="D797" s="20"/>
      <c r="F797" s="9" t="s">
        <v>3</v>
      </c>
      <c r="G797" s="44">
        <f>G791/$G$104</f>
        <v>350.46876939218328</v>
      </c>
      <c r="I797" s="44">
        <f t="shared" ref="I797" si="730">IFERROR(I791/I$104,0)</f>
        <v>0</v>
      </c>
      <c r="J797" s="44">
        <f t="shared" si="724"/>
        <v>0</v>
      </c>
      <c r="K797" s="44">
        <f t="shared" si="724"/>
        <v>353.09802152699922</v>
      </c>
      <c r="L797" s="44">
        <f>L791/L$104</f>
        <v>338.48382597767096</v>
      </c>
      <c r="M797" s="44">
        <f>M791/M$104</f>
        <v>343.45092374517162</v>
      </c>
      <c r="N797" s="44">
        <f t="shared" ref="N797:AE797" si="731">N791/N$104</f>
        <v>343.45092374517162</v>
      </c>
      <c r="O797" s="44">
        <f t="shared" si="731"/>
        <v>343.45092374517168</v>
      </c>
      <c r="P797" s="44">
        <f t="shared" si="731"/>
        <v>343.45092374517168</v>
      </c>
      <c r="Q797" s="44">
        <f t="shared" si="731"/>
        <v>344.58919720867362</v>
      </c>
      <c r="R797" s="44">
        <f t="shared" si="731"/>
        <v>345.72747067217557</v>
      </c>
      <c r="S797" s="44">
        <f t="shared" si="731"/>
        <v>346.86574413567752</v>
      </c>
      <c r="T797" s="44">
        <f t="shared" si="731"/>
        <v>348.00401759917958</v>
      </c>
      <c r="U797" s="44">
        <f t="shared" si="731"/>
        <v>348.00401759917958</v>
      </c>
      <c r="V797" s="44">
        <f t="shared" si="731"/>
        <v>349.70442921285814</v>
      </c>
      <c r="W797" s="44">
        <f t="shared" si="731"/>
        <v>353.28570376451341</v>
      </c>
      <c r="X797" s="44">
        <f t="shared" si="731"/>
        <v>356.76164671170818</v>
      </c>
      <c r="Y797" s="44">
        <f t="shared" si="731"/>
        <v>356.76164671170818</v>
      </c>
      <c r="Z797" s="44">
        <f t="shared" si="731"/>
        <v>356.76164671170818</v>
      </c>
      <c r="AA797" s="44">
        <f t="shared" si="731"/>
        <v>356.76164671170818</v>
      </c>
      <c r="AB797" s="44">
        <f t="shared" si="731"/>
        <v>356.76164671170818</v>
      </c>
      <c r="AC797" s="44">
        <f t="shared" si="731"/>
        <v>356.76164671170818</v>
      </c>
      <c r="AD797" s="44">
        <f t="shared" si="731"/>
        <v>356.76164671170818</v>
      </c>
      <c r="AE797" s="44">
        <f t="shared" si="731"/>
        <v>356.76164671170818</v>
      </c>
      <c r="AF797" s="1"/>
    </row>
    <row r="798" spans="2:32" x14ac:dyDescent="0.2">
      <c r="C798" s="5"/>
      <c r="D798" s="5"/>
      <c r="AF798" s="1"/>
    </row>
    <row r="799" spans="2:32" x14ac:dyDescent="0.2">
      <c r="B799" s="6"/>
      <c r="C799" s="6"/>
      <c r="D799" s="6"/>
      <c r="E799" s="7"/>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1"/>
    </row>
    <row r="800" spans="2:32" x14ac:dyDescent="0.2">
      <c r="C800" s="5"/>
      <c r="D800" s="5"/>
      <c r="AF800" s="1"/>
    </row>
    <row r="801" spans="2:32" x14ac:dyDescent="0.2">
      <c r="B801" s="8">
        <f>B785+1</f>
        <v>6</v>
      </c>
      <c r="C801" s="20" t="s">
        <v>444</v>
      </c>
      <c r="D801" s="5"/>
      <c r="AF801" s="1"/>
    </row>
    <row r="802" spans="2:32" x14ac:dyDescent="0.2">
      <c r="C802" s="5" t="s">
        <v>47</v>
      </c>
      <c r="D802" s="5"/>
      <c r="F802" s="1" t="s">
        <v>55</v>
      </c>
      <c r="G802" s="21">
        <f t="shared" ref="G802:G804" si="732">SUM(I802:AE802)</f>
        <v>36.733881871288446</v>
      </c>
      <c r="I802" s="21">
        <f t="shared" ref="I802" si="733">I577</f>
        <v>0</v>
      </c>
      <c r="J802" s="21">
        <f t="shared" ref="J802" si="734">J577</f>
        <v>0</v>
      </c>
      <c r="K802" s="21">
        <f t="shared" ref="K802:AE802" si="735">K577</f>
        <v>0.91834704678221124</v>
      </c>
      <c r="L802" s="21">
        <f t="shared" si="735"/>
        <v>0.91834704678221124</v>
      </c>
      <c r="M802" s="21">
        <f t="shared" si="735"/>
        <v>1.8366940935644225</v>
      </c>
      <c r="N802" s="21">
        <f t="shared" si="735"/>
        <v>1.8366940935644225</v>
      </c>
      <c r="O802" s="21">
        <f t="shared" si="735"/>
        <v>1.8366940935644225</v>
      </c>
      <c r="P802" s="21">
        <f t="shared" si="735"/>
        <v>1.8366940935644225</v>
      </c>
      <c r="Q802" s="21">
        <f t="shared" si="735"/>
        <v>1.8366940935644225</v>
      </c>
      <c r="R802" s="21">
        <f t="shared" si="735"/>
        <v>1.8366940935644225</v>
      </c>
      <c r="S802" s="21">
        <f t="shared" si="735"/>
        <v>1.8366940935644225</v>
      </c>
      <c r="T802" s="21">
        <f t="shared" si="735"/>
        <v>1.8366940935644225</v>
      </c>
      <c r="U802" s="21">
        <f t="shared" si="735"/>
        <v>1.8366940935644225</v>
      </c>
      <c r="V802" s="21">
        <f t="shared" si="735"/>
        <v>1.8366940935644225</v>
      </c>
      <c r="W802" s="21">
        <f t="shared" si="735"/>
        <v>1.8366940935644225</v>
      </c>
      <c r="X802" s="21">
        <f t="shared" si="735"/>
        <v>1.8366940935644225</v>
      </c>
      <c r="Y802" s="21">
        <f t="shared" si="735"/>
        <v>1.8366940935644225</v>
      </c>
      <c r="Z802" s="21">
        <f t="shared" si="735"/>
        <v>1.8366940935644225</v>
      </c>
      <c r="AA802" s="21">
        <f t="shared" si="735"/>
        <v>1.8366940935644225</v>
      </c>
      <c r="AB802" s="21">
        <f t="shared" si="735"/>
        <v>1.8366940935644225</v>
      </c>
      <c r="AC802" s="21">
        <f t="shared" si="735"/>
        <v>1.8366940935644225</v>
      </c>
      <c r="AD802" s="21">
        <f t="shared" si="735"/>
        <v>1.8366940935644225</v>
      </c>
      <c r="AE802" s="21">
        <f t="shared" si="735"/>
        <v>1.8366940935644225</v>
      </c>
      <c r="AF802" s="1"/>
    </row>
    <row r="803" spans="2:32" x14ac:dyDescent="0.2">
      <c r="C803" s="5" t="s">
        <v>445</v>
      </c>
      <c r="D803" s="153">
        <v>1.4999999999999999E-2</v>
      </c>
      <c r="F803" s="1" t="s">
        <v>55</v>
      </c>
      <c r="G803" s="21">
        <f t="shared" si="732"/>
        <v>87.124363608749974</v>
      </c>
      <c r="I803" s="21">
        <f t="shared" ref="I803" si="736">$D$803*I137</f>
        <v>0</v>
      </c>
      <c r="J803" s="21">
        <f t="shared" ref="J803" si="737">$D$803*J137</f>
        <v>0</v>
      </c>
      <c r="K803" s="21">
        <f t="shared" ref="K803:AE803" si="738">$D$803*K137</f>
        <v>1.3742013187499997</v>
      </c>
      <c r="L803" s="21">
        <f t="shared" si="738"/>
        <v>2.1987221099999998</v>
      </c>
      <c r="M803" s="21">
        <f t="shared" si="738"/>
        <v>4.3974442199999997</v>
      </c>
      <c r="N803" s="21">
        <f t="shared" si="738"/>
        <v>4.3974442199999997</v>
      </c>
      <c r="O803" s="21">
        <f t="shared" si="738"/>
        <v>4.3974442199999997</v>
      </c>
      <c r="P803" s="21">
        <f t="shared" si="738"/>
        <v>4.3974442199999997</v>
      </c>
      <c r="Q803" s="21">
        <f t="shared" si="738"/>
        <v>4.3974442199999997</v>
      </c>
      <c r="R803" s="21">
        <f t="shared" si="738"/>
        <v>4.3974442199999997</v>
      </c>
      <c r="S803" s="21">
        <f t="shared" si="738"/>
        <v>4.3974442199999997</v>
      </c>
      <c r="T803" s="21">
        <f t="shared" si="738"/>
        <v>4.3974442199999997</v>
      </c>
      <c r="U803" s="21">
        <f t="shared" si="738"/>
        <v>4.3974442199999997</v>
      </c>
      <c r="V803" s="21">
        <f t="shared" si="738"/>
        <v>4.3974442199999997</v>
      </c>
      <c r="W803" s="21">
        <f t="shared" si="738"/>
        <v>4.3974442199999997</v>
      </c>
      <c r="X803" s="21">
        <f t="shared" si="738"/>
        <v>4.3974442199999997</v>
      </c>
      <c r="Y803" s="21">
        <f t="shared" si="738"/>
        <v>4.3974442199999997</v>
      </c>
      <c r="Z803" s="21">
        <f t="shared" si="738"/>
        <v>4.3974442199999997</v>
      </c>
      <c r="AA803" s="21">
        <f t="shared" si="738"/>
        <v>4.3974442199999997</v>
      </c>
      <c r="AB803" s="21">
        <f t="shared" si="738"/>
        <v>4.3974442199999997</v>
      </c>
      <c r="AC803" s="21">
        <f t="shared" si="738"/>
        <v>4.3974442199999997</v>
      </c>
      <c r="AD803" s="21">
        <f t="shared" si="738"/>
        <v>4.3974442199999997</v>
      </c>
      <c r="AE803" s="21">
        <f t="shared" si="738"/>
        <v>4.3974442199999997</v>
      </c>
      <c r="AF803" s="1"/>
    </row>
    <row r="804" spans="2:32" x14ac:dyDescent="0.2">
      <c r="C804" s="20" t="s">
        <v>446</v>
      </c>
      <c r="D804" s="146">
        <f>E83</f>
        <v>1</v>
      </c>
      <c r="F804" s="9" t="s">
        <v>55</v>
      </c>
      <c r="G804" s="44">
        <f t="shared" si="732"/>
        <v>123.85824548003839</v>
      </c>
      <c r="I804" s="44">
        <f>SUM(I802:I803)*$D$804</f>
        <v>0</v>
      </c>
      <c r="J804" s="44">
        <f>SUM(J802:J803)*$D$804</f>
        <v>0</v>
      </c>
      <c r="K804" s="44">
        <f>SUM(K802:K803)*$D$804</f>
        <v>2.2925483655322108</v>
      </c>
      <c r="L804" s="44">
        <f>SUM(L802:L803)*$D$804</f>
        <v>3.1170691567822111</v>
      </c>
      <c r="M804" s="44">
        <f t="shared" ref="M804:AE804" si="739">SUM(M802:M803)*$D$804</f>
        <v>6.2341383135644222</v>
      </c>
      <c r="N804" s="44">
        <f t="shared" si="739"/>
        <v>6.2341383135644222</v>
      </c>
      <c r="O804" s="44">
        <f t="shared" si="739"/>
        <v>6.2341383135644222</v>
      </c>
      <c r="P804" s="44">
        <f t="shared" si="739"/>
        <v>6.2341383135644222</v>
      </c>
      <c r="Q804" s="44">
        <f t="shared" si="739"/>
        <v>6.2341383135644222</v>
      </c>
      <c r="R804" s="44">
        <f t="shared" si="739"/>
        <v>6.2341383135644222</v>
      </c>
      <c r="S804" s="44">
        <f t="shared" si="739"/>
        <v>6.2341383135644222</v>
      </c>
      <c r="T804" s="44">
        <f t="shared" si="739"/>
        <v>6.2341383135644222</v>
      </c>
      <c r="U804" s="44">
        <f t="shared" si="739"/>
        <v>6.2341383135644222</v>
      </c>
      <c r="V804" s="44">
        <f t="shared" si="739"/>
        <v>6.2341383135644222</v>
      </c>
      <c r="W804" s="44">
        <f t="shared" si="739"/>
        <v>6.2341383135644222</v>
      </c>
      <c r="X804" s="44">
        <f t="shared" si="739"/>
        <v>6.2341383135644222</v>
      </c>
      <c r="Y804" s="44">
        <f t="shared" si="739"/>
        <v>6.2341383135644222</v>
      </c>
      <c r="Z804" s="44">
        <f t="shared" si="739"/>
        <v>6.2341383135644222</v>
      </c>
      <c r="AA804" s="44">
        <f t="shared" si="739"/>
        <v>6.2341383135644222</v>
      </c>
      <c r="AB804" s="44">
        <f t="shared" si="739"/>
        <v>6.2341383135644222</v>
      </c>
      <c r="AC804" s="44">
        <f t="shared" si="739"/>
        <v>6.2341383135644222</v>
      </c>
      <c r="AD804" s="44">
        <f t="shared" si="739"/>
        <v>6.2341383135644222</v>
      </c>
      <c r="AE804" s="44">
        <f t="shared" si="739"/>
        <v>6.2341383135644222</v>
      </c>
      <c r="AF804" s="1"/>
    </row>
    <row r="805" spans="2:32" x14ac:dyDescent="0.2">
      <c r="C805" s="5" t="s">
        <v>446</v>
      </c>
      <c r="D805" s="5"/>
      <c r="F805" s="1" t="s">
        <v>3</v>
      </c>
      <c r="G805" s="21">
        <f>G804/G104</f>
        <v>14.415285887281431</v>
      </c>
      <c r="I805" s="21">
        <f>IFERROR(I804/I104,0)</f>
        <v>0</v>
      </c>
      <c r="J805" s="21">
        <f>IFERROR(J804/J104,0)</f>
        <v>0</v>
      </c>
      <c r="K805" s="21">
        <f>IFERROR(K804/K104,0)</f>
        <v>16.916328131341068</v>
      </c>
      <c r="L805" s="21">
        <f t="shared" ref="L805:AE805" si="740">L804/L104</f>
        <v>14.375205082088168</v>
      </c>
      <c r="M805" s="21">
        <f t="shared" si="740"/>
        <v>14.375205082088168</v>
      </c>
      <c r="N805" s="21">
        <f t="shared" si="740"/>
        <v>14.375205082088168</v>
      </c>
      <c r="O805" s="21">
        <f t="shared" si="740"/>
        <v>14.375205082088168</v>
      </c>
      <c r="P805" s="21">
        <f t="shared" si="740"/>
        <v>14.375205082088168</v>
      </c>
      <c r="Q805" s="21">
        <f t="shared" si="740"/>
        <v>14.375205082088168</v>
      </c>
      <c r="R805" s="21">
        <f t="shared" si="740"/>
        <v>14.375205082088168</v>
      </c>
      <c r="S805" s="21">
        <f t="shared" si="740"/>
        <v>14.375205082088168</v>
      </c>
      <c r="T805" s="21">
        <f t="shared" si="740"/>
        <v>14.375205082088168</v>
      </c>
      <c r="U805" s="21">
        <f t="shared" si="740"/>
        <v>14.375205082088168</v>
      </c>
      <c r="V805" s="21">
        <f t="shared" si="740"/>
        <v>14.375205082088168</v>
      </c>
      <c r="W805" s="21">
        <f t="shared" si="740"/>
        <v>14.375205082088168</v>
      </c>
      <c r="X805" s="21">
        <f t="shared" si="740"/>
        <v>14.375205082088168</v>
      </c>
      <c r="Y805" s="21">
        <f t="shared" si="740"/>
        <v>14.375205082088168</v>
      </c>
      <c r="Z805" s="21">
        <f t="shared" si="740"/>
        <v>14.375205082088168</v>
      </c>
      <c r="AA805" s="21">
        <f t="shared" si="740"/>
        <v>14.375205082088168</v>
      </c>
      <c r="AB805" s="21">
        <f t="shared" si="740"/>
        <v>14.375205082088168</v>
      </c>
      <c r="AC805" s="21">
        <f t="shared" si="740"/>
        <v>14.375205082088168</v>
      </c>
      <c r="AD805" s="21">
        <f t="shared" si="740"/>
        <v>14.375205082088168</v>
      </c>
      <c r="AE805" s="21">
        <f t="shared" si="740"/>
        <v>14.375205082088168</v>
      </c>
      <c r="AF805" s="1"/>
    </row>
    <row r="806" spans="2:32" x14ac:dyDescent="0.2">
      <c r="C806" s="5"/>
      <c r="D806" s="5"/>
      <c r="AF806" s="1"/>
    </row>
    <row r="807" spans="2:32" x14ac:dyDescent="0.2">
      <c r="B807" s="6"/>
      <c r="C807" s="6"/>
      <c r="D807" s="6"/>
      <c r="E807" s="7"/>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1"/>
    </row>
    <row r="808" spans="2:32" x14ac:dyDescent="0.2">
      <c r="C808" s="5"/>
      <c r="D808" s="5"/>
      <c r="AF808" s="1"/>
    </row>
    <row r="809" spans="2:32" x14ac:dyDescent="0.2">
      <c r="B809" s="8">
        <f>B801+1</f>
        <v>7</v>
      </c>
      <c r="C809" s="20" t="s">
        <v>78</v>
      </c>
      <c r="D809" s="20"/>
      <c r="AF809" s="1"/>
    </row>
    <row r="810" spans="2:32" x14ac:dyDescent="0.2">
      <c r="C810" s="20"/>
      <c r="D810" s="20"/>
      <c r="AF810" s="1"/>
    </row>
    <row r="811" spans="2:32" x14ac:dyDescent="0.2">
      <c r="B811" s="10">
        <f>+B809+0.1</f>
        <v>7.1</v>
      </c>
      <c r="C811" s="20" t="s">
        <v>79</v>
      </c>
      <c r="D811" s="20"/>
      <c r="AF811" s="1"/>
    </row>
    <row r="812" spans="2:32" x14ac:dyDescent="0.2">
      <c r="C812" s="5"/>
      <c r="D812" s="5"/>
      <c r="AF812" s="1"/>
    </row>
    <row r="813" spans="2:32" x14ac:dyDescent="0.2">
      <c r="B813" s="24">
        <f>B811+0.01</f>
        <v>7.1099999999999994</v>
      </c>
      <c r="C813" s="20" t="s">
        <v>529</v>
      </c>
      <c r="D813" s="20"/>
      <c r="G813" s="21"/>
      <c r="AF813" s="1"/>
    </row>
    <row r="814" spans="2:32" x14ac:dyDescent="0.2">
      <c r="B814" s="24"/>
      <c r="C814" s="20"/>
      <c r="D814" s="20"/>
      <c r="AF814" s="1"/>
    </row>
    <row r="815" spans="2:32" x14ac:dyDescent="0.2">
      <c r="B815" s="24"/>
      <c r="C815" s="9" t="s">
        <v>903</v>
      </c>
      <c r="D815" s="20"/>
      <c r="AF815" s="1"/>
    </row>
    <row r="816" spans="2:32" x14ac:dyDescent="0.2">
      <c r="B816" s="24"/>
      <c r="C816" s="1" t="s">
        <v>904</v>
      </c>
      <c r="F816" s="1" t="s">
        <v>55</v>
      </c>
      <c r="G816" s="21">
        <f>SUM(I816:AE816)</f>
        <v>0.54</v>
      </c>
      <c r="I816" s="41">
        <f>SUMIF('Quarterly Plant Model'!$I$2:$V$2,'Plant model'!I$2,'Quarterly Plant Model'!$I816:$V816)</f>
        <v>0.54</v>
      </c>
      <c r="J816" s="41">
        <f>SUMIF('Quarterly Plant Model'!$I$2:$V$2,'Plant model'!J$2,'Quarterly Plant Model'!$I816:$V816)</f>
        <v>0</v>
      </c>
      <c r="K816" s="41">
        <f>SUMIF('Quarterly Plant Model'!$I$2:$V$2,'Plant model'!K$2,'Quarterly Plant Model'!$I816:$V816)</f>
        <v>0</v>
      </c>
      <c r="L816" s="41">
        <f>SUMIF('Quarterly Plant Model'!$I$2:$V$2,'Plant model'!L$2,'Quarterly Plant Model'!$I816:$V816)</f>
        <v>0</v>
      </c>
      <c r="M816" s="534">
        <v>0</v>
      </c>
      <c r="N816" s="17">
        <v>0</v>
      </c>
      <c r="O816" s="17">
        <v>0</v>
      </c>
      <c r="P816" s="17">
        <v>0</v>
      </c>
      <c r="Q816" s="17">
        <v>0</v>
      </c>
      <c r="R816" s="17">
        <v>0</v>
      </c>
      <c r="S816" s="17">
        <v>0</v>
      </c>
      <c r="T816" s="17">
        <v>0</v>
      </c>
      <c r="U816" s="17">
        <v>0</v>
      </c>
      <c r="V816" s="17">
        <v>0</v>
      </c>
      <c r="W816" s="17">
        <v>0</v>
      </c>
      <c r="X816" s="17">
        <v>0</v>
      </c>
      <c r="Y816" s="17">
        <v>0</v>
      </c>
      <c r="Z816" s="17">
        <v>0</v>
      </c>
      <c r="AA816" s="17">
        <v>0</v>
      </c>
      <c r="AB816" s="17">
        <v>0</v>
      </c>
      <c r="AC816" s="17">
        <v>0</v>
      </c>
      <c r="AD816" s="17">
        <v>0</v>
      </c>
      <c r="AE816" s="17">
        <v>0</v>
      </c>
      <c r="AF816" s="1"/>
    </row>
    <row r="817" spans="2:36" x14ac:dyDescent="0.2">
      <c r="B817" s="24"/>
      <c r="C817" s="1" t="s">
        <v>905</v>
      </c>
      <c r="D817" s="20"/>
      <c r="F817" s="1" t="s">
        <v>55</v>
      </c>
      <c r="G817" s="21">
        <f t="shared" ref="G817:G827" si="741">SUM(I817:AE817)</f>
        <v>0.13125000000000001</v>
      </c>
      <c r="I817" s="41">
        <f>SUMIF('Quarterly Plant Model'!$I$2:$V$2,'Plant model'!I$2,'Quarterly Plant Model'!$I817:$V817)</f>
        <v>0.13125000000000001</v>
      </c>
      <c r="J817" s="41">
        <f>SUMIF('Quarterly Plant Model'!$I$2:$V$2,'Plant model'!J$2,'Quarterly Plant Model'!$I817:$V817)</f>
        <v>0</v>
      </c>
      <c r="K817" s="41">
        <f>SUMIF('Quarterly Plant Model'!$I$2:$V$2,'Plant model'!K$2,'Quarterly Plant Model'!$I817:$V817)</f>
        <v>0</v>
      </c>
      <c r="L817" s="41">
        <f>SUMIF('Quarterly Plant Model'!$I$2:$V$2,'Plant model'!L$2,'Quarterly Plant Model'!$I817:$V817)</f>
        <v>0</v>
      </c>
      <c r="M817" s="534">
        <v>0</v>
      </c>
      <c r="N817" s="17">
        <v>0</v>
      </c>
      <c r="O817" s="17">
        <v>0</v>
      </c>
      <c r="P817" s="17">
        <v>0</v>
      </c>
      <c r="Q817" s="17">
        <v>0</v>
      </c>
      <c r="R817" s="17">
        <v>0</v>
      </c>
      <c r="S817" s="17">
        <v>0</v>
      </c>
      <c r="T817" s="17">
        <v>0</v>
      </c>
      <c r="U817" s="17">
        <v>0</v>
      </c>
      <c r="V817" s="17">
        <v>0</v>
      </c>
      <c r="W817" s="17">
        <v>0</v>
      </c>
      <c r="X817" s="17">
        <v>0</v>
      </c>
      <c r="Y817" s="17">
        <v>0</v>
      </c>
      <c r="Z817" s="17">
        <v>0</v>
      </c>
      <c r="AA817" s="17">
        <v>0</v>
      </c>
      <c r="AB817" s="17">
        <v>0</v>
      </c>
      <c r="AC817" s="17">
        <v>0</v>
      </c>
      <c r="AD817" s="17">
        <v>0</v>
      </c>
      <c r="AE817" s="17">
        <v>0</v>
      </c>
      <c r="AF817" s="1"/>
    </row>
    <row r="818" spans="2:36" x14ac:dyDescent="0.2">
      <c r="B818" s="24"/>
      <c r="C818" s="1" t="s">
        <v>906</v>
      </c>
      <c r="D818" s="20"/>
      <c r="F818" s="1" t="s">
        <v>55</v>
      </c>
      <c r="G818" s="21">
        <f t="shared" si="741"/>
        <v>9.436725E-2</v>
      </c>
      <c r="I818" s="41">
        <f>SUMIF('Quarterly Plant Model'!$I$2:$V$2,'Plant model'!I$2,'Quarterly Plant Model'!$I818:$V818)</f>
        <v>9.436725E-2</v>
      </c>
      <c r="J818" s="41">
        <f>SUMIF('Quarterly Plant Model'!$I$2:$V$2,'Plant model'!J$2,'Quarterly Plant Model'!$I818:$V818)</f>
        <v>0</v>
      </c>
      <c r="K818" s="41">
        <f>SUMIF('Quarterly Plant Model'!$I$2:$V$2,'Plant model'!K$2,'Quarterly Plant Model'!$I818:$V818)</f>
        <v>0</v>
      </c>
      <c r="L818" s="41">
        <f>SUMIF('Quarterly Plant Model'!$I$2:$V$2,'Plant model'!L$2,'Quarterly Plant Model'!$I818:$V818)</f>
        <v>0</v>
      </c>
      <c r="M818" s="534">
        <v>0</v>
      </c>
      <c r="N818" s="17">
        <v>0</v>
      </c>
      <c r="O818" s="17">
        <v>0</v>
      </c>
      <c r="P818" s="17">
        <v>0</v>
      </c>
      <c r="Q818" s="17">
        <v>0</v>
      </c>
      <c r="R818" s="17">
        <v>0</v>
      </c>
      <c r="S818" s="17">
        <v>0</v>
      </c>
      <c r="T818" s="17">
        <v>0</v>
      </c>
      <c r="U818" s="17">
        <v>0</v>
      </c>
      <c r="V818" s="17">
        <v>0</v>
      </c>
      <c r="W818" s="17">
        <v>0</v>
      </c>
      <c r="X818" s="17">
        <v>0</v>
      </c>
      <c r="Y818" s="17">
        <v>0</v>
      </c>
      <c r="Z818" s="17">
        <v>0</v>
      </c>
      <c r="AA818" s="17">
        <v>0</v>
      </c>
      <c r="AB818" s="17">
        <v>0</v>
      </c>
      <c r="AC818" s="17">
        <v>0</v>
      </c>
      <c r="AD818" s="17">
        <v>0</v>
      </c>
      <c r="AE818" s="17">
        <v>0</v>
      </c>
      <c r="AF818" s="1"/>
    </row>
    <row r="819" spans="2:36" x14ac:dyDescent="0.2">
      <c r="B819" s="24"/>
      <c r="C819" s="1" t="s">
        <v>907</v>
      </c>
      <c r="D819" s="20"/>
      <c r="F819" s="1" t="s">
        <v>55</v>
      </c>
      <c r="G819" s="21">
        <f t="shared" si="741"/>
        <v>0.86062499999999997</v>
      </c>
      <c r="I819" s="41">
        <f>SUMIF('Quarterly Plant Model'!$I$2:$V$2,'Plant model'!I$2,'Quarterly Plant Model'!$I819:$V819)</f>
        <v>0.86062499999999997</v>
      </c>
      <c r="J819" s="41">
        <f>SUMIF('Quarterly Plant Model'!$I$2:$V$2,'Plant model'!J$2,'Quarterly Plant Model'!$I819:$V819)</f>
        <v>0</v>
      </c>
      <c r="K819" s="41">
        <f>SUMIF('Quarterly Plant Model'!$I$2:$V$2,'Plant model'!K$2,'Quarterly Plant Model'!$I819:$V819)</f>
        <v>0</v>
      </c>
      <c r="L819" s="41">
        <f>SUMIF('Quarterly Plant Model'!$I$2:$V$2,'Plant model'!L$2,'Quarterly Plant Model'!$I819:$V819)</f>
        <v>0</v>
      </c>
      <c r="M819" s="534">
        <v>0</v>
      </c>
      <c r="N819" s="17">
        <v>0</v>
      </c>
      <c r="O819" s="17">
        <v>0</v>
      </c>
      <c r="P819" s="17">
        <v>0</v>
      </c>
      <c r="Q819" s="17">
        <v>0</v>
      </c>
      <c r="R819" s="17">
        <v>0</v>
      </c>
      <c r="S819" s="17">
        <v>0</v>
      </c>
      <c r="T819" s="17">
        <v>0</v>
      </c>
      <c r="U819" s="17">
        <v>0</v>
      </c>
      <c r="V819" s="17">
        <v>0</v>
      </c>
      <c r="W819" s="17">
        <v>0</v>
      </c>
      <c r="X819" s="17">
        <v>0</v>
      </c>
      <c r="Y819" s="17">
        <v>0</v>
      </c>
      <c r="Z819" s="17">
        <v>0</v>
      </c>
      <c r="AA819" s="17">
        <v>0</v>
      </c>
      <c r="AB819" s="17">
        <v>0</v>
      </c>
      <c r="AC819" s="17">
        <v>0</v>
      </c>
      <c r="AD819" s="17">
        <v>0</v>
      </c>
      <c r="AE819" s="17">
        <v>0</v>
      </c>
      <c r="AF819" s="1"/>
    </row>
    <row r="820" spans="2:36" x14ac:dyDescent="0.2">
      <c r="B820" s="24"/>
      <c r="C820" s="1" t="s">
        <v>908</v>
      </c>
      <c r="D820" s="20"/>
      <c r="F820" s="1" t="s">
        <v>55</v>
      </c>
      <c r="G820" s="21">
        <f t="shared" si="741"/>
        <v>0.97470000000000001</v>
      </c>
      <c r="I820" s="41">
        <f>SUMIF('Quarterly Plant Model'!$I$2:$V$2,'Plant model'!I$2,'Quarterly Plant Model'!$I820:$V820)</f>
        <v>0.97470000000000001</v>
      </c>
      <c r="J820" s="41">
        <f>SUMIF('Quarterly Plant Model'!$I$2:$V$2,'Plant model'!J$2,'Quarterly Plant Model'!$I820:$V820)</f>
        <v>0</v>
      </c>
      <c r="K820" s="41">
        <f>SUMIF('Quarterly Plant Model'!$I$2:$V$2,'Plant model'!K$2,'Quarterly Plant Model'!$I820:$V820)</f>
        <v>0</v>
      </c>
      <c r="L820" s="41">
        <f>SUMIF('Quarterly Plant Model'!$I$2:$V$2,'Plant model'!L$2,'Quarterly Plant Model'!$I820:$V820)</f>
        <v>0</v>
      </c>
      <c r="M820" s="534">
        <v>0</v>
      </c>
      <c r="N820" s="17">
        <v>0</v>
      </c>
      <c r="O820" s="17">
        <v>0</v>
      </c>
      <c r="P820" s="17">
        <v>0</v>
      </c>
      <c r="Q820" s="17">
        <v>0</v>
      </c>
      <c r="R820" s="17">
        <v>0</v>
      </c>
      <c r="S820" s="17">
        <v>0</v>
      </c>
      <c r="T820" s="17">
        <v>0</v>
      </c>
      <c r="U820" s="17">
        <v>0</v>
      </c>
      <c r="V820" s="17">
        <v>0</v>
      </c>
      <c r="W820" s="17">
        <v>0</v>
      </c>
      <c r="X820" s="17">
        <v>0</v>
      </c>
      <c r="Y820" s="17">
        <v>0</v>
      </c>
      <c r="Z820" s="17">
        <v>0</v>
      </c>
      <c r="AA820" s="17">
        <v>0</v>
      </c>
      <c r="AB820" s="17">
        <v>0</v>
      </c>
      <c r="AC820" s="17">
        <v>0</v>
      </c>
      <c r="AD820" s="17">
        <v>0</v>
      </c>
      <c r="AE820" s="17">
        <v>0</v>
      </c>
      <c r="AF820" s="1"/>
    </row>
    <row r="821" spans="2:36" x14ac:dyDescent="0.2">
      <c r="B821" s="24"/>
      <c r="C821" s="1" t="s">
        <v>909</v>
      </c>
      <c r="D821" s="20"/>
      <c r="F821" s="1" t="s">
        <v>55</v>
      </c>
      <c r="G821" s="21">
        <f t="shared" si="741"/>
        <v>3.4690000000000003</v>
      </c>
      <c r="I821" s="41">
        <f>SUMIF('Quarterly Plant Model'!$I$2:$V$2,'Plant model'!I$2,'Quarterly Plant Model'!$I821:$V821)</f>
        <v>3.4690000000000003</v>
      </c>
      <c r="J821" s="41">
        <f>SUMIF('Quarterly Plant Model'!$I$2:$V$2,'Plant model'!J$2,'Quarterly Plant Model'!$I821:$V821)</f>
        <v>0</v>
      </c>
      <c r="K821" s="41">
        <f>SUMIF('Quarterly Plant Model'!$I$2:$V$2,'Plant model'!K$2,'Quarterly Plant Model'!$I821:$V821)</f>
        <v>0</v>
      </c>
      <c r="L821" s="41">
        <f>SUMIF('Quarterly Plant Model'!$I$2:$V$2,'Plant model'!L$2,'Quarterly Plant Model'!$I821:$V821)</f>
        <v>0</v>
      </c>
      <c r="M821" s="534">
        <v>0</v>
      </c>
      <c r="N821" s="17">
        <v>0</v>
      </c>
      <c r="O821" s="17">
        <v>0</v>
      </c>
      <c r="P821" s="17">
        <v>0</v>
      </c>
      <c r="Q821" s="17">
        <v>0</v>
      </c>
      <c r="R821" s="17">
        <v>0</v>
      </c>
      <c r="S821" s="17">
        <v>0</v>
      </c>
      <c r="T821" s="17">
        <v>0</v>
      </c>
      <c r="U821" s="17">
        <v>0</v>
      </c>
      <c r="V821" s="17">
        <v>0</v>
      </c>
      <c r="W821" s="17">
        <v>0</v>
      </c>
      <c r="X821" s="17">
        <v>0</v>
      </c>
      <c r="Y821" s="17">
        <v>0</v>
      </c>
      <c r="Z821" s="17">
        <v>0</v>
      </c>
      <c r="AA821" s="17">
        <v>0</v>
      </c>
      <c r="AB821" s="17">
        <v>0</v>
      </c>
      <c r="AC821" s="17">
        <v>0</v>
      </c>
      <c r="AD821" s="17">
        <v>0</v>
      </c>
      <c r="AE821" s="17">
        <v>0</v>
      </c>
      <c r="AF821" s="1"/>
    </row>
    <row r="822" spans="2:36" x14ac:dyDescent="0.2">
      <c r="B822" s="24"/>
      <c r="C822" s="1" t="s">
        <v>943</v>
      </c>
      <c r="D822" s="20"/>
      <c r="F822" s="1" t="s">
        <v>55</v>
      </c>
      <c r="G822" s="21">
        <f t="shared" ref="G822" si="742">SUM(I822:AE822)</f>
        <v>0</v>
      </c>
      <c r="I822" s="41">
        <v>0</v>
      </c>
      <c r="J822" s="41">
        <v>0</v>
      </c>
      <c r="K822" s="41">
        <v>0</v>
      </c>
      <c r="L822" s="41">
        <v>0</v>
      </c>
      <c r="M822" s="46">
        <v>0</v>
      </c>
      <c r="N822" s="17">
        <v>0</v>
      </c>
      <c r="O822" s="17">
        <v>0</v>
      </c>
      <c r="P822" s="17">
        <v>0</v>
      </c>
      <c r="Q822" s="17">
        <v>0</v>
      </c>
      <c r="R822" s="17">
        <v>0</v>
      </c>
      <c r="S822" s="17">
        <v>0</v>
      </c>
      <c r="T822" s="17">
        <v>0</v>
      </c>
      <c r="U822" s="17">
        <v>0</v>
      </c>
      <c r="V822" s="17">
        <v>0</v>
      </c>
      <c r="W822" s="582"/>
      <c r="X822" s="582"/>
      <c r="Y822" s="582"/>
      <c r="Z822" s="582"/>
      <c r="AA822" s="582"/>
      <c r="AB822" s="582"/>
      <c r="AC822" s="582"/>
      <c r="AD822" s="582"/>
      <c r="AE822" s="582"/>
      <c r="AF822" s="67"/>
      <c r="AG822" s="67"/>
      <c r="AH822" s="67"/>
      <c r="AI822" s="67"/>
      <c r="AJ822" s="67"/>
    </row>
    <row r="823" spans="2:36" x14ac:dyDescent="0.2">
      <c r="B823" s="24"/>
      <c r="C823" s="1" t="s">
        <v>942</v>
      </c>
      <c r="D823" s="20"/>
      <c r="F823" s="1" t="s">
        <v>55</v>
      </c>
      <c r="G823" s="21">
        <f t="shared" si="741"/>
        <v>1.17</v>
      </c>
      <c r="I823" s="41">
        <v>1.17</v>
      </c>
      <c r="J823" s="41">
        <v>0</v>
      </c>
      <c r="K823" s="41">
        <f>SUMIF('Quarterly Plant Model'!$I$2:$V$2,'Plant model'!K$2,'Quarterly Plant Model'!$I823:$V823)</f>
        <v>0</v>
      </c>
      <c r="L823" s="41">
        <f>SUMIF('Quarterly Plant Model'!$I$2:$V$2,'Plant model'!L$2,'Quarterly Plant Model'!$I823:$V823)</f>
        <v>0</v>
      </c>
      <c r="M823" s="534">
        <v>0</v>
      </c>
      <c r="N823" s="17">
        <v>0</v>
      </c>
      <c r="O823" s="17">
        <v>0</v>
      </c>
      <c r="P823" s="17">
        <v>0</v>
      </c>
      <c r="Q823" s="17">
        <v>0</v>
      </c>
      <c r="R823" s="17">
        <v>0</v>
      </c>
      <c r="S823" s="17">
        <v>0</v>
      </c>
      <c r="T823" s="17">
        <v>0</v>
      </c>
      <c r="U823" s="17">
        <v>0</v>
      </c>
      <c r="V823" s="17">
        <v>0</v>
      </c>
      <c r="W823" s="17">
        <v>0</v>
      </c>
      <c r="X823" s="17">
        <v>0</v>
      </c>
      <c r="Y823" s="17">
        <v>0</v>
      </c>
      <c r="Z823" s="17">
        <v>0</v>
      </c>
      <c r="AA823" s="17">
        <v>0</v>
      </c>
      <c r="AB823" s="17">
        <v>0</v>
      </c>
      <c r="AC823" s="17">
        <v>0</v>
      </c>
      <c r="AD823" s="17">
        <v>0</v>
      </c>
      <c r="AE823" s="17">
        <v>0</v>
      </c>
      <c r="AF823" s="1"/>
    </row>
    <row r="824" spans="2:36" x14ac:dyDescent="0.2">
      <c r="B824" s="24"/>
      <c r="C824" s="1" t="s">
        <v>910</v>
      </c>
      <c r="D824" s="20"/>
      <c r="F824" s="1" t="s">
        <v>55</v>
      </c>
      <c r="G824" s="21">
        <f t="shared" si="741"/>
        <v>1.23</v>
      </c>
      <c r="I824" s="41">
        <v>0.6</v>
      </c>
      <c r="J824" s="41">
        <v>0.63</v>
      </c>
      <c r="K824" s="41">
        <f>SUMIF('Quarterly Plant Model'!$I$2:$V$2,'Plant model'!K$2,'Quarterly Plant Model'!$I824:$V824)</f>
        <v>0</v>
      </c>
      <c r="L824" s="41">
        <f>SUMIF('Quarterly Plant Model'!$I$2:$V$2,'Plant model'!L$2,'Quarterly Plant Model'!$I824:$V824)</f>
        <v>0</v>
      </c>
      <c r="M824" s="534">
        <v>0</v>
      </c>
      <c r="N824" s="17">
        <v>0</v>
      </c>
      <c r="O824" s="17">
        <v>0</v>
      </c>
      <c r="P824" s="17">
        <v>0</v>
      </c>
      <c r="Q824" s="17">
        <v>0</v>
      </c>
      <c r="R824" s="17">
        <v>0</v>
      </c>
      <c r="S824" s="17">
        <v>0</v>
      </c>
      <c r="T824" s="17">
        <v>0</v>
      </c>
      <c r="U824" s="17">
        <v>0</v>
      </c>
      <c r="V824" s="17">
        <v>0</v>
      </c>
      <c r="W824" s="17">
        <v>0</v>
      </c>
      <c r="X824" s="17">
        <v>0</v>
      </c>
      <c r="Y824" s="17">
        <v>0</v>
      </c>
      <c r="Z824" s="17">
        <v>0</v>
      </c>
      <c r="AA824" s="17">
        <v>0</v>
      </c>
      <c r="AB824" s="17">
        <v>0</v>
      </c>
      <c r="AC824" s="17">
        <v>0</v>
      </c>
      <c r="AD824" s="17">
        <v>0</v>
      </c>
      <c r="AE824" s="17">
        <v>0</v>
      </c>
      <c r="AF824" s="1"/>
    </row>
    <row r="825" spans="2:36" x14ac:dyDescent="0.2">
      <c r="B825" s="24"/>
      <c r="C825" s="1" t="s">
        <v>911</v>
      </c>
      <c r="D825" s="20"/>
      <c r="F825" s="1" t="s">
        <v>55</v>
      </c>
      <c r="G825" s="21">
        <f t="shared" si="741"/>
        <v>0.2</v>
      </c>
      <c r="I825" s="41">
        <f>SUMIF('Quarterly Plant Model'!$I$2:$V$2,'Plant model'!I$2,'Quarterly Plant Model'!$I825:$V825)</f>
        <v>0.2</v>
      </c>
      <c r="J825" s="41">
        <f>SUMIF('Quarterly Plant Model'!$I$2:$V$2,'Plant model'!J$2,'Quarterly Plant Model'!$I825:$V825)</f>
        <v>0</v>
      </c>
      <c r="K825" s="41">
        <f>SUMIF('Quarterly Plant Model'!$I$2:$V$2,'Plant model'!K$2,'Quarterly Plant Model'!$I825:$V825)</f>
        <v>0</v>
      </c>
      <c r="L825" s="41">
        <f>SUMIF('Quarterly Plant Model'!$I$2:$V$2,'Plant model'!L$2,'Quarterly Plant Model'!$I825:$V825)</f>
        <v>0</v>
      </c>
      <c r="M825" s="534">
        <v>0</v>
      </c>
      <c r="N825" s="17">
        <v>0</v>
      </c>
      <c r="O825" s="17">
        <v>0</v>
      </c>
      <c r="P825" s="17">
        <v>0</v>
      </c>
      <c r="Q825" s="17">
        <v>0</v>
      </c>
      <c r="R825" s="17">
        <v>0</v>
      </c>
      <c r="S825" s="17">
        <v>0</v>
      </c>
      <c r="T825" s="17">
        <v>0</v>
      </c>
      <c r="U825" s="17">
        <v>0</v>
      </c>
      <c r="V825" s="17">
        <v>0</v>
      </c>
      <c r="W825" s="17">
        <v>0</v>
      </c>
      <c r="X825" s="17">
        <v>0</v>
      </c>
      <c r="Y825" s="17">
        <v>0</v>
      </c>
      <c r="Z825" s="17">
        <v>0</v>
      </c>
      <c r="AA825" s="17">
        <v>0</v>
      </c>
      <c r="AB825" s="17">
        <v>0</v>
      </c>
      <c r="AC825" s="17">
        <v>0</v>
      </c>
      <c r="AD825" s="17">
        <v>0</v>
      </c>
      <c r="AE825" s="17">
        <v>0</v>
      </c>
      <c r="AF825" s="1"/>
    </row>
    <row r="826" spans="2:36" x14ac:dyDescent="0.2">
      <c r="B826" s="24"/>
      <c r="C826" s="1" t="s">
        <v>912</v>
      </c>
      <c r="D826" s="20"/>
      <c r="F826" s="1" t="s">
        <v>55</v>
      </c>
      <c r="G826" s="21">
        <f t="shared" si="741"/>
        <v>0.1</v>
      </c>
      <c r="I826" s="41">
        <f>SUMIF('Quarterly Plant Model'!$I$2:$V$2,'Plant model'!I$2,'Quarterly Plant Model'!$I826:$V826)</f>
        <v>0.1</v>
      </c>
      <c r="J826" s="41">
        <f>SUMIF('Quarterly Plant Model'!$I$2:$V$2,'Plant model'!J$2,'Quarterly Plant Model'!$I826:$V826)</f>
        <v>0</v>
      </c>
      <c r="K826" s="41">
        <f>SUMIF('Quarterly Plant Model'!$I$2:$V$2,'Plant model'!K$2,'Quarterly Plant Model'!$I826:$V826)</f>
        <v>0</v>
      </c>
      <c r="L826" s="41">
        <f>SUMIF('Quarterly Plant Model'!$I$2:$V$2,'Plant model'!L$2,'Quarterly Plant Model'!$I826:$V826)</f>
        <v>0</v>
      </c>
      <c r="M826" s="534">
        <v>0</v>
      </c>
      <c r="N826" s="17">
        <v>0</v>
      </c>
      <c r="O826" s="17">
        <v>0</v>
      </c>
      <c r="P826" s="17">
        <v>0</v>
      </c>
      <c r="Q826" s="17">
        <v>0</v>
      </c>
      <c r="R826" s="17">
        <v>0</v>
      </c>
      <c r="S826" s="17">
        <v>0</v>
      </c>
      <c r="T826" s="17">
        <v>0</v>
      </c>
      <c r="U826" s="17">
        <v>0</v>
      </c>
      <c r="V826" s="17">
        <v>0</v>
      </c>
      <c r="W826" s="17">
        <v>0</v>
      </c>
      <c r="X826" s="17">
        <v>0</v>
      </c>
      <c r="Y826" s="17">
        <v>0</v>
      </c>
      <c r="Z826" s="17">
        <v>0</v>
      </c>
      <c r="AA826" s="17">
        <v>0</v>
      </c>
      <c r="AB826" s="17">
        <v>0</v>
      </c>
      <c r="AC826" s="17">
        <v>0</v>
      </c>
      <c r="AD826" s="17">
        <v>0</v>
      </c>
      <c r="AE826" s="17">
        <v>0</v>
      </c>
      <c r="AF826" s="1"/>
    </row>
    <row r="827" spans="2:36" x14ac:dyDescent="0.2">
      <c r="B827" s="24"/>
      <c r="C827" s="1" t="s">
        <v>913</v>
      </c>
      <c r="D827" s="20"/>
      <c r="F827" s="1" t="s">
        <v>55</v>
      </c>
      <c r="G827" s="21">
        <f t="shared" si="741"/>
        <v>1.23</v>
      </c>
      <c r="I827" s="41">
        <v>0.4</v>
      </c>
      <c r="J827" s="41">
        <v>0.4</v>
      </c>
      <c r="K827" s="41">
        <v>0.43</v>
      </c>
      <c r="L827" s="41">
        <f>SUMIF('Quarterly Plant Model'!$I$2:$V$2,'Plant model'!L$2,'Quarterly Plant Model'!$I827:$V827)</f>
        <v>0</v>
      </c>
      <c r="M827" s="534">
        <v>0</v>
      </c>
      <c r="N827" s="17">
        <v>0</v>
      </c>
      <c r="O827" s="17">
        <v>0</v>
      </c>
      <c r="P827" s="17">
        <v>0</v>
      </c>
      <c r="Q827" s="17">
        <v>0</v>
      </c>
      <c r="R827" s="17">
        <v>0</v>
      </c>
      <c r="S827" s="17">
        <v>0</v>
      </c>
      <c r="T827" s="17">
        <v>0</v>
      </c>
      <c r="U827" s="17">
        <v>0</v>
      </c>
      <c r="V827" s="17">
        <v>0</v>
      </c>
      <c r="W827" s="17">
        <v>0</v>
      </c>
      <c r="X827" s="17">
        <v>0</v>
      </c>
      <c r="Y827" s="17">
        <v>0</v>
      </c>
      <c r="Z827" s="17">
        <v>0</v>
      </c>
      <c r="AA827" s="17">
        <v>0</v>
      </c>
      <c r="AB827" s="17">
        <v>0</v>
      </c>
      <c r="AC827" s="17">
        <v>0</v>
      </c>
      <c r="AD827" s="17">
        <v>0</v>
      </c>
      <c r="AE827" s="17">
        <v>0</v>
      </c>
      <c r="AF827" s="1"/>
    </row>
    <row r="828" spans="2:36" s="9" customFormat="1" x14ac:dyDescent="0.2">
      <c r="B828" s="24"/>
      <c r="C828" s="9" t="s">
        <v>903</v>
      </c>
      <c r="D828" s="20"/>
      <c r="E828" s="533"/>
      <c r="F828" s="9" t="s">
        <v>55</v>
      </c>
      <c r="G828" s="44">
        <f>SUM(I828:AE828)</f>
        <v>9.9999422499999984</v>
      </c>
      <c r="I828" s="44">
        <f t="shared" ref="I828:AE828" si="743">SUM(I816:I827)</f>
        <v>8.5399422499999993</v>
      </c>
      <c r="J828" s="44">
        <f t="shared" si="743"/>
        <v>1.03</v>
      </c>
      <c r="K828" s="44">
        <f t="shared" si="743"/>
        <v>0.43</v>
      </c>
      <c r="L828" s="44">
        <f t="shared" si="743"/>
        <v>0</v>
      </c>
      <c r="M828" s="44">
        <f t="shared" si="743"/>
        <v>0</v>
      </c>
      <c r="N828" s="44">
        <f t="shared" si="743"/>
        <v>0</v>
      </c>
      <c r="O828" s="44">
        <f t="shared" si="743"/>
        <v>0</v>
      </c>
      <c r="P828" s="44">
        <f t="shared" si="743"/>
        <v>0</v>
      </c>
      <c r="Q828" s="44">
        <f t="shared" si="743"/>
        <v>0</v>
      </c>
      <c r="R828" s="44">
        <f t="shared" si="743"/>
        <v>0</v>
      </c>
      <c r="S828" s="44">
        <f t="shared" si="743"/>
        <v>0</v>
      </c>
      <c r="T828" s="44">
        <f t="shared" si="743"/>
        <v>0</v>
      </c>
      <c r="U828" s="44">
        <f t="shared" si="743"/>
        <v>0</v>
      </c>
      <c r="V828" s="44">
        <f t="shared" si="743"/>
        <v>0</v>
      </c>
      <c r="W828" s="44">
        <f t="shared" si="743"/>
        <v>0</v>
      </c>
      <c r="X828" s="44">
        <f t="shared" si="743"/>
        <v>0</v>
      </c>
      <c r="Y828" s="44">
        <f t="shared" si="743"/>
        <v>0</v>
      </c>
      <c r="Z828" s="44">
        <f t="shared" si="743"/>
        <v>0</v>
      </c>
      <c r="AA828" s="44">
        <f t="shared" si="743"/>
        <v>0</v>
      </c>
      <c r="AB828" s="44">
        <f t="shared" si="743"/>
        <v>0</v>
      </c>
      <c r="AC828" s="44">
        <f t="shared" si="743"/>
        <v>0</v>
      </c>
      <c r="AD828" s="44">
        <f t="shared" si="743"/>
        <v>0</v>
      </c>
      <c r="AE828" s="44">
        <f t="shared" si="743"/>
        <v>0</v>
      </c>
    </row>
    <row r="829" spans="2:36" x14ac:dyDescent="0.2">
      <c r="B829" s="24"/>
      <c r="C829" s="20"/>
      <c r="D829" s="20"/>
      <c r="AF829" s="1"/>
    </row>
    <row r="830" spans="2:36" x14ac:dyDescent="0.2">
      <c r="B830" s="24"/>
      <c r="C830" s="5" t="s">
        <v>328</v>
      </c>
      <c r="D830" s="20"/>
      <c r="F830" s="1" t="s">
        <v>8</v>
      </c>
      <c r="G830" s="35">
        <f>SUM(I830:AE830)</f>
        <v>1</v>
      </c>
      <c r="I830" s="526">
        <f>I845/$E$845</f>
        <v>0.10000000000000002</v>
      </c>
      <c r="J830" s="526">
        <f t="shared" ref="J830:L830" si="744">J845/$E$845</f>
        <v>0.57500000000000007</v>
      </c>
      <c r="K830" s="526">
        <f t="shared" si="744"/>
        <v>0.32500000000000001</v>
      </c>
      <c r="L830" s="526">
        <f t="shared" si="744"/>
        <v>0</v>
      </c>
      <c r="M830" s="152">
        <v>0</v>
      </c>
      <c r="N830" s="152">
        <v>0</v>
      </c>
      <c r="O830" s="152">
        <v>0</v>
      </c>
      <c r="P830" s="152">
        <v>0</v>
      </c>
      <c r="Q830" s="152">
        <v>0</v>
      </c>
      <c r="R830" s="152">
        <v>0</v>
      </c>
      <c r="S830" s="152">
        <v>0</v>
      </c>
      <c r="T830" s="152">
        <v>0</v>
      </c>
      <c r="U830" s="152">
        <v>0</v>
      </c>
      <c r="V830" s="152">
        <v>0</v>
      </c>
      <c r="W830" s="152">
        <v>0</v>
      </c>
      <c r="X830" s="152">
        <v>0</v>
      </c>
      <c r="Y830" s="152">
        <v>0</v>
      </c>
      <c r="Z830" s="152">
        <v>0</v>
      </c>
      <c r="AA830" s="152">
        <v>0</v>
      </c>
      <c r="AB830" s="152">
        <v>0</v>
      </c>
      <c r="AC830" s="152">
        <v>0</v>
      </c>
      <c r="AD830" s="152">
        <v>0</v>
      </c>
      <c r="AE830" s="152">
        <v>0</v>
      </c>
      <c r="AF830" s="1"/>
    </row>
    <row r="831" spans="2:36" x14ac:dyDescent="0.2">
      <c r="B831" s="24"/>
      <c r="D831" s="20"/>
      <c r="AF831" s="1"/>
    </row>
    <row r="832" spans="2:36" x14ac:dyDescent="0.2">
      <c r="B832" s="24"/>
      <c r="C832" s="20" t="s">
        <v>625</v>
      </c>
      <c r="D832" s="20"/>
      <c r="AF832" s="1"/>
    </row>
    <row r="833" spans="2:32" x14ac:dyDescent="0.2">
      <c r="B833" s="24"/>
      <c r="C833" s="5" t="str">
        <f>CAPEX!C11</f>
        <v>Civil</v>
      </c>
      <c r="D833" s="20"/>
      <c r="E833" s="269">
        <f>CAPEX!M11/1000000</f>
        <v>6.8905483976703605</v>
      </c>
      <c r="F833" s="1" t="s">
        <v>55</v>
      </c>
      <c r="G833" s="21">
        <f>SUM(I833:AE833)</f>
        <v>6.8905483976703596</v>
      </c>
      <c r="I833" s="41">
        <f>SUMIF('Quarterly Plant Model'!$I$2:$V$2,'Plant model'!I$2,'Quarterly Plant Model'!$I833:$V833)</f>
        <v>0.68905483976703608</v>
      </c>
      <c r="J833" s="41">
        <f>SUMIF('Quarterly Plant Model'!$I$2:$V$2,'Plant model'!J$2,'Quarterly Plant Model'!$I833:$V833)</f>
        <v>3.962065328660457</v>
      </c>
      <c r="K833" s="41">
        <f>SUMIF('Quarterly Plant Model'!$I$2:$V$2,'Plant model'!K$2,'Quarterly Plant Model'!$I833:$V833)</f>
        <v>2.2394282292428671</v>
      </c>
      <c r="L833" s="41">
        <f>SUMIF('Quarterly Plant Model'!$I$2:$V$2,'Plant model'!L$2,'Quarterly Plant Model'!$I833:$V833)</f>
        <v>0</v>
      </c>
      <c r="M833" s="46">
        <f t="shared" ref="M833:Y844" si="745">$E833*M$830</f>
        <v>0</v>
      </c>
      <c r="N833" s="21">
        <f t="shared" si="745"/>
        <v>0</v>
      </c>
      <c r="O833" s="21">
        <f t="shared" si="745"/>
        <v>0</v>
      </c>
      <c r="P833" s="21">
        <f t="shared" si="745"/>
        <v>0</v>
      </c>
      <c r="Q833" s="21">
        <f t="shared" si="745"/>
        <v>0</v>
      </c>
      <c r="R833" s="21">
        <f t="shared" si="745"/>
        <v>0</v>
      </c>
      <c r="S833" s="21">
        <f t="shared" si="745"/>
        <v>0</v>
      </c>
      <c r="T833" s="21">
        <f t="shared" si="745"/>
        <v>0</v>
      </c>
      <c r="U833" s="21">
        <f t="shared" si="745"/>
        <v>0</v>
      </c>
      <c r="V833" s="21">
        <f t="shared" si="745"/>
        <v>0</v>
      </c>
      <c r="W833" s="21">
        <f t="shared" si="745"/>
        <v>0</v>
      </c>
      <c r="X833" s="21">
        <f t="shared" si="745"/>
        <v>0</v>
      </c>
      <c r="Y833" s="21">
        <f t="shared" si="745"/>
        <v>0</v>
      </c>
      <c r="Z833" s="21">
        <f t="shared" ref="Z833:AE844" si="746">$E833*Z$830</f>
        <v>0</v>
      </c>
      <c r="AA833" s="21">
        <f t="shared" si="746"/>
        <v>0</v>
      </c>
      <c r="AB833" s="21">
        <f t="shared" si="746"/>
        <v>0</v>
      </c>
      <c r="AC833" s="21">
        <f t="shared" si="746"/>
        <v>0</v>
      </c>
      <c r="AD833" s="21">
        <f t="shared" si="746"/>
        <v>0</v>
      </c>
      <c r="AE833" s="21">
        <f t="shared" si="746"/>
        <v>0</v>
      </c>
      <c r="AF833" s="1"/>
    </row>
    <row r="834" spans="2:32" x14ac:dyDescent="0.2">
      <c r="B834" s="24"/>
      <c r="C834" s="5" t="str">
        <f>CAPEX!C12</f>
        <v>Dome technology</v>
      </c>
      <c r="D834" s="20"/>
      <c r="E834" s="269">
        <f>CAPEX!M12/1000000</f>
        <v>4.9374603174603173</v>
      </c>
      <c r="F834" s="1" t="s">
        <v>55</v>
      </c>
      <c r="G834" s="21">
        <f t="shared" ref="G834:G845" si="747">SUM(I834:AE834)</f>
        <v>4.9374603174603173</v>
      </c>
      <c r="I834" s="41">
        <f>SUMIF('Quarterly Plant Model'!$I$2:$V$2,'Plant model'!I$2,'Quarterly Plant Model'!$I834:$V834)</f>
        <v>0.49374603174603177</v>
      </c>
      <c r="J834" s="41">
        <f>SUMIF('Quarterly Plant Model'!$I$2:$V$2,'Plant model'!J$2,'Quarterly Plant Model'!$I834:$V834)</f>
        <v>2.8390396825396822</v>
      </c>
      <c r="K834" s="41">
        <f>SUMIF('Quarterly Plant Model'!$I$2:$V$2,'Plant model'!K$2,'Quarterly Plant Model'!$I834:$V834)</f>
        <v>1.6046746031746031</v>
      </c>
      <c r="L834" s="41">
        <f>SUMIF('Quarterly Plant Model'!$I$2:$V$2,'Plant model'!L$2,'Quarterly Plant Model'!$I834:$V834)</f>
        <v>0</v>
      </c>
      <c r="M834" s="46">
        <f t="shared" si="745"/>
        <v>0</v>
      </c>
      <c r="N834" s="21">
        <f t="shared" si="745"/>
        <v>0</v>
      </c>
      <c r="O834" s="21">
        <f t="shared" si="745"/>
        <v>0</v>
      </c>
      <c r="P834" s="21">
        <f t="shared" si="745"/>
        <v>0</v>
      </c>
      <c r="Q834" s="21">
        <f t="shared" si="745"/>
        <v>0</v>
      </c>
      <c r="R834" s="21">
        <f t="shared" si="745"/>
        <v>0</v>
      </c>
      <c r="S834" s="21">
        <f t="shared" si="745"/>
        <v>0</v>
      </c>
      <c r="T834" s="21">
        <f t="shared" si="745"/>
        <v>0</v>
      </c>
      <c r="U834" s="21">
        <f t="shared" si="745"/>
        <v>0</v>
      </c>
      <c r="V834" s="21">
        <f t="shared" si="745"/>
        <v>0</v>
      </c>
      <c r="W834" s="21">
        <f t="shared" si="745"/>
        <v>0</v>
      </c>
      <c r="X834" s="21">
        <f t="shared" si="745"/>
        <v>0</v>
      </c>
      <c r="Y834" s="21">
        <f t="shared" si="745"/>
        <v>0</v>
      </c>
      <c r="Z834" s="21">
        <f t="shared" si="746"/>
        <v>0</v>
      </c>
      <c r="AA834" s="21">
        <f t="shared" si="746"/>
        <v>0</v>
      </c>
      <c r="AB834" s="21">
        <f t="shared" si="746"/>
        <v>0</v>
      </c>
      <c r="AC834" s="21">
        <f t="shared" si="746"/>
        <v>0</v>
      </c>
      <c r="AD834" s="21">
        <f t="shared" si="746"/>
        <v>0</v>
      </c>
      <c r="AE834" s="21">
        <f t="shared" si="746"/>
        <v>0</v>
      </c>
      <c r="AF834" s="1"/>
    </row>
    <row r="835" spans="2:32" x14ac:dyDescent="0.2">
      <c r="B835" s="24"/>
      <c r="C835" s="5" t="str">
        <f>CAPEX!C13</f>
        <v>Concrete</v>
      </c>
      <c r="D835" s="20"/>
      <c r="E835" s="269">
        <f>CAPEX!M13/1000000</f>
        <v>16.981856156097074</v>
      </c>
      <c r="F835" s="1" t="s">
        <v>55</v>
      </c>
      <c r="G835" s="21">
        <f t="shared" si="747"/>
        <v>16.981856156097074</v>
      </c>
      <c r="I835" s="41">
        <f>SUMIF('Quarterly Plant Model'!$I$2:$V$2,'Plant model'!I$2,'Quarterly Plant Model'!$I835:$V835)</f>
        <v>1.6981856156097075</v>
      </c>
      <c r="J835" s="41">
        <f>SUMIF('Quarterly Plant Model'!$I$2:$V$2,'Plant model'!J$2,'Quarterly Plant Model'!$I835:$V835)</f>
        <v>9.7645672897558171</v>
      </c>
      <c r="K835" s="41">
        <f>SUMIF('Quarterly Plant Model'!$I$2:$V$2,'Plant model'!K$2,'Quarterly Plant Model'!$I835:$V835)</f>
        <v>5.5191032507315496</v>
      </c>
      <c r="L835" s="41">
        <f>SUMIF('Quarterly Plant Model'!$I$2:$V$2,'Plant model'!L$2,'Quarterly Plant Model'!$I835:$V835)</f>
        <v>0</v>
      </c>
      <c r="M835" s="46">
        <f t="shared" si="745"/>
        <v>0</v>
      </c>
      <c r="N835" s="21">
        <f t="shared" si="745"/>
        <v>0</v>
      </c>
      <c r="O835" s="21">
        <f t="shared" si="745"/>
        <v>0</v>
      </c>
      <c r="P835" s="21">
        <f t="shared" si="745"/>
        <v>0</v>
      </c>
      <c r="Q835" s="21">
        <f t="shared" si="745"/>
        <v>0</v>
      </c>
      <c r="R835" s="21">
        <f t="shared" si="745"/>
        <v>0</v>
      </c>
      <c r="S835" s="21">
        <f t="shared" si="745"/>
        <v>0</v>
      </c>
      <c r="T835" s="21">
        <f t="shared" si="745"/>
        <v>0</v>
      </c>
      <c r="U835" s="21">
        <f t="shared" si="745"/>
        <v>0</v>
      </c>
      <c r="V835" s="21">
        <f t="shared" si="745"/>
        <v>0</v>
      </c>
      <c r="W835" s="21">
        <f t="shared" si="745"/>
        <v>0</v>
      </c>
      <c r="X835" s="21">
        <f t="shared" si="745"/>
        <v>0</v>
      </c>
      <c r="Y835" s="21">
        <f t="shared" si="745"/>
        <v>0</v>
      </c>
      <c r="Z835" s="21">
        <f t="shared" si="746"/>
        <v>0</v>
      </c>
      <c r="AA835" s="21">
        <f t="shared" si="746"/>
        <v>0</v>
      </c>
      <c r="AB835" s="21">
        <f t="shared" si="746"/>
        <v>0</v>
      </c>
      <c r="AC835" s="21">
        <f t="shared" si="746"/>
        <v>0</v>
      </c>
      <c r="AD835" s="21">
        <f t="shared" si="746"/>
        <v>0</v>
      </c>
      <c r="AE835" s="21">
        <f t="shared" si="746"/>
        <v>0</v>
      </c>
      <c r="AF835" s="1"/>
    </row>
    <row r="836" spans="2:32" x14ac:dyDescent="0.2">
      <c r="B836" s="24"/>
      <c r="C836" s="5" t="str">
        <f>CAPEX!C14</f>
        <v>Structural Steel</v>
      </c>
      <c r="D836" s="20"/>
      <c r="E836" s="269">
        <f>CAPEX!M14/1000000</f>
        <v>22.53587560137133</v>
      </c>
      <c r="F836" s="1" t="s">
        <v>55</v>
      </c>
      <c r="G836" s="21">
        <f t="shared" si="747"/>
        <v>22.53587560137133</v>
      </c>
      <c r="I836" s="41">
        <f>SUMIF('Quarterly Plant Model'!$I$2:$V$2,'Plant model'!I$2,'Quarterly Plant Model'!$I836:$V836)</f>
        <v>2.2535875601371331</v>
      </c>
      <c r="J836" s="41">
        <f>SUMIF('Quarterly Plant Model'!$I$2:$V$2,'Plant model'!J$2,'Quarterly Plant Model'!$I836:$V836)</f>
        <v>12.958128470788516</v>
      </c>
      <c r="K836" s="41">
        <f>SUMIF('Quarterly Plant Model'!$I$2:$V$2,'Plant model'!K$2,'Quarterly Plant Model'!$I836:$V836)</f>
        <v>7.3241595704456826</v>
      </c>
      <c r="L836" s="41">
        <f>SUMIF('Quarterly Plant Model'!$I$2:$V$2,'Plant model'!L$2,'Quarterly Plant Model'!$I836:$V836)</f>
        <v>0</v>
      </c>
      <c r="M836" s="46">
        <f t="shared" si="745"/>
        <v>0</v>
      </c>
      <c r="N836" s="21">
        <f t="shared" si="745"/>
        <v>0</v>
      </c>
      <c r="O836" s="21">
        <f t="shared" si="745"/>
        <v>0</v>
      </c>
      <c r="P836" s="21">
        <f t="shared" si="745"/>
        <v>0</v>
      </c>
      <c r="Q836" s="21">
        <f t="shared" si="745"/>
        <v>0</v>
      </c>
      <c r="R836" s="21">
        <f t="shared" si="745"/>
        <v>0</v>
      </c>
      <c r="S836" s="21">
        <f t="shared" si="745"/>
        <v>0</v>
      </c>
      <c r="T836" s="21">
        <f t="shared" si="745"/>
        <v>0</v>
      </c>
      <c r="U836" s="21">
        <f t="shared" si="745"/>
        <v>0</v>
      </c>
      <c r="V836" s="21">
        <f t="shared" si="745"/>
        <v>0</v>
      </c>
      <c r="W836" s="21">
        <f t="shared" si="745"/>
        <v>0</v>
      </c>
      <c r="X836" s="21">
        <f t="shared" si="745"/>
        <v>0</v>
      </c>
      <c r="Y836" s="21">
        <f t="shared" si="745"/>
        <v>0</v>
      </c>
      <c r="Z836" s="21">
        <f t="shared" si="746"/>
        <v>0</v>
      </c>
      <c r="AA836" s="21">
        <f t="shared" si="746"/>
        <v>0</v>
      </c>
      <c r="AB836" s="21">
        <f t="shared" si="746"/>
        <v>0</v>
      </c>
      <c r="AC836" s="21">
        <f t="shared" si="746"/>
        <v>0</v>
      </c>
      <c r="AD836" s="21">
        <f t="shared" si="746"/>
        <v>0</v>
      </c>
      <c r="AE836" s="21">
        <f t="shared" si="746"/>
        <v>0</v>
      </c>
      <c r="AF836" s="1"/>
    </row>
    <row r="837" spans="2:32" x14ac:dyDescent="0.2">
      <c r="B837" s="24"/>
      <c r="C837" s="5" t="str">
        <f>CAPEX!C15</f>
        <v>Technological Steel (supplied by Tenova)</v>
      </c>
      <c r="D837" s="20"/>
      <c r="E837" s="269">
        <f>CAPEX!M15/1000000</f>
        <v>3.3033658333333333</v>
      </c>
      <c r="F837" s="1" t="s">
        <v>55</v>
      </c>
      <c r="G837" s="21">
        <f t="shared" si="747"/>
        <v>3.3033658333333333</v>
      </c>
      <c r="I837" s="41">
        <f>SUMIF('Quarterly Plant Model'!$I$2:$V$2,'Plant model'!I$2,'Quarterly Plant Model'!$I837:$V837)</f>
        <v>0.33033658333333338</v>
      </c>
      <c r="J837" s="41">
        <f>SUMIF('Quarterly Plant Model'!$I$2:$V$2,'Plant model'!J$2,'Quarterly Plant Model'!$I837:$V837)</f>
        <v>1.8994353541666666</v>
      </c>
      <c r="K837" s="41">
        <f>SUMIF('Quarterly Plant Model'!$I$2:$V$2,'Plant model'!K$2,'Quarterly Plant Model'!$I837:$V837)</f>
        <v>1.0735938958333333</v>
      </c>
      <c r="L837" s="41">
        <f>SUMIF('Quarterly Plant Model'!$I$2:$V$2,'Plant model'!L$2,'Quarterly Plant Model'!$I837:$V837)</f>
        <v>0</v>
      </c>
      <c r="M837" s="46">
        <f t="shared" si="745"/>
        <v>0</v>
      </c>
      <c r="N837" s="21">
        <f t="shared" si="745"/>
        <v>0</v>
      </c>
      <c r="O837" s="21">
        <f t="shared" si="745"/>
        <v>0</v>
      </c>
      <c r="P837" s="21">
        <f t="shared" si="745"/>
        <v>0</v>
      </c>
      <c r="Q837" s="21">
        <f t="shared" si="745"/>
        <v>0</v>
      </c>
      <c r="R837" s="21">
        <f t="shared" si="745"/>
        <v>0</v>
      </c>
      <c r="S837" s="21">
        <f t="shared" si="745"/>
        <v>0</v>
      </c>
      <c r="T837" s="21">
        <f t="shared" si="745"/>
        <v>0</v>
      </c>
      <c r="U837" s="21">
        <f t="shared" si="745"/>
        <v>0</v>
      </c>
      <c r="V837" s="21">
        <f t="shared" si="745"/>
        <v>0</v>
      </c>
      <c r="W837" s="21">
        <f t="shared" si="745"/>
        <v>0</v>
      </c>
      <c r="X837" s="21">
        <f t="shared" si="745"/>
        <v>0</v>
      </c>
      <c r="Y837" s="21">
        <f t="shared" si="745"/>
        <v>0</v>
      </c>
      <c r="Z837" s="21">
        <f t="shared" si="746"/>
        <v>0</v>
      </c>
      <c r="AA837" s="21">
        <f t="shared" si="746"/>
        <v>0</v>
      </c>
      <c r="AB837" s="21">
        <f t="shared" si="746"/>
        <v>0</v>
      </c>
      <c r="AC837" s="21">
        <f t="shared" si="746"/>
        <v>0</v>
      </c>
      <c r="AD837" s="21">
        <f t="shared" si="746"/>
        <v>0</v>
      </c>
      <c r="AE837" s="21">
        <f t="shared" si="746"/>
        <v>0</v>
      </c>
      <c r="AF837" s="1"/>
    </row>
    <row r="838" spans="2:32" x14ac:dyDescent="0.2">
      <c r="B838" s="24"/>
      <c r="C838" s="5" t="str">
        <f>CAPEX!C16</f>
        <v>Architectural</v>
      </c>
      <c r="D838" s="20"/>
      <c r="E838" s="269">
        <f>CAPEX!M16/1000000</f>
        <v>10.65649186214814</v>
      </c>
      <c r="F838" s="1" t="s">
        <v>55</v>
      </c>
      <c r="G838" s="21">
        <f t="shared" si="747"/>
        <v>10.65649186214814</v>
      </c>
      <c r="I838" s="41">
        <f>SUMIF('Quarterly Plant Model'!$I$2:$V$2,'Plant model'!I$2,'Quarterly Plant Model'!$I838:$V838)</f>
        <v>1.0656491862148141</v>
      </c>
      <c r="J838" s="41">
        <f>SUMIF('Quarterly Plant Model'!$I$2:$V$2,'Plant model'!J$2,'Quarterly Plant Model'!$I838:$V838)</f>
        <v>6.1274828207351808</v>
      </c>
      <c r="K838" s="41">
        <f>SUMIF('Quarterly Plant Model'!$I$2:$V$2,'Plant model'!K$2,'Quarterly Plant Model'!$I838:$V838)</f>
        <v>3.4633598551981453</v>
      </c>
      <c r="L838" s="41">
        <f>SUMIF('Quarterly Plant Model'!$I$2:$V$2,'Plant model'!L$2,'Quarterly Plant Model'!$I838:$V838)</f>
        <v>0</v>
      </c>
      <c r="M838" s="46">
        <f t="shared" si="745"/>
        <v>0</v>
      </c>
      <c r="N838" s="21">
        <f t="shared" si="745"/>
        <v>0</v>
      </c>
      <c r="O838" s="21">
        <f t="shared" si="745"/>
        <v>0</v>
      </c>
      <c r="P838" s="21">
        <f t="shared" si="745"/>
        <v>0</v>
      </c>
      <c r="Q838" s="21">
        <f t="shared" si="745"/>
        <v>0</v>
      </c>
      <c r="R838" s="21">
        <f t="shared" si="745"/>
        <v>0</v>
      </c>
      <c r="S838" s="21">
        <f t="shared" si="745"/>
        <v>0</v>
      </c>
      <c r="T838" s="21">
        <f t="shared" si="745"/>
        <v>0</v>
      </c>
      <c r="U838" s="21">
        <f t="shared" si="745"/>
        <v>0</v>
      </c>
      <c r="V838" s="21">
        <f t="shared" si="745"/>
        <v>0</v>
      </c>
      <c r="W838" s="21">
        <f t="shared" si="745"/>
        <v>0</v>
      </c>
      <c r="X838" s="21">
        <f t="shared" si="745"/>
        <v>0</v>
      </c>
      <c r="Y838" s="21">
        <f t="shared" si="745"/>
        <v>0</v>
      </c>
      <c r="Z838" s="21">
        <f t="shared" si="746"/>
        <v>0</v>
      </c>
      <c r="AA838" s="21">
        <f t="shared" si="746"/>
        <v>0</v>
      </c>
      <c r="AB838" s="21">
        <f t="shared" si="746"/>
        <v>0</v>
      </c>
      <c r="AC838" s="21">
        <f t="shared" si="746"/>
        <v>0</v>
      </c>
      <c r="AD838" s="21">
        <f t="shared" si="746"/>
        <v>0</v>
      </c>
      <c r="AE838" s="21">
        <f t="shared" si="746"/>
        <v>0</v>
      </c>
      <c r="AF838" s="1"/>
    </row>
    <row r="839" spans="2:32" x14ac:dyDescent="0.2">
      <c r="B839" s="24"/>
      <c r="C839" s="5" t="str">
        <f>CAPEX!C17</f>
        <v>Mechanical</v>
      </c>
      <c r="D839" s="20"/>
      <c r="E839" s="269">
        <f>CAPEX!M17/1000000</f>
        <v>25.192999346031741</v>
      </c>
      <c r="F839" s="1" t="s">
        <v>55</v>
      </c>
      <c r="G839" s="21">
        <f t="shared" si="747"/>
        <v>25.192999346031741</v>
      </c>
      <c r="I839" s="41">
        <f>SUMIF('Quarterly Plant Model'!$I$2:$V$2,'Plant model'!I$2,'Quarterly Plant Model'!$I839:$V839)</f>
        <v>2.5192999346031741</v>
      </c>
      <c r="J839" s="41">
        <f>SUMIF('Quarterly Plant Model'!$I$2:$V$2,'Plant model'!J$2,'Quarterly Plant Model'!$I839:$V839)</f>
        <v>14.485974623968252</v>
      </c>
      <c r="K839" s="41">
        <f>SUMIF('Quarterly Plant Model'!$I$2:$V$2,'Plant model'!K$2,'Quarterly Plant Model'!$I839:$V839)</f>
        <v>8.1877247874603167</v>
      </c>
      <c r="L839" s="41">
        <f>SUMIF('Quarterly Plant Model'!$I$2:$V$2,'Plant model'!L$2,'Quarterly Plant Model'!$I839:$V839)</f>
        <v>0</v>
      </c>
      <c r="M839" s="46">
        <f t="shared" si="745"/>
        <v>0</v>
      </c>
      <c r="N839" s="21">
        <f t="shared" si="745"/>
        <v>0</v>
      </c>
      <c r="O839" s="21">
        <f t="shared" si="745"/>
        <v>0</v>
      </c>
      <c r="P839" s="21">
        <f t="shared" si="745"/>
        <v>0</v>
      </c>
      <c r="Q839" s="21">
        <f t="shared" si="745"/>
        <v>0</v>
      </c>
      <c r="R839" s="21">
        <f t="shared" si="745"/>
        <v>0</v>
      </c>
      <c r="S839" s="21">
        <f t="shared" si="745"/>
        <v>0</v>
      </c>
      <c r="T839" s="21">
        <f t="shared" si="745"/>
        <v>0</v>
      </c>
      <c r="U839" s="21">
        <f t="shared" si="745"/>
        <v>0</v>
      </c>
      <c r="V839" s="21">
        <f t="shared" si="745"/>
        <v>0</v>
      </c>
      <c r="W839" s="21">
        <f t="shared" si="745"/>
        <v>0</v>
      </c>
      <c r="X839" s="21">
        <f t="shared" si="745"/>
        <v>0</v>
      </c>
      <c r="Y839" s="21">
        <f t="shared" si="745"/>
        <v>0</v>
      </c>
      <c r="Z839" s="21">
        <f t="shared" si="746"/>
        <v>0</v>
      </c>
      <c r="AA839" s="21">
        <f t="shared" si="746"/>
        <v>0</v>
      </c>
      <c r="AB839" s="21">
        <f t="shared" si="746"/>
        <v>0</v>
      </c>
      <c r="AC839" s="21">
        <f t="shared" si="746"/>
        <v>0</v>
      </c>
      <c r="AD839" s="21">
        <f t="shared" si="746"/>
        <v>0</v>
      </c>
      <c r="AE839" s="21">
        <f t="shared" si="746"/>
        <v>0</v>
      </c>
      <c r="AF839" s="1"/>
    </row>
    <row r="840" spans="2:32" x14ac:dyDescent="0.2">
      <c r="B840" s="24"/>
      <c r="C840" s="5" t="str">
        <f>CAPEX!C18</f>
        <v>Mechanical (Tenova Supply) + US$60m COVID</v>
      </c>
      <c r="D840" s="20"/>
      <c r="E840" s="269">
        <f>CAPEX!M18/1000000</f>
        <v>223.42</v>
      </c>
      <c r="F840" s="1" t="s">
        <v>55</v>
      </c>
      <c r="G840" s="21">
        <f t="shared" si="747"/>
        <v>223.42</v>
      </c>
      <c r="I840" s="41">
        <f>SUMIF('Quarterly Plant Model'!$I$2:$V$2,'Plant model'!I$2,'Quarterly Plant Model'!$I840:$V840)</f>
        <v>22.341999999999999</v>
      </c>
      <c r="J840" s="41">
        <f>SUMIF('Quarterly Plant Model'!$I$2:$V$2,'Plant model'!J$2,'Quarterly Plant Model'!$I840:$V840)</f>
        <v>128.4665</v>
      </c>
      <c r="K840" s="41">
        <f>SUMIF('Quarterly Plant Model'!$I$2:$V$2,'Plant model'!K$2,'Quarterly Plant Model'!$I840:$V840)</f>
        <v>72.611500000000007</v>
      </c>
      <c r="L840" s="41">
        <f>SUMIF('Quarterly Plant Model'!$I$2:$V$2,'Plant model'!L$2,'Quarterly Plant Model'!$I840:$V840)</f>
        <v>0</v>
      </c>
      <c r="M840" s="46">
        <f t="shared" si="745"/>
        <v>0</v>
      </c>
      <c r="N840" s="21">
        <f t="shared" si="745"/>
        <v>0</v>
      </c>
      <c r="O840" s="21">
        <f t="shared" si="745"/>
        <v>0</v>
      </c>
      <c r="P840" s="21">
        <f t="shared" si="745"/>
        <v>0</v>
      </c>
      <c r="Q840" s="21">
        <f t="shared" si="745"/>
        <v>0</v>
      </c>
      <c r="R840" s="21">
        <f t="shared" si="745"/>
        <v>0</v>
      </c>
      <c r="S840" s="21">
        <f t="shared" si="745"/>
        <v>0</v>
      </c>
      <c r="T840" s="21">
        <f t="shared" si="745"/>
        <v>0</v>
      </c>
      <c r="U840" s="21">
        <f t="shared" si="745"/>
        <v>0</v>
      </c>
      <c r="V840" s="21">
        <f t="shared" si="745"/>
        <v>0</v>
      </c>
      <c r="W840" s="21">
        <f t="shared" si="745"/>
        <v>0</v>
      </c>
      <c r="X840" s="21">
        <f t="shared" si="745"/>
        <v>0</v>
      </c>
      <c r="Y840" s="21">
        <f t="shared" si="745"/>
        <v>0</v>
      </c>
      <c r="Z840" s="21">
        <f t="shared" si="746"/>
        <v>0</v>
      </c>
      <c r="AA840" s="21">
        <f t="shared" si="746"/>
        <v>0</v>
      </c>
      <c r="AB840" s="21">
        <f t="shared" si="746"/>
        <v>0</v>
      </c>
      <c r="AC840" s="21">
        <f t="shared" si="746"/>
        <v>0</v>
      </c>
      <c r="AD840" s="21">
        <f t="shared" si="746"/>
        <v>0</v>
      </c>
      <c r="AE840" s="21">
        <f t="shared" si="746"/>
        <v>0</v>
      </c>
      <c r="AF840" s="1"/>
    </row>
    <row r="841" spans="2:32" x14ac:dyDescent="0.2">
      <c r="B841" s="24"/>
      <c r="C841" s="5" t="str">
        <f>CAPEX!C19</f>
        <v>Piping</v>
      </c>
      <c r="D841" s="20"/>
      <c r="E841" s="269">
        <f>CAPEX!M19/1000000</f>
        <v>27.511491600952375</v>
      </c>
      <c r="F841" s="1" t="s">
        <v>55</v>
      </c>
      <c r="G841" s="21">
        <f t="shared" si="747"/>
        <v>27.511491600952375</v>
      </c>
      <c r="I841" s="41">
        <f>SUMIF('Quarterly Plant Model'!$I$2:$V$2,'Plant model'!I$2,'Quarterly Plant Model'!$I841:$V841)</f>
        <v>2.7511491600952378</v>
      </c>
      <c r="J841" s="41">
        <f>SUMIF('Quarterly Plant Model'!$I$2:$V$2,'Plant model'!J$2,'Quarterly Plant Model'!$I841:$V841)</f>
        <v>15.819107670547616</v>
      </c>
      <c r="K841" s="41">
        <f>SUMIF('Quarterly Plant Model'!$I$2:$V$2,'Plant model'!K$2,'Quarterly Plant Model'!$I841:$V841)</f>
        <v>8.9412347703095225</v>
      </c>
      <c r="L841" s="41">
        <f>SUMIF('Quarterly Plant Model'!$I$2:$V$2,'Plant model'!L$2,'Quarterly Plant Model'!$I841:$V841)</f>
        <v>0</v>
      </c>
      <c r="M841" s="46">
        <f t="shared" si="745"/>
        <v>0</v>
      </c>
      <c r="N841" s="21">
        <f t="shared" si="745"/>
        <v>0</v>
      </c>
      <c r="O841" s="21">
        <f t="shared" si="745"/>
        <v>0</v>
      </c>
      <c r="P841" s="21">
        <f t="shared" si="745"/>
        <v>0</v>
      </c>
      <c r="Q841" s="21">
        <f t="shared" si="745"/>
        <v>0</v>
      </c>
      <c r="R841" s="21">
        <f t="shared" si="745"/>
        <v>0</v>
      </c>
      <c r="S841" s="21">
        <f t="shared" si="745"/>
        <v>0</v>
      </c>
      <c r="T841" s="21">
        <f t="shared" si="745"/>
        <v>0</v>
      </c>
      <c r="U841" s="21">
        <f t="shared" si="745"/>
        <v>0</v>
      </c>
      <c r="V841" s="21">
        <f t="shared" si="745"/>
        <v>0</v>
      </c>
      <c r="W841" s="21">
        <f t="shared" si="745"/>
        <v>0</v>
      </c>
      <c r="X841" s="21">
        <f t="shared" si="745"/>
        <v>0</v>
      </c>
      <c r="Y841" s="21">
        <f t="shared" si="745"/>
        <v>0</v>
      </c>
      <c r="Z841" s="21">
        <f t="shared" si="746"/>
        <v>0</v>
      </c>
      <c r="AA841" s="21">
        <f t="shared" si="746"/>
        <v>0</v>
      </c>
      <c r="AB841" s="21">
        <f t="shared" si="746"/>
        <v>0</v>
      </c>
      <c r="AC841" s="21">
        <f t="shared" si="746"/>
        <v>0</v>
      </c>
      <c r="AD841" s="21">
        <f t="shared" si="746"/>
        <v>0</v>
      </c>
      <c r="AE841" s="21">
        <f t="shared" si="746"/>
        <v>0</v>
      </c>
      <c r="AF841" s="1"/>
    </row>
    <row r="842" spans="2:32" x14ac:dyDescent="0.2">
      <c r="B842" s="24"/>
      <c r="C842" s="5" t="str">
        <f>CAPEX!C20</f>
        <v>Electrical</v>
      </c>
      <c r="D842" s="20"/>
      <c r="E842" s="269">
        <f>CAPEX!M20/1000000</f>
        <v>38.81864724825396</v>
      </c>
      <c r="F842" s="1" t="s">
        <v>55</v>
      </c>
      <c r="G842" s="21">
        <f t="shared" si="747"/>
        <v>38.818647248253967</v>
      </c>
      <c r="I842" s="41">
        <f>SUMIF('Quarterly Plant Model'!$I$2:$V$2,'Plant model'!I$2,'Quarterly Plant Model'!$I842:$V842)</f>
        <v>3.8818647248253964</v>
      </c>
      <c r="J842" s="41">
        <f>SUMIF('Quarterly Plant Model'!$I$2:$V$2,'Plant model'!J$2,'Quarterly Plant Model'!$I842:$V842)</f>
        <v>22.320722167746027</v>
      </c>
      <c r="K842" s="41">
        <f>SUMIF('Quarterly Plant Model'!$I$2:$V$2,'Plant model'!K$2,'Quarterly Plant Model'!$I842:$V842)</f>
        <v>12.616060355682539</v>
      </c>
      <c r="L842" s="41">
        <f>SUMIF('Quarterly Plant Model'!$I$2:$V$2,'Plant model'!L$2,'Quarterly Plant Model'!$I842:$V842)</f>
        <v>0</v>
      </c>
      <c r="M842" s="46">
        <f t="shared" si="745"/>
        <v>0</v>
      </c>
      <c r="N842" s="21">
        <f t="shared" si="745"/>
        <v>0</v>
      </c>
      <c r="O842" s="21">
        <f t="shared" si="745"/>
        <v>0</v>
      </c>
      <c r="P842" s="21">
        <f t="shared" si="745"/>
        <v>0</v>
      </c>
      <c r="Q842" s="21">
        <f t="shared" si="745"/>
        <v>0</v>
      </c>
      <c r="R842" s="21">
        <f t="shared" si="745"/>
        <v>0</v>
      </c>
      <c r="S842" s="21">
        <f t="shared" si="745"/>
        <v>0</v>
      </c>
      <c r="T842" s="21">
        <f t="shared" si="745"/>
        <v>0</v>
      </c>
      <c r="U842" s="21">
        <f t="shared" si="745"/>
        <v>0</v>
      </c>
      <c r="V842" s="21">
        <f t="shared" si="745"/>
        <v>0</v>
      </c>
      <c r="W842" s="21">
        <f t="shared" si="745"/>
        <v>0</v>
      </c>
      <c r="X842" s="21">
        <f t="shared" si="745"/>
        <v>0</v>
      </c>
      <c r="Y842" s="21">
        <f t="shared" si="745"/>
        <v>0</v>
      </c>
      <c r="Z842" s="21">
        <f t="shared" si="746"/>
        <v>0</v>
      </c>
      <c r="AA842" s="21">
        <f t="shared" si="746"/>
        <v>0</v>
      </c>
      <c r="AB842" s="21">
        <f t="shared" si="746"/>
        <v>0</v>
      </c>
      <c r="AC842" s="21">
        <f t="shared" si="746"/>
        <v>0</v>
      </c>
      <c r="AD842" s="21">
        <f t="shared" si="746"/>
        <v>0</v>
      </c>
      <c r="AE842" s="21">
        <f t="shared" si="746"/>
        <v>0</v>
      </c>
      <c r="AF842" s="1"/>
    </row>
    <row r="843" spans="2:32" x14ac:dyDescent="0.2">
      <c r="B843" s="24"/>
      <c r="C843" s="5" t="str">
        <f>CAPEX!C21</f>
        <v>Automation</v>
      </c>
      <c r="D843" s="20"/>
      <c r="E843" s="269">
        <f>CAPEX!M21/1000000</f>
        <v>5.666666666666667</v>
      </c>
      <c r="F843" s="1" t="s">
        <v>55</v>
      </c>
      <c r="G843" s="21">
        <f t="shared" si="747"/>
        <v>5.666666666666667</v>
      </c>
      <c r="I843" s="41">
        <f>SUMIF('Quarterly Plant Model'!$I$2:$V$2,'Plant model'!I$2,'Quarterly Plant Model'!$I843:$V843)</f>
        <v>0.56666666666666676</v>
      </c>
      <c r="J843" s="41">
        <f>SUMIF('Quarterly Plant Model'!$I$2:$V$2,'Plant model'!J$2,'Quarterly Plant Model'!$I843:$V843)</f>
        <v>3.2583333333333333</v>
      </c>
      <c r="K843" s="41">
        <f>SUMIF('Quarterly Plant Model'!$I$2:$V$2,'Plant model'!K$2,'Quarterly Plant Model'!$I843:$V843)</f>
        <v>1.8416666666666668</v>
      </c>
      <c r="L843" s="41">
        <f>SUMIF('Quarterly Plant Model'!$I$2:$V$2,'Plant model'!L$2,'Quarterly Plant Model'!$I843:$V843)</f>
        <v>0</v>
      </c>
      <c r="M843" s="46">
        <f t="shared" si="745"/>
        <v>0</v>
      </c>
      <c r="N843" s="21">
        <f t="shared" si="745"/>
        <v>0</v>
      </c>
      <c r="O843" s="21">
        <f t="shared" si="745"/>
        <v>0</v>
      </c>
      <c r="P843" s="21">
        <f t="shared" si="745"/>
        <v>0</v>
      </c>
      <c r="Q843" s="21">
        <f t="shared" si="745"/>
        <v>0</v>
      </c>
      <c r="R843" s="21">
        <f t="shared" si="745"/>
        <v>0</v>
      </c>
      <c r="S843" s="21">
        <f t="shared" si="745"/>
        <v>0</v>
      </c>
      <c r="T843" s="21">
        <f t="shared" si="745"/>
        <v>0</v>
      </c>
      <c r="U843" s="21">
        <f t="shared" si="745"/>
        <v>0</v>
      </c>
      <c r="V843" s="21">
        <f t="shared" si="745"/>
        <v>0</v>
      </c>
      <c r="W843" s="21">
        <f t="shared" si="745"/>
        <v>0</v>
      </c>
      <c r="X843" s="21">
        <f t="shared" si="745"/>
        <v>0</v>
      </c>
      <c r="Y843" s="21">
        <f t="shared" si="745"/>
        <v>0</v>
      </c>
      <c r="Z843" s="21">
        <f t="shared" si="746"/>
        <v>0</v>
      </c>
      <c r="AA843" s="21">
        <f t="shared" si="746"/>
        <v>0</v>
      </c>
      <c r="AB843" s="21">
        <f t="shared" si="746"/>
        <v>0</v>
      </c>
      <c r="AC843" s="21">
        <f t="shared" si="746"/>
        <v>0</v>
      </c>
      <c r="AD843" s="21">
        <f t="shared" si="746"/>
        <v>0</v>
      </c>
      <c r="AE843" s="21">
        <f t="shared" si="746"/>
        <v>0</v>
      </c>
      <c r="AF843" s="1"/>
    </row>
    <row r="844" spans="2:32" x14ac:dyDescent="0.2">
      <c r="B844" s="24"/>
      <c r="C844" s="5" t="s">
        <v>694</v>
      </c>
      <c r="D844" s="20"/>
      <c r="E844" s="269">
        <f>CAPEX!M24/1000000</f>
        <v>3.9203669325562736</v>
      </c>
      <c r="F844" s="1" t="s">
        <v>55</v>
      </c>
      <c r="G844" s="21">
        <f t="shared" si="747"/>
        <v>3.9203669325562736</v>
      </c>
      <c r="I844" s="41">
        <f>SUMIF('Quarterly Plant Model'!$I$2:$V$2,'Plant model'!I$2,'Quarterly Plant Model'!$I844:$V844)</f>
        <v>0.3920366932556274</v>
      </c>
      <c r="J844" s="41">
        <f>SUMIF('Quarterly Plant Model'!$I$2:$V$2,'Plant model'!J$2,'Quarterly Plant Model'!$I844:$V844)</f>
        <v>2.2542109862198574</v>
      </c>
      <c r="K844" s="41">
        <f>SUMIF('Quarterly Plant Model'!$I$2:$V$2,'Plant model'!K$2,'Quarterly Plant Model'!$I844:$V844)</f>
        <v>1.274119253080789</v>
      </c>
      <c r="L844" s="41">
        <f>SUMIF('Quarterly Plant Model'!$I$2:$V$2,'Plant model'!L$2,'Quarterly Plant Model'!$I844:$V844)</f>
        <v>0</v>
      </c>
      <c r="M844" s="46">
        <f t="shared" si="745"/>
        <v>0</v>
      </c>
      <c r="N844" s="21">
        <f t="shared" si="745"/>
        <v>0</v>
      </c>
      <c r="O844" s="21">
        <f t="shared" si="745"/>
        <v>0</v>
      </c>
      <c r="P844" s="21">
        <f t="shared" si="745"/>
        <v>0</v>
      </c>
      <c r="Q844" s="21">
        <f t="shared" si="745"/>
        <v>0</v>
      </c>
      <c r="R844" s="21">
        <f t="shared" si="745"/>
        <v>0</v>
      </c>
      <c r="S844" s="21">
        <f t="shared" si="745"/>
        <v>0</v>
      </c>
      <c r="T844" s="21">
        <f t="shared" si="745"/>
        <v>0</v>
      </c>
      <c r="U844" s="21">
        <f t="shared" si="745"/>
        <v>0</v>
      </c>
      <c r="V844" s="21">
        <f t="shared" si="745"/>
        <v>0</v>
      </c>
      <c r="W844" s="21">
        <f t="shared" si="745"/>
        <v>0</v>
      </c>
      <c r="X844" s="21">
        <f t="shared" si="745"/>
        <v>0</v>
      </c>
      <c r="Y844" s="21">
        <f t="shared" si="745"/>
        <v>0</v>
      </c>
      <c r="Z844" s="21">
        <f t="shared" si="746"/>
        <v>0</v>
      </c>
      <c r="AA844" s="21">
        <f t="shared" si="746"/>
        <v>0</v>
      </c>
      <c r="AB844" s="21">
        <f t="shared" si="746"/>
        <v>0</v>
      </c>
      <c r="AC844" s="21">
        <f t="shared" si="746"/>
        <v>0</v>
      </c>
      <c r="AD844" s="21">
        <f t="shared" si="746"/>
        <v>0</v>
      </c>
      <c r="AE844" s="21">
        <f t="shared" si="746"/>
        <v>0</v>
      </c>
      <c r="AF844" s="1"/>
    </row>
    <row r="845" spans="2:32" x14ac:dyDescent="0.2">
      <c r="B845" s="24"/>
      <c r="C845" s="20" t="s">
        <v>626</v>
      </c>
      <c r="D845" s="20"/>
      <c r="E845" s="270">
        <f>SUM(E833:E844)</f>
        <v>389.83576996254152</v>
      </c>
      <c r="F845" s="9" t="s">
        <v>55</v>
      </c>
      <c r="G845" s="44">
        <f t="shared" si="747"/>
        <v>389.83576996254158</v>
      </c>
      <c r="I845" s="535">
        <f>SUMIF('Quarterly Plant Model'!$I$2:$V$2,'Plant model'!I$2,'Quarterly Plant Model'!$I845:$V845)</f>
        <v>38.983576996254158</v>
      </c>
      <c r="J845" s="535">
        <f>SUMIF('Quarterly Plant Model'!$I$2:$V$2,'Plant model'!J$2,'Quarterly Plant Model'!$I845:$V845)</f>
        <v>224.15556772846139</v>
      </c>
      <c r="K845" s="535">
        <f>SUMIF('Quarterly Plant Model'!$I$2:$V$2,'Plant model'!K$2,'Quarterly Plant Model'!$I845:$V845)</f>
        <v>126.696625237826</v>
      </c>
      <c r="L845" s="535">
        <f>SUMIF('Quarterly Plant Model'!$I$2:$V$2,'Plant model'!L$2,'Quarterly Plant Model'!$I845:$V845)</f>
        <v>0</v>
      </c>
      <c r="M845" s="536">
        <f t="shared" ref="M845:AE845" si="748">SUM(M833:M844)</f>
        <v>0</v>
      </c>
      <c r="N845" s="44">
        <f t="shared" si="748"/>
        <v>0</v>
      </c>
      <c r="O845" s="44">
        <f t="shared" si="748"/>
        <v>0</v>
      </c>
      <c r="P845" s="44">
        <f t="shared" si="748"/>
        <v>0</v>
      </c>
      <c r="Q845" s="44">
        <f t="shared" si="748"/>
        <v>0</v>
      </c>
      <c r="R845" s="44">
        <f t="shared" si="748"/>
        <v>0</v>
      </c>
      <c r="S845" s="44">
        <f t="shared" si="748"/>
        <v>0</v>
      </c>
      <c r="T845" s="44">
        <f t="shared" si="748"/>
        <v>0</v>
      </c>
      <c r="U845" s="44">
        <f t="shared" si="748"/>
        <v>0</v>
      </c>
      <c r="V845" s="44">
        <f t="shared" si="748"/>
        <v>0</v>
      </c>
      <c r="W845" s="44">
        <f t="shared" si="748"/>
        <v>0</v>
      </c>
      <c r="X845" s="44">
        <f t="shared" si="748"/>
        <v>0</v>
      </c>
      <c r="Y845" s="44">
        <f t="shared" si="748"/>
        <v>0</v>
      </c>
      <c r="Z845" s="44">
        <f t="shared" si="748"/>
        <v>0</v>
      </c>
      <c r="AA845" s="44">
        <f t="shared" si="748"/>
        <v>0</v>
      </c>
      <c r="AB845" s="44">
        <f t="shared" si="748"/>
        <v>0</v>
      </c>
      <c r="AC845" s="44">
        <f t="shared" si="748"/>
        <v>0</v>
      </c>
      <c r="AD845" s="44">
        <f t="shared" si="748"/>
        <v>0</v>
      </c>
      <c r="AE845" s="44">
        <f t="shared" si="748"/>
        <v>0</v>
      </c>
      <c r="AF845" s="1"/>
    </row>
    <row r="846" spans="2:32" x14ac:dyDescent="0.2">
      <c r="B846" s="24"/>
      <c r="C846" s="20"/>
      <c r="D846" s="20"/>
      <c r="AF846" s="1"/>
    </row>
    <row r="847" spans="2:32" x14ac:dyDescent="0.2">
      <c r="B847" s="24"/>
      <c r="C847" s="20"/>
      <c r="D847" s="20"/>
      <c r="AF847" s="1"/>
    </row>
    <row r="848" spans="2:32" x14ac:dyDescent="0.2">
      <c r="B848" s="24"/>
      <c r="C848" s="20" t="s">
        <v>627</v>
      </c>
      <c r="D848" s="20"/>
      <c r="AF848" s="1"/>
    </row>
    <row r="849" spans="2:32" x14ac:dyDescent="0.2">
      <c r="B849" s="24"/>
      <c r="C849" s="5" t="str">
        <f>CAPEX!C26</f>
        <v>Construction Field Indirects</v>
      </c>
      <c r="D849" s="20"/>
      <c r="E849" s="269">
        <f>CAPEX!M26/1000000</f>
        <v>11.577462090899559</v>
      </c>
      <c r="F849" s="1" t="s">
        <v>55</v>
      </c>
      <c r="G849" s="21">
        <f t="shared" ref="G849:G863" si="749">SUM(I849:AE849)</f>
        <v>11.577462090899559</v>
      </c>
      <c r="I849" s="41">
        <f>SUMIF('Quarterly Plant Model'!$I$2:$V$2,'Plant model'!I$2,'Quarterly Plant Model'!$I849:$V849)</f>
        <v>1.157746209089956</v>
      </c>
      <c r="J849" s="41">
        <f>SUMIF('Quarterly Plant Model'!$I$2:$V$2,'Plant model'!J$2,'Quarterly Plant Model'!$I849:$V849)</f>
        <v>6.6570407022672455</v>
      </c>
      <c r="K849" s="41">
        <f>SUMIF('Quarterly Plant Model'!$I$2:$V$2,'Plant model'!K$2,'Quarterly Plant Model'!$I849:$V849)</f>
        <v>3.7626751795423568</v>
      </c>
      <c r="L849" s="41">
        <f>SUMIF('Quarterly Plant Model'!$I$2:$V$2,'Plant model'!L$2,'Quarterly Plant Model'!$I849:$V849)</f>
        <v>0</v>
      </c>
      <c r="M849" s="46">
        <f t="shared" ref="M849:Y863" si="750">$E849*M$830</f>
        <v>0</v>
      </c>
      <c r="N849" s="21">
        <f t="shared" si="750"/>
        <v>0</v>
      </c>
      <c r="O849" s="21">
        <f t="shared" si="750"/>
        <v>0</v>
      </c>
      <c r="P849" s="21">
        <f t="shared" si="750"/>
        <v>0</v>
      </c>
      <c r="Q849" s="21">
        <f t="shared" si="750"/>
        <v>0</v>
      </c>
      <c r="R849" s="21">
        <f t="shared" si="750"/>
        <v>0</v>
      </c>
      <c r="S849" s="21">
        <f t="shared" si="750"/>
        <v>0</v>
      </c>
      <c r="T849" s="21">
        <f t="shared" si="750"/>
        <v>0</v>
      </c>
      <c r="U849" s="21">
        <f t="shared" si="750"/>
        <v>0</v>
      </c>
      <c r="V849" s="21">
        <f t="shared" si="750"/>
        <v>0</v>
      </c>
      <c r="W849" s="21">
        <f t="shared" si="750"/>
        <v>0</v>
      </c>
      <c r="X849" s="21">
        <f t="shared" si="750"/>
        <v>0</v>
      </c>
      <c r="Y849" s="21">
        <f t="shared" si="750"/>
        <v>0</v>
      </c>
      <c r="Z849" s="21">
        <f t="shared" ref="Z849:AE863" si="751">$E849*Z$830</f>
        <v>0</v>
      </c>
      <c r="AA849" s="21">
        <f t="shared" si="751"/>
        <v>0</v>
      </c>
      <c r="AB849" s="21">
        <f t="shared" si="751"/>
        <v>0</v>
      </c>
      <c r="AC849" s="21">
        <f t="shared" si="751"/>
        <v>0</v>
      </c>
      <c r="AD849" s="21">
        <f t="shared" si="751"/>
        <v>0</v>
      </c>
      <c r="AE849" s="21">
        <f t="shared" si="751"/>
        <v>0</v>
      </c>
      <c r="AF849" s="1"/>
    </row>
    <row r="850" spans="2:32" x14ac:dyDescent="0.2">
      <c r="B850" s="24"/>
      <c r="C850" s="5" t="str">
        <f>CAPEX!C27</f>
        <v>warranty management- 1 person 1 year @ $150/hour</v>
      </c>
      <c r="D850" s="20"/>
      <c r="E850" s="269">
        <f>CAPEX!M27/1000000</f>
        <v>0</v>
      </c>
      <c r="F850" s="1" t="s">
        <v>55</v>
      </c>
      <c r="G850" s="21">
        <f t="shared" si="749"/>
        <v>0</v>
      </c>
      <c r="I850" s="41">
        <f>SUMIF('Quarterly Plant Model'!$I$2:$V$2,'Plant model'!I$2,'Quarterly Plant Model'!$I850:$V850)</f>
        <v>0</v>
      </c>
      <c r="J850" s="41">
        <f>SUMIF('Quarterly Plant Model'!$I$2:$V$2,'Plant model'!J$2,'Quarterly Plant Model'!$I850:$V850)</f>
        <v>0</v>
      </c>
      <c r="K850" s="41">
        <f>SUMIF('Quarterly Plant Model'!$I$2:$V$2,'Plant model'!K$2,'Quarterly Plant Model'!$I850:$V850)</f>
        <v>0</v>
      </c>
      <c r="L850" s="41">
        <f>SUMIF('Quarterly Plant Model'!$I$2:$V$2,'Plant model'!L$2,'Quarterly Plant Model'!$I850:$V850)</f>
        <v>0</v>
      </c>
      <c r="M850" s="46">
        <f t="shared" si="750"/>
        <v>0</v>
      </c>
      <c r="N850" s="21">
        <f t="shared" si="750"/>
        <v>0</v>
      </c>
      <c r="O850" s="21">
        <f t="shared" si="750"/>
        <v>0</v>
      </c>
      <c r="P850" s="21">
        <f t="shared" si="750"/>
        <v>0</v>
      </c>
      <c r="Q850" s="21">
        <f t="shared" si="750"/>
        <v>0</v>
      </c>
      <c r="R850" s="21">
        <f t="shared" si="750"/>
        <v>0</v>
      </c>
      <c r="S850" s="21">
        <f t="shared" si="750"/>
        <v>0</v>
      </c>
      <c r="T850" s="21">
        <f t="shared" si="750"/>
        <v>0</v>
      </c>
      <c r="U850" s="21">
        <f t="shared" si="750"/>
        <v>0</v>
      </c>
      <c r="V850" s="21">
        <f t="shared" si="750"/>
        <v>0</v>
      </c>
      <c r="W850" s="21">
        <f t="shared" si="750"/>
        <v>0</v>
      </c>
      <c r="X850" s="21">
        <f t="shared" si="750"/>
        <v>0</v>
      </c>
      <c r="Y850" s="21">
        <f t="shared" si="750"/>
        <v>0</v>
      </c>
      <c r="Z850" s="21">
        <f t="shared" si="751"/>
        <v>0</v>
      </c>
      <c r="AA850" s="21">
        <f t="shared" si="751"/>
        <v>0</v>
      </c>
      <c r="AB850" s="21">
        <f t="shared" si="751"/>
        <v>0</v>
      </c>
      <c r="AC850" s="21">
        <f t="shared" si="751"/>
        <v>0</v>
      </c>
      <c r="AD850" s="21">
        <f t="shared" si="751"/>
        <v>0</v>
      </c>
      <c r="AE850" s="21">
        <f t="shared" si="751"/>
        <v>0</v>
      </c>
      <c r="AF850" s="1"/>
    </row>
    <row r="851" spans="2:32" x14ac:dyDescent="0.2">
      <c r="B851" s="24"/>
      <c r="C851" s="5" t="str">
        <f>CAPEX!C28</f>
        <v>Heavy Lift &amp; Heavy Haul from Port</v>
      </c>
      <c r="D851" s="20"/>
      <c r="E851" s="269">
        <f>CAPEX!M28/1000000</f>
        <v>3.2597873015873016</v>
      </c>
      <c r="F851" s="1" t="s">
        <v>55</v>
      </c>
      <c r="G851" s="21">
        <f t="shared" si="749"/>
        <v>3.2597873015873011</v>
      </c>
      <c r="I851" s="41">
        <f>SUMIF('Quarterly Plant Model'!$I$2:$V$2,'Plant model'!I$2,'Quarterly Plant Model'!$I851:$V851)</f>
        <v>0.32597873015873019</v>
      </c>
      <c r="J851" s="41">
        <f>SUMIF('Quarterly Plant Model'!$I$2:$V$2,'Plant model'!J$2,'Quarterly Plant Model'!$I851:$V851)</f>
        <v>1.8743776984126983</v>
      </c>
      <c r="K851" s="41">
        <f>SUMIF('Quarterly Plant Model'!$I$2:$V$2,'Plant model'!K$2,'Quarterly Plant Model'!$I851:$V851)</f>
        <v>1.059430873015873</v>
      </c>
      <c r="L851" s="41">
        <f>SUMIF('Quarterly Plant Model'!$I$2:$V$2,'Plant model'!L$2,'Quarterly Plant Model'!$I851:$V851)</f>
        <v>0</v>
      </c>
      <c r="M851" s="46">
        <f t="shared" si="750"/>
        <v>0</v>
      </c>
      <c r="N851" s="21">
        <f t="shared" si="750"/>
        <v>0</v>
      </c>
      <c r="O851" s="21">
        <f t="shared" si="750"/>
        <v>0</v>
      </c>
      <c r="P851" s="21">
        <f t="shared" si="750"/>
        <v>0</v>
      </c>
      <c r="Q851" s="21">
        <f t="shared" si="750"/>
        <v>0</v>
      </c>
      <c r="R851" s="21">
        <f t="shared" si="750"/>
        <v>0</v>
      </c>
      <c r="S851" s="21">
        <f t="shared" si="750"/>
        <v>0</v>
      </c>
      <c r="T851" s="21">
        <f t="shared" si="750"/>
        <v>0</v>
      </c>
      <c r="U851" s="21">
        <f t="shared" si="750"/>
        <v>0</v>
      </c>
      <c r="V851" s="21">
        <f t="shared" si="750"/>
        <v>0</v>
      </c>
      <c r="W851" s="21">
        <f t="shared" si="750"/>
        <v>0</v>
      </c>
      <c r="X851" s="21">
        <f t="shared" si="750"/>
        <v>0</v>
      </c>
      <c r="Y851" s="21">
        <f t="shared" si="750"/>
        <v>0</v>
      </c>
      <c r="Z851" s="21">
        <f t="shared" si="751"/>
        <v>0</v>
      </c>
      <c r="AA851" s="21">
        <f t="shared" si="751"/>
        <v>0</v>
      </c>
      <c r="AB851" s="21">
        <f t="shared" si="751"/>
        <v>0</v>
      </c>
      <c r="AC851" s="21">
        <f t="shared" si="751"/>
        <v>0</v>
      </c>
      <c r="AD851" s="21">
        <f t="shared" si="751"/>
        <v>0</v>
      </c>
      <c r="AE851" s="21">
        <f t="shared" si="751"/>
        <v>0</v>
      </c>
      <c r="AF851" s="1"/>
    </row>
    <row r="852" spans="2:32" x14ac:dyDescent="0.2">
      <c r="B852" s="24"/>
      <c r="C852" s="5" t="str">
        <f>CAPEX!C29</f>
        <v>Engineering, Procurement &amp; Construction Management</v>
      </c>
      <c r="D852" s="20"/>
      <c r="E852" s="269">
        <f>CAPEX!M29/1000000</f>
        <v>30.873232242398824</v>
      </c>
      <c r="F852" s="1" t="s">
        <v>55</v>
      </c>
      <c r="G852" s="21">
        <f t="shared" si="749"/>
        <v>30.873232242398824</v>
      </c>
      <c r="I852" s="41">
        <f>SUMIF('Quarterly Plant Model'!$I$2:$V$2,'Plant model'!I$2,'Quarterly Plant Model'!$I852:$V852)</f>
        <v>3.0873232242398827</v>
      </c>
      <c r="J852" s="41">
        <f>SUMIF('Quarterly Plant Model'!$I$2:$V$2,'Plant model'!J$2,'Quarterly Plant Model'!$I852:$V852)</f>
        <v>17.752108539379325</v>
      </c>
      <c r="K852" s="41">
        <f>SUMIF('Quarterly Plant Model'!$I$2:$V$2,'Plant model'!K$2,'Quarterly Plant Model'!$I852:$V852)</f>
        <v>10.033800478779618</v>
      </c>
      <c r="L852" s="41">
        <f>SUMIF('Quarterly Plant Model'!$I$2:$V$2,'Plant model'!L$2,'Quarterly Plant Model'!$I852:$V852)</f>
        <v>0</v>
      </c>
      <c r="M852" s="46">
        <f t="shared" si="750"/>
        <v>0</v>
      </c>
      <c r="N852" s="21">
        <f t="shared" si="750"/>
        <v>0</v>
      </c>
      <c r="O852" s="21">
        <f t="shared" si="750"/>
        <v>0</v>
      </c>
      <c r="P852" s="21">
        <f t="shared" si="750"/>
        <v>0</v>
      </c>
      <c r="Q852" s="21">
        <f t="shared" si="750"/>
        <v>0</v>
      </c>
      <c r="R852" s="21">
        <f t="shared" si="750"/>
        <v>0</v>
      </c>
      <c r="S852" s="21">
        <f t="shared" si="750"/>
        <v>0</v>
      </c>
      <c r="T852" s="21">
        <f t="shared" si="750"/>
        <v>0</v>
      </c>
      <c r="U852" s="21">
        <f t="shared" si="750"/>
        <v>0</v>
      </c>
      <c r="V852" s="21">
        <f t="shared" si="750"/>
        <v>0</v>
      </c>
      <c r="W852" s="21">
        <f t="shared" si="750"/>
        <v>0</v>
      </c>
      <c r="X852" s="21">
        <f t="shared" si="750"/>
        <v>0</v>
      </c>
      <c r="Y852" s="21">
        <f t="shared" si="750"/>
        <v>0</v>
      </c>
      <c r="Z852" s="21">
        <f t="shared" si="751"/>
        <v>0</v>
      </c>
      <c r="AA852" s="21">
        <f t="shared" si="751"/>
        <v>0</v>
      </c>
      <c r="AB852" s="21">
        <f t="shared" si="751"/>
        <v>0</v>
      </c>
      <c r="AC852" s="21">
        <f t="shared" si="751"/>
        <v>0</v>
      </c>
      <c r="AD852" s="21">
        <f t="shared" si="751"/>
        <v>0</v>
      </c>
      <c r="AE852" s="21">
        <f t="shared" si="751"/>
        <v>0</v>
      </c>
      <c r="AF852" s="1"/>
    </row>
    <row r="853" spans="2:32" x14ac:dyDescent="0.2">
      <c r="B853" s="24"/>
      <c r="C853" s="5" t="str">
        <f>CAPEX!C30</f>
        <v>Norda Stelo Engineering &amp; Construction Management</v>
      </c>
      <c r="D853" s="20"/>
      <c r="E853" s="269">
        <f>CAPEX!M30/1000000</f>
        <v>0</v>
      </c>
      <c r="F853" s="1" t="s">
        <v>55</v>
      </c>
      <c r="G853" s="21">
        <f t="shared" si="749"/>
        <v>0</v>
      </c>
      <c r="I853" s="41">
        <f>SUMIF('Quarterly Plant Model'!$I$2:$V$2,'Plant model'!I$2,'Quarterly Plant Model'!$I853:$V853)</f>
        <v>0</v>
      </c>
      <c r="J853" s="41">
        <f>SUMIF('Quarterly Plant Model'!$I$2:$V$2,'Plant model'!J$2,'Quarterly Plant Model'!$I853:$V853)</f>
        <v>0</v>
      </c>
      <c r="K853" s="41">
        <f>SUMIF('Quarterly Plant Model'!$I$2:$V$2,'Plant model'!K$2,'Quarterly Plant Model'!$I853:$V853)</f>
        <v>0</v>
      </c>
      <c r="L853" s="41">
        <f>SUMIF('Quarterly Plant Model'!$I$2:$V$2,'Plant model'!L$2,'Quarterly Plant Model'!$I853:$V853)</f>
        <v>0</v>
      </c>
      <c r="M853" s="46">
        <f t="shared" si="750"/>
        <v>0</v>
      </c>
      <c r="N853" s="21">
        <f t="shared" si="750"/>
        <v>0</v>
      </c>
      <c r="O853" s="21">
        <f t="shared" si="750"/>
        <v>0</v>
      </c>
      <c r="P853" s="21">
        <f t="shared" si="750"/>
        <v>0</v>
      </c>
      <c r="Q853" s="21">
        <f t="shared" si="750"/>
        <v>0</v>
      </c>
      <c r="R853" s="21">
        <f t="shared" si="750"/>
        <v>0</v>
      </c>
      <c r="S853" s="21">
        <f t="shared" si="750"/>
        <v>0</v>
      </c>
      <c r="T853" s="21">
        <f t="shared" si="750"/>
        <v>0</v>
      </c>
      <c r="U853" s="21">
        <f t="shared" si="750"/>
        <v>0</v>
      </c>
      <c r="V853" s="21">
        <f t="shared" si="750"/>
        <v>0</v>
      </c>
      <c r="W853" s="21">
        <f t="shared" si="750"/>
        <v>0</v>
      </c>
      <c r="X853" s="21">
        <f t="shared" si="750"/>
        <v>0</v>
      </c>
      <c r="Y853" s="21">
        <f t="shared" si="750"/>
        <v>0</v>
      </c>
      <c r="Z853" s="21">
        <f t="shared" si="751"/>
        <v>0</v>
      </c>
      <c r="AA853" s="21">
        <f t="shared" si="751"/>
        <v>0</v>
      </c>
      <c r="AB853" s="21">
        <f t="shared" si="751"/>
        <v>0</v>
      </c>
      <c r="AC853" s="21">
        <f t="shared" si="751"/>
        <v>0</v>
      </c>
      <c r="AD853" s="21">
        <f t="shared" si="751"/>
        <v>0</v>
      </c>
      <c r="AE853" s="21">
        <f t="shared" si="751"/>
        <v>0</v>
      </c>
      <c r="AF853" s="1"/>
    </row>
    <row r="854" spans="2:32" x14ac:dyDescent="0.2">
      <c r="B854" s="24"/>
      <c r="C854" s="5" t="str">
        <f>CAPEX!C31</f>
        <v>Geotechnical Survey</v>
      </c>
      <c r="D854" s="20"/>
      <c r="E854" s="269">
        <f>CAPEX!M31/1000000</f>
        <v>0</v>
      </c>
      <c r="F854" s="1" t="s">
        <v>55</v>
      </c>
      <c r="G854" s="21">
        <f t="shared" si="749"/>
        <v>0</v>
      </c>
      <c r="I854" s="41">
        <f>SUMIF('Quarterly Plant Model'!$I$2:$V$2,'Plant model'!I$2,'Quarterly Plant Model'!$I854:$V854)</f>
        <v>0</v>
      </c>
      <c r="J854" s="41">
        <f>SUMIF('Quarterly Plant Model'!$I$2:$V$2,'Plant model'!J$2,'Quarterly Plant Model'!$I854:$V854)</f>
        <v>0</v>
      </c>
      <c r="K854" s="41">
        <f>SUMIF('Quarterly Plant Model'!$I$2:$V$2,'Plant model'!K$2,'Quarterly Plant Model'!$I854:$V854)</f>
        <v>0</v>
      </c>
      <c r="L854" s="41">
        <f>SUMIF('Quarterly Plant Model'!$I$2:$V$2,'Plant model'!L$2,'Quarterly Plant Model'!$I854:$V854)</f>
        <v>0</v>
      </c>
      <c r="M854" s="46">
        <f t="shared" si="750"/>
        <v>0</v>
      </c>
      <c r="N854" s="21">
        <f t="shared" si="750"/>
        <v>0</v>
      </c>
      <c r="O854" s="21">
        <f t="shared" si="750"/>
        <v>0</v>
      </c>
      <c r="P854" s="21">
        <f t="shared" si="750"/>
        <v>0</v>
      </c>
      <c r="Q854" s="21">
        <f t="shared" si="750"/>
        <v>0</v>
      </c>
      <c r="R854" s="21">
        <f t="shared" si="750"/>
        <v>0</v>
      </c>
      <c r="S854" s="21">
        <f t="shared" si="750"/>
        <v>0</v>
      </c>
      <c r="T854" s="21">
        <f t="shared" si="750"/>
        <v>0</v>
      </c>
      <c r="U854" s="21">
        <f t="shared" si="750"/>
        <v>0</v>
      </c>
      <c r="V854" s="21">
        <f t="shared" si="750"/>
        <v>0</v>
      </c>
      <c r="W854" s="21">
        <f t="shared" si="750"/>
        <v>0</v>
      </c>
      <c r="X854" s="21">
        <f t="shared" si="750"/>
        <v>0</v>
      </c>
      <c r="Y854" s="21">
        <f t="shared" si="750"/>
        <v>0</v>
      </c>
      <c r="Z854" s="21">
        <f t="shared" si="751"/>
        <v>0</v>
      </c>
      <c r="AA854" s="21">
        <f t="shared" si="751"/>
        <v>0</v>
      </c>
      <c r="AB854" s="21">
        <f t="shared" si="751"/>
        <v>0</v>
      </c>
      <c r="AC854" s="21">
        <f t="shared" si="751"/>
        <v>0</v>
      </c>
      <c r="AD854" s="21">
        <f t="shared" si="751"/>
        <v>0</v>
      </c>
      <c r="AE854" s="21">
        <f t="shared" si="751"/>
        <v>0</v>
      </c>
      <c r="AF854" s="1"/>
    </row>
    <row r="855" spans="2:32" x14ac:dyDescent="0.2">
      <c r="B855" s="24"/>
      <c r="C855" s="5" t="str">
        <f>CAPEX!C32</f>
        <v>Survey subcontract</v>
      </c>
      <c r="D855" s="20"/>
      <c r="E855" s="269">
        <f>CAPEX!M32/1000000</f>
        <v>0</v>
      </c>
      <c r="F855" s="1" t="s">
        <v>55</v>
      </c>
      <c r="G855" s="21">
        <f t="shared" si="749"/>
        <v>0</v>
      </c>
      <c r="I855" s="41">
        <f>SUMIF('Quarterly Plant Model'!$I$2:$V$2,'Plant model'!I$2,'Quarterly Plant Model'!$I855:$V855)</f>
        <v>0</v>
      </c>
      <c r="J855" s="41">
        <f>SUMIF('Quarterly Plant Model'!$I$2:$V$2,'Plant model'!J$2,'Quarterly Plant Model'!$I855:$V855)</f>
        <v>0</v>
      </c>
      <c r="K855" s="41">
        <f>SUMIF('Quarterly Plant Model'!$I$2:$V$2,'Plant model'!K$2,'Quarterly Plant Model'!$I855:$V855)</f>
        <v>0</v>
      </c>
      <c r="L855" s="41">
        <f>SUMIF('Quarterly Plant Model'!$I$2:$V$2,'Plant model'!L$2,'Quarterly Plant Model'!$I855:$V855)</f>
        <v>0</v>
      </c>
      <c r="M855" s="46">
        <f t="shared" si="750"/>
        <v>0</v>
      </c>
      <c r="N855" s="21">
        <f t="shared" si="750"/>
        <v>0</v>
      </c>
      <c r="O855" s="21">
        <f t="shared" si="750"/>
        <v>0</v>
      </c>
      <c r="P855" s="21">
        <f t="shared" si="750"/>
        <v>0</v>
      </c>
      <c r="Q855" s="21">
        <f t="shared" si="750"/>
        <v>0</v>
      </c>
      <c r="R855" s="21">
        <f t="shared" si="750"/>
        <v>0</v>
      </c>
      <c r="S855" s="21">
        <f t="shared" si="750"/>
        <v>0</v>
      </c>
      <c r="T855" s="21">
        <f t="shared" si="750"/>
        <v>0</v>
      </c>
      <c r="U855" s="21">
        <f t="shared" si="750"/>
        <v>0</v>
      </c>
      <c r="V855" s="21">
        <f t="shared" si="750"/>
        <v>0</v>
      </c>
      <c r="W855" s="21">
        <f t="shared" si="750"/>
        <v>0</v>
      </c>
      <c r="X855" s="21">
        <f t="shared" si="750"/>
        <v>0</v>
      </c>
      <c r="Y855" s="21">
        <f t="shared" si="750"/>
        <v>0</v>
      </c>
      <c r="Z855" s="21">
        <f t="shared" si="751"/>
        <v>0</v>
      </c>
      <c r="AA855" s="21">
        <f t="shared" si="751"/>
        <v>0</v>
      </c>
      <c r="AB855" s="21">
        <f t="shared" si="751"/>
        <v>0</v>
      </c>
      <c r="AC855" s="21">
        <f t="shared" si="751"/>
        <v>0</v>
      </c>
      <c r="AD855" s="21">
        <f t="shared" si="751"/>
        <v>0</v>
      </c>
      <c r="AE855" s="21">
        <f t="shared" si="751"/>
        <v>0</v>
      </c>
      <c r="AF855" s="1"/>
    </row>
    <row r="856" spans="2:32" x14ac:dyDescent="0.2">
      <c r="B856" s="24"/>
      <c r="C856" s="5" t="str">
        <f>CAPEX!C33</f>
        <v>External Laboratory Testing</v>
      </c>
      <c r="D856" s="20"/>
      <c r="E856" s="269">
        <f>CAPEX!M33/1000000</f>
        <v>0</v>
      </c>
      <c r="F856" s="1" t="s">
        <v>55</v>
      </c>
      <c r="G856" s="21">
        <f t="shared" si="749"/>
        <v>0</v>
      </c>
      <c r="I856" s="41">
        <f>SUMIF('Quarterly Plant Model'!$I$2:$V$2,'Plant model'!I$2,'Quarterly Plant Model'!$I856:$V856)</f>
        <v>0</v>
      </c>
      <c r="J856" s="41">
        <f>SUMIF('Quarterly Plant Model'!$I$2:$V$2,'Plant model'!J$2,'Quarterly Plant Model'!$I856:$V856)</f>
        <v>0</v>
      </c>
      <c r="K856" s="41">
        <f>SUMIF('Quarterly Plant Model'!$I$2:$V$2,'Plant model'!K$2,'Quarterly Plant Model'!$I856:$V856)</f>
        <v>0</v>
      </c>
      <c r="L856" s="41">
        <f>SUMIF('Quarterly Plant Model'!$I$2:$V$2,'Plant model'!L$2,'Quarterly Plant Model'!$I856:$V856)</f>
        <v>0</v>
      </c>
      <c r="M856" s="46">
        <f t="shared" si="750"/>
        <v>0</v>
      </c>
      <c r="N856" s="21">
        <f t="shared" si="750"/>
        <v>0</v>
      </c>
      <c r="O856" s="21">
        <f t="shared" si="750"/>
        <v>0</v>
      </c>
      <c r="P856" s="21">
        <f t="shared" si="750"/>
        <v>0</v>
      </c>
      <c r="Q856" s="21">
        <f t="shared" si="750"/>
        <v>0</v>
      </c>
      <c r="R856" s="21">
        <f t="shared" si="750"/>
        <v>0</v>
      </c>
      <c r="S856" s="21">
        <f t="shared" si="750"/>
        <v>0</v>
      </c>
      <c r="T856" s="21">
        <f t="shared" si="750"/>
        <v>0</v>
      </c>
      <c r="U856" s="21">
        <f t="shared" si="750"/>
        <v>0</v>
      </c>
      <c r="V856" s="21">
        <f t="shared" si="750"/>
        <v>0</v>
      </c>
      <c r="W856" s="21">
        <f t="shared" si="750"/>
        <v>0</v>
      </c>
      <c r="X856" s="21">
        <f t="shared" si="750"/>
        <v>0</v>
      </c>
      <c r="Y856" s="21">
        <f t="shared" si="750"/>
        <v>0</v>
      </c>
      <c r="Z856" s="21">
        <f t="shared" si="751"/>
        <v>0</v>
      </c>
      <c r="AA856" s="21">
        <f t="shared" si="751"/>
        <v>0</v>
      </c>
      <c r="AB856" s="21">
        <f t="shared" si="751"/>
        <v>0</v>
      </c>
      <c r="AC856" s="21">
        <f t="shared" si="751"/>
        <v>0</v>
      </c>
      <c r="AD856" s="21">
        <f t="shared" si="751"/>
        <v>0</v>
      </c>
      <c r="AE856" s="21">
        <f t="shared" si="751"/>
        <v>0</v>
      </c>
      <c r="AF856" s="1"/>
    </row>
    <row r="857" spans="2:32" x14ac:dyDescent="0.2">
      <c r="B857" s="24"/>
      <c r="C857" s="5" t="str">
        <f>CAPEX!C34</f>
        <v>Freight</v>
      </c>
      <c r="D857" s="20"/>
      <c r="E857" s="269">
        <f>CAPEX!M34/1000000</f>
        <v>0.86766031746031735</v>
      </c>
      <c r="F857" s="1" t="s">
        <v>55</v>
      </c>
      <c r="G857" s="21">
        <f t="shared" si="749"/>
        <v>0.86766031746031747</v>
      </c>
      <c r="I857" s="41">
        <f>SUMIF('Quarterly Plant Model'!$I$2:$V$2,'Plant model'!I$2,'Quarterly Plant Model'!$I857:$V857)</f>
        <v>8.6766031746031744E-2</v>
      </c>
      <c r="J857" s="41">
        <f>SUMIF('Quarterly Plant Model'!$I$2:$V$2,'Plant model'!J$2,'Quarterly Plant Model'!$I857:$V857)</f>
        <v>0.49890468253968251</v>
      </c>
      <c r="K857" s="41">
        <f>SUMIF('Quarterly Plant Model'!$I$2:$V$2,'Plant model'!K$2,'Quarterly Plant Model'!$I857:$V857)</f>
        <v>0.28198960317460314</v>
      </c>
      <c r="L857" s="41">
        <f>SUMIF('Quarterly Plant Model'!$I$2:$V$2,'Plant model'!L$2,'Quarterly Plant Model'!$I857:$V857)</f>
        <v>0</v>
      </c>
      <c r="M857" s="46">
        <f t="shared" si="750"/>
        <v>0</v>
      </c>
      <c r="N857" s="21">
        <f t="shared" si="750"/>
        <v>0</v>
      </c>
      <c r="O857" s="21">
        <f t="shared" si="750"/>
        <v>0</v>
      </c>
      <c r="P857" s="21">
        <f t="shared" si="750"/>
        <v>0</v>
      </c>
      <c r="Q857" s="21">
        <f t="shared" si="750"/>
        <v>0</v>
      </c>
      <c r="R857" s="21">
        <f t="shared" si="750"/>
        <v>0</v>
      </c>
      <c r="S857" s="21">
        <f t="shared" si="750"/>
        <v>0</v>
      </c>
      <c r="T857" s="21">
        <f t="shared" si="750"/>
        <v>0</v>
      </c>
      <c r="U857" s="21">
        <f t="shared" si="750"/>
        <v>0</v>
      </c>
      <c r="V857" s="21">
        <f t="shared" si="750"/>
        <v>0</v>
      </c>
      <c r="W857" s="21">
        <f t="shared" si="750"/>
        <v>0</v>
      </c>
      <c r="X857" s="21">
        <f t="shared" si="750"/>
        <v>0</v>
      </c>
      <c r="Y857" s="21">
        <f t="shared" si="750"/>
        <v>0</v>
      </c>
      <c r="Z857" s="21">
        <f t="shared" si="751"/>
        <v>0</v>
      </c>
      <c r="AA857" s="21">
        <f t="shared" si="751"/>
        <v>0</v>
      </c>
      <c r="AB857" s="21">
        <f t="shared" si="751"/>
        <v>0</v>
      </c>
      <c r="AC857" s="21">
        <f t="shared" si="751"/>
        <v>0</v>
      </c>
      <c r="AD857" s="21">
        <f t="shared" si="751"/>
        <v>0</v>
      </c>
      <c r="AE857" s="21">
        <f t="shared" si="751"/>
        <v>0</v>
      </c>
      <c r="AF857" s="1"/>
    </row>
    <row r="858" spans="2:32" x14ac:dyDescent="0.2">
      <c r="B858" s="24"/>
      <c r="C858" s="5" t="str">
        <f>CAPEX!C35</f>
        <v>Freight's Insurance</v>
      </c>
      <c r="D858" s="20"/>
      <c r="E858" s="269">
        <f>CAPEX!M35/1000000</f>
        <v>0</v>
      </c>
      <c r="F858" s="1" t="s">
        <v>55</v>
      </c>
      <c r="G858" s="21">
        <f t="shared" si="749"/>
        <v>0</v>
      </c>
      <c r="I858" s="41">
        <f>SUMIF('Quarterly Plant Model'!$I$2:$V$2,'Plant model'!I$2,'Quarterly Plant Model'!$I858:$V858)</f>
        <v>0</v>
      </c>
      <c r="J858" s="41">
        <f>SUMIF('Quarterly Plant Model'!$I$2:$V$2,'Plant model'!J$2,'Quarterly Plant Model'!$I858:$V858)</f>
        <v>0</v>
      </c>
      <c r="K858" s="41">
        <f>SUMIF('Quarterly Plant Model'!$I$2:$V$2,'Plant model'!K$2,'Quarterly Plant Model'!$I858:$V858)</f>
        <v>0</v>
      </c>
      <c r="L858" s="41">
        <f>SUMIF('Quarterly Plant Model'!$I$2:$V$2,'Plant model'!L$2,'Quarterly Plant Model'!$I858:$V858)</f>
        <v>0</v>
      </c>
      <c r="M858" s="46">
        <f t="shared" si="750"/>
        <v>0</v>
      </c>
      <c r="N858" s="21">
        <f t="shared" si="750"/>
        <v>0</v>
      </c>
      <c r="O858" s="21">
        <f t="shared" si="750"/>
        <v>0</v>
      </c>
      <c r="P858" s="21">
        <f t="shared" si="750"/>
        <v>0</v>
      </c>
      <c r="Q858" s="21">
        <f t="shared" si="750"/>
        <v>0</v>
      </c>
      <c r="R858" s="21">
        <f t="shared" si="750"/>
        <v>0</v>
      </c>
      <c r="S858" s="21">
        <f t="shared" si="750"/>
        <v>0</v>
      </c>
      <c r="T858" s="21">
        <f t="shared" si="750"/>
        <v>0</v>
      </c>
      <c r="U858" s="21">
        <f t="shared" si="750"/>
        <v>0</v>
      </c>
      <c r="V858" s="21">
        <f t="shared" si="750"/>
        <v>0</v>
      </c>
      <c r="W858" s="21">
        <f t="shared" si="750"/>
        <v>0</v>
      </c>
      <c r="X858" s="21">
        <f t="shared" si="750"/>
        <v>0</v>
      </c>
      <c r="Y858" s="21">
        <f t="shared" si="750"/>
        <v>0</v>
      </c>
      <c r="Z858" s="21">
        <f t="shared" si="751"/>
        <v>0</v>
      </c>
      <c r="AA858" s="21">
        <f t="shared" si="751"/>
        <v>0</v>
      </c>
      <c r="AB858" s="21">
        <f t="shared" si="751"/>
        <v>0</v>
      </c>
      <c r="AC858" s="21">
        <f t="shared" si="751"/>
        <v>0</v>
      </c>
      <c r="AD858" s="21">
        <f t="shared" si="751"/>
        <v>0</v>
      </c>
      <c r="AE858" s="21">
        <f t="shared" si="751"/>
        <v>0</v>
      </c>
      <c r="AF858" s="1"/>
    </row>
    <row r="859" spans="2:32" x14ac:dyDescent="0.2">
      <c r="B859" s="24"/>
      <c r="C859" s="5" t="str">
        <f>CAPEX!C36</f>
        <v>Vendor's Representative</v>
      </c>
      <c r="D859" s="20"/>
      <c r="E859" s="269">
        <f>CAPEX!M36/1000000</f>
        <v>0.24790317460317463</v>
      </c>
      <c r="F859" s="1" t="s">
        <v>55</v>
      </c>
      <c r="G859" s="21">
        <f t="shared" si="749"/>
        <v>0.24790317460317463</v>
      </c>
      <c r="I859" s="41">
        <f>SUMIF('Quarterly Plant Model'!$I$2:$V$2,'Plant model'!I$2,'Quarterly Plant Model'!$I859:$V859)</f>
        <v>2.4790317460317464E-2</v>
      </c>
      <c r="J859" s="41">
        <f>SUMIF('Quarterly Plant Model'!$I$2:$V$2,'Plant model'!J$2,'Quarterly Plant Model'!$I859:$V859)</f>
        <v>0.14254432539682541</v>
      </c>
      <c r="K859" s="41">
        <f>SUMIF('Quarterly Plant Model'!$I$2:$V$2,'Plant model'!K$2,'Quarterly Plant Model'!$I859:$V859)</f>
        <v>8.0568531746031749E-2</v>
      </c>
      <c r="L859" s="41">
        <f>SUMIF('Quarterly Plant Model'!$I$2:$V$2,'Plant model'!L$2,'Quarterly Plant Model'!$I859:$V859)</f>
        <v>0</v>
      </c>
      <c r="M859" s="46">
        <f t="shared" si="750"/>
        <v>0</v>
      </c>
      <c r="N859" s="21">
        <f t="shared" si="750"/>
        <v>0</v>
      </c>
      <c r="O859" s="21">
        <f t="shared" si="750"/>
        <v>0</v>
      </c>
      <c r="P859" s="21">
        <f t="shared" si="750"/>
        <v>0</v>
      </c>
      <c r="Q859" s="21">
        <f t="shared" si="750"/>
        <v>0</v>
      </c>
      <c r="R859" s="21">
        <f t="shared" si="750"/>
        <v>0</v>
      </c>
      <c r="S859" s="21">
        <f t="shared" si="750"/>
        <v>0</v>
      </c>
      <c r="T859" s="21">
        <f t="shared" si="750"/>
        <v>0</v>
      </c>
      <c r="U859" s="21">
        <f t="shared" si="750"/>
        <v>0</v>
      </c>
      <c r="V859" s="21">
        <f t="shared" si="750"/>
        <v>0</v>
      </c>
      <c r="W859" s="21">
        <f t="shared" si="750"/>
        <v>0</v>
      </c>
      <c r="X859" s="21">
        <f t="shared" si="750"/>
        <v>0</v>
      </c>
      <c r="Y859" s="21">
        <f t="shared" si="750"/>
        <v>0</v>
      </c>
      <c r="Z859" s="21">
        <f t="shared" si="751"/>
        <v>0</v>
      </c>
      <c r="AA859" s="21">
        <f t="shared" si="751"/>
        <v>0</v>
      </c>
      <c r="AB859" s="21">
        <f t="shared" si="751"/>
        <v>0</v>
      </c>
      <c r="AC859" s="21">
        <f t="shared" si="751"/>
        <v>0</v>
      </c>
      <c r="AD859" s="21">
        <f t="shared" si="751"/>
        <v>0</v>
      </c>
      <c r="AE859" s="21">
        <f t="shared" si="751"/>
        <v>0</v>
      </c>
      <c r="AF859" s="1"/>
    </row>
    <row r="860" spans="2:32" x14ac:dyDescent="0.2">
      <c r="B860" s="24"/>
      <c r="C860" s="5" t="str">
        <f>CAPEX!C37</f>
        <v>Initial First Fills and Oils</v>
      </c>
      <c r="D860" s="20"/>
      <c r="E860" s="269">
        <f>CAPEX!M37/1000000</f>
        <v>0</v>
      </c>
      <c r="F860" s="1" t="s">
        <v>55</v>
      </c>
      <c r="G860" s="21">
        <f t="shared" si="749"/>
        <v>0</v>
      </c>
      <c r="I860" s="41">
        <f>SUMIF('Quarterly Plant Model'!$I$2:$V$2,'Plant model'!I$2,'Quarterly Plant Model'!$I860:$V860)</f>
        <v>0</v>
      </c>
      <c r="J860" s="41">
        <f>SUMIF('Quarterly Plant Model'!$I$2:$V$2,'Plant model'!J$2,'Quarterly Plant Model'!$I860:$V860)</f>
        <v>0</v>
      </c>
      <c r="K860" s="41">
        <f>SUMIF('Quarterly Plant Model'!$I$2:$V$2,'Plant model'!K$2,'Quarterly Plant Model'!$I860:$V860)</f>
        <v>0</v>
      </c>
      <c r="L860" s="41">
        <f>SUMIF('Quarterly Plant Model'!$I$2:$V$2,'Plant model'!L$2,'Quarterly Plant Model'!$I860:$V860)</f>
        <v>0</v>
      </c>
      <c r="M860" s="46">
        <f t="shared" si="750"/>
        <v>0</v>
      </c>
      <c r="N860" s="21">
        <f t="shared" si="750"/>
        <v>0</v>
      </c>
      <c r="O860" s="21">
        <f t="shared" si="750"/>
        <v>0</v>
      </c>
      <c r="P860" s="21">
        <f t="shared" si="750"/>
        <v>0</v>
      </c>
      <c r="Q860" s="21">
        <f t="shared" si="750"/>
        <v>0</v>
      </c>
      <c r="R860" s="21">
        <f t="shared" si="750"/>
        <v>0</v>
      </c>
      <c r="S860" s="21">
        <f t="shared" si="750"/>
        <v>0</v>
      </c>
      <c r="T860" s="21">
        <f t="shared" si="750"/>
        <v>0</v>
      </c>
      <c r="U860" s="21">
        <f t="shared" si="750"/>
        <v>0</v>
      </c>
      <c r="V860" s="21">
        <f t="shared" si="750"/>
        <v>0</v>
      </c>
      <c r="W860" s="21">
        <f t="shared" si="750"/>
        <v>0</v>
      </c>
      <c r="X860" s="21">
        <f t="shared" si="750"/>
        <v>0</v>
      </c>
      <c r="Y860" s="21">
        <f t="shared" si="750"/>
        <v>0</v>
      </c>
      <c r="Z860" s="21">
        <f t="shared" si="751"/>
        <v>0</v>
      </c>
      <c r="AA860" s="21">
        <f t="shared" si="751"/>
        <v>0</v>
      </c>
      <c r="AB860" s="21">
        <f t="shared" si="751"/>
        <v>0</v>
      </c>
      <c r="AC860" s="21">
        <f t="shared" si="751"/>
        <v>0</v>
      </c>
      <c r="AD860" s="21">
        <f t="shared" si="751"/>
        <v>0</v>
      </c>
      <c r="AE860" s="21">
        <f t="shared" si="751"/>
        <v>0</v>
      </c>
      <c r="AF860" s="1"/>
    </row>
    <row r="861" spans="2:32" x14ac:dyDescent="0.2">
      <c r="B861" s="24"/>
      <c r="C861" s="5" t="str">
        <f>CAPEX!C38</f>
        <v>Commissionning Spares</v>
      </c>
      <c r="D861" s="20"/>
      <c r="E861" s="269">
        <f>CAPEX!M38/1000000</f>
        <v>6.1975396825396829E-2</v>
      </c>
      <c r="F861" s="1" t="s">
        <v>55</v>
      </c>
      <c r="G861" s="21">
        <f t="shared" si="749"/>
        <v>6.1975396825396836E-2</v>
      </c>
      <c r="I861" s="41">
        <f>SUMIF('Quarterly Plant Model'!$I$2:$V$2,'Plant model'!I$2,'Quarterly Plant Model'!$I861:$V861)</f>
        <v>6.1975396825396829E-3</v>
      </c>
      <c r="J861" s="41">
        <f>SUMIF('Quarterly Plant Model'!$I$2:$V$2,'Plant model'!J$2,'Quarterly Plant Model'!$I861:$V861)</f>
        <v>3.5635853174603181E-2</v>
      </c>
      <c r="K861" s="41">
        <f>SUMIF('Quarterly Plant Model'!$I$2:$V$2,'Plant model'!K$2,'Quarterly Plant Model'!$I861:$V861)</f>
        <v>2.0142003968253969E-2</v>
      </c>
      <c r="L861" s="41">
        <f>SUMIF('Quarterly Plant Model'!$I$2:$V$2,'Plant model'!L$2,'Quarterly Plant Model'!$I861:$V861)</f>
        <v>0</v>
      </c>
      <c r="M861" s="46">
        <f t="shared" si="750"/>
        <v>0</v>
      </c>
      <c r="N861" s="21">
        <f t="shared" si="750"/>
        <v>0</v>
      </c>
      <c r="O861" s="21">
        <f t="shared" si="750"/>
        <v>0</v>
      </c>
      <c r="P861" s="21">
        <f t="shared" si="750"/>
        <v>0</v>
      </c>
      <c r="Q861" s="21">
        <f t="shared" si="750"/>
        <v>0</v>
      </c>
      <c r="R861" s="21">
        <f t="shared" si="750"/>
        <v>0</v>
      </c>
      <c r="S861" s="21">
        <f t="shared" si="750"/>
        <v>0</v>
      </c>
      <c r="T861" s="21">
        <f t="shared" si="750"/>
        <v>0</v>
      </c>
      <c r="U861" s="21">
        <f t="shared" si="750"/>
        <v>0</v>
      </c>
      <c r="V861" s="21">
        <f t="shared" si="750"/>
        <v>0</v>
      </c>
      <c r="W861" s="21">
        <f t="shared" si="750"/>
        <v>0</v>
      </c>
      <c r="X861" s="21">
        <f t="shared" si="750"/>
        <v>0</v>
      </c>
      <c r="Y861" s="21">
        <f t="shared" si="750"/>
        <v>0</v>
      </c>
      <c r="Z861" s="21">
        <f t="shared" si="751"/>
        <v>0</v>
      </c>
      <c r="AA861" s="21">
        <f t="shared" si="751"/>
        <v>0</v>
      </c>
      <c r="AB861" s="21">
        <f t="shared" si="751"/>
        <v>0</v>
      </c>
      <c r="AC861" s="21">
        <f t="shared" si="751"/>
        <v>0</v>
      </c>
      <c r="AD861" s="21">
        <f t="shared" si="751"/>
        <v>0</v>
      </c>
      <c r="AE861" s="21">
        <f t="shared" si="751"/>
        <v>0</v>
      </c>
      <c r="AF861" s="1"/>
    </row>
    <row r="862" spans="2:32" x14ac:dyDescent="0.2">
      <c r="B862" s="24"/>
      <c r="C862" s="5" t="str">
        <f>CAPEX!C39</f>
        <v>Capital Spares</v>
      </c>
      <c r="D862" s="20"/>
      <c r="E862" s="269">
        <f>CAPEX!M39/1000000</f>
        <v>0.37185476190476191</v>
      </c>
      <c r="F862" s="1" t="s">
        <v>55</v>
      </c>
      <c r="G862" s="21">
        <f t="shared" si="749"/>
        <v>0.37185476190476191</v>
      </c>
      <c r="I862" s="41">
        <f>SUMIF('Quarterly Plant Model'!$I$2:$V$2,'Plant model'!I$2,'Quarterly Plant Model'!$I862:$V862)</f>
        <v>3.7185476190476192E-2</v>
      </c>
      <c r="J862" s="41">
        <f>SUMIF('Quarterly Plant Model'!$I$2:$V$2,'Plant model'!J$2,'Quarterly Plant Model'!$I862:$V862)</f>
        <v>0.21381648809523809</v>
      </c>
      <c r="K862" s="41">
        <f>SUMIF('Quarterly Plant Model'!$I$2:$V$2,'Plant model'!K$2,'Quarterly Plant Model'!$I862:$V862)</f>
        <v>0.12085279761904762</v>
      </c>
      <c r="L862" s="41">
        <f>SUMIF('Quarterly Plant Model'!$I$2:$V$2,'Plant model'!L$2,'Quarterly Plant Model'!$I862:$V862)</f>
        <v>0</v>
      </c>
      <c r="M862" s="46">
        <f t="shared" si="750"/>
        <v>0</v>
      </c>
      <c r="N862" s="21">
        <f t="shared" si="750"/>
        <v>0</v>
      </c>
      <c r="O862" s="21">
        <f t="shared" si="750"/>
        <v>0</v>
      </c>
      <c r="P862" s="21">
        <f t="shared" si="750"/>
        <v>0</v>
      </c>
      <c r="Q862" s="21">
        <f t="shared" si="750"/>
        <v>0</v>
      </c>
      <c r="R862" s="21">
        <f t="shared" si="750"/>
        <v>0</v>
      </c>
      <c r="S862" s="21">
        <f t="shared" si="750"/>
        <v>0</v>
      </c>
      <c r="T862" s="21">
        <f t="shared" si="750"/>
        <v>0</v>
      </c>
      <c r="U862" s="21">
        <f t="shared" si="750"/>
        <v>0</v>
      </c>
      <c r="V862" s="21">
        <f t="shared" si="750"/>
        <v>0</v>
      </c>
      <c r="W862" s="21">
        <f t="shared" si="750"/>
        <v>0</v>
      </c>
      <c r="X862" s="21">
        <f t="shared" si="750"/>
        <v>0</v>
      </c>
      <c r="Y862" s="21">
        <f t="shared" si="750"/>
        <v>0</v>
      </c>
      <c r="Z862" s="21">
        <f t="shared" si="751"/>
        <v>0</v>
      </c>
      <c r="AA862" s="21">
        <f t="shared" si="751"/>
        <v>0</v>
      </c>
      <c r="AB862" s="21">
        <f t="shared" si="751"/>
        <v>0</v>
      </c>
      <c r="AC862" s="21">
        <f t="shared" si="751"/>
        <v>0</v>
      </c>
      <c r="AD862" s="21">
        <f t="shared" si="751"/>
        <v>0</v>
      </c>
      <c r="AE862" s="21">
        <f t="shared" si="751"/>
        <v>0</v>
      </c>
      <c r="AF862" s="1"/>
    </row>
    <row r="863" spans="2:32" x14ac:dyDescent="0.2">
      <c r="B863" s="24"/>
      <c r="C863" s="5" t="str">
        <f>CAPEX!C40</f>
        <v>Operating Spares (2 years)</v>
      </c>
      <c r="D863" s="20"/>
      <c r="E863" s="269">
        <f>CAPEX!M40/1000000</f>
        <v>0</v>
      </c>
      <c r="F863" s="1" t="s">
        <v>55</v>
      </c>
      <c r="G863" s="21">
        <f t="shared" si="749"/>
        <v>0</v>
      </c>
      <c r="I863" s="41">
        <f>SUMIF('Quarterly Plant Model'!$I$2:$V$2,'Plant model'!I$2,'Quarterly Plant Model'!$I863:$V863)</f>
        <v>0</v>
      </c>
      <c r="J863" s="41">
        <f>SUMIF('Quarterly Plant Model'!$I$2:$V$2,'Plant model'!J$2,'Quarterly Plant Model'!$I863:$V863)</f>
        <v>0</v>
      </c>
      <c r="K863" s="41">
        <f>SUMIF('Quarterly Plant Model'!$I$2:$V$2,'Plant model'!K$2,'Quarterly Plant Model'!$I863:$V863)</f>
        <v>0</v>
      </c>
      <c r="L863" s="41">
        <f>SUMIF('Quarterly Plant Model'!$I$2:$V$2,'Plant model'!L$2,'Quarterly Plant Model'!$I863:$V863)</f>
        <v>0</v>
      </c>
      <c r="M863" s="46">
        <f t="shared" si="750"/>
        <v>0</v>
      </c>
      <c r="N863" s="21">
        <f t="shared" si="750"/>
        <v>0</v>
      </c>
      <c r="O863" s="21">
        <f t="shared" si="750"/>
        <v>0</v>
      </c>
      <c r="P863" s="21">
        <f t="shared" si="750"/>
        <v>0</v>
      </c>
      <c r="Q863" s="21">
        <f t="shared" si="750"/>
        <v>0</v>
      </c>
      <c r="R863" s="21">
        <f t="shared" si="750"/>
        <v>0</v>
      </c>
      <c r="S863" s="21">
        <f t="shared" si="750"/>
        <v>0</v>
      </c>
      <c r="T863" s="21">
        <f t="shared" si="750"/>
        <v>0</v>
      </c>
      <c r="U863" s="21">
        <f t="shared" si="750"/>
        <v>0</v>
      </c>
      <c r="V863" s="21">
        <f t="shared" si="750"/>
        <v>0</v>
      </c>
      <c r="W863" s="21">
        <f t="shared" si="750"/>
        <v>0</v>
      </c>
      <c r="X863" s="21">
        <f t="shared" si="750"/>
        <v>0</v>
      </c>
      <c r="Y863" s="21">
        <f t="shared" si="750"/>
        <v>0</v>
      </c>
      <c r="Z863" s="21">
        <f t="shared" si="751"/>
        <v>0</v>
      </c>
      <c r="AA863" s="21">
        <f t="shared" si="751"/>
        <v>0</v>
      </c>
      <c r="AB863" s="21">
        <f t="shared" si="751"/>
        <v>0</v>
      </c>
      <c r="AC863" s="21">
        <f t="shared" si="751"/>
        <v>0</v>
      </c>
      <c r="AD863" s="21">
        <f t="shared" si="751"/>
        <v>0</v>
      </c>
      <c r="AE863" s="21">
        <f t="shared" si="751"/>
        <v>0</v>
      </c>
      <c r="AF863" s="1"/>
    </row>
    <row r="864" spans="2:32" x14ac:dyDescent="0.2">
      <c r="B864" s="24"/>
      <c r="C864" s="5" t="str">
        <f>CAPEX!C41</f>
        <v>Pre-Commissioning Support (Trades assistance by sub-cont.)</v>
      </c>
      <c r="D864" s="20"/>
      <c r="E864" s="269">
        <f>CAPEX!M41/1000000</f>
        <v>1.412857142857143</v>
      </c>
      <c r="F864" s="1" t="s">
        <v>55</v>
      </c>
      <c r="G864" s="21">
        <f>SUM(I864:AE864)</f>
        <v>1.412857142857143</v>
      </c>
      <c r="I864" s="41">
        <f>SUMIF('Quarterly Plant Model'!$I$2:$V$2,'Plant model'!I$2,'Quarterly Plant Model'!$I864:$V864)</f>
        <v>0.14128571428571432</v>
      </c>
      <c r="J864" s="41">
        <f>SUMIF('Quarterly Plant Model'!$I$2:$V$2,'Plant model'!J$2,'Quarterly Plant Model'!$I864:$V864)</f>
        <v>0.81239285714285725</v>
      </c>
      <c r="K864" s="41">
        <f>SUMIF('Quarterly Plant Model'!$I$2:$V$2,'Plant model'!K$2,'Quarterly Plant Model'!$I864:$V864)</f>
        <v>0.45917857142857149</v>
      </c>
      <c r="L864" s="41">
        <f>SUMIF('Quarterly Plant Model'!$I$2:$V$2,'Plant model'!L$2,'Quarterly Plant Model'!$I864:$V864)</f>
        <v>0</v>
      </c>
      <c r="M864" s="46">
        <f t="shared" ref="M864:Y864" si="752">$E864*M$830</f>
        <v>0</v>
      </c>
      <c r="N864" s="21">
        <f t="shared" si="752"/>
        <v>0</v>
      </c>
      <c r="O864" s="21">
        <f t="shared" si="752"/>
        <v>0</v>
      </c>
      <c r="P864" s="21">
        <f t="shared" si="752"/>
        <v>0</v>
      </c>
      <c r="Q864" s="21">
        <f t="shared" si="752"/>
        <v>0</v>
      </c>
      <c r="R864" s="21">
        <f t="shared" si="752"/>
        <v>0</v>
      </c>
      <c r="S864" s="21">
        <f t="shared" si="752"/>
        <v>0</v>
      </c>
      <c r="T864" s="21">
        <f t="shared" si="752"/>
        <v>0</v>
      </c>
      <c r="U864" s="21">
        <f t="shared" si="752"/>
        <v>0</v>
      </c>
      <c r="V864" s="21">
        <f t="shared" si="752"/>
        <v>0</v>
      </c>
      <c r="W864" s="21">
        <f t="shared" si="752"/>
        <v>0</v>
      </c>
      <c r="X864" s="21">
        <f t="shared" si="752"/>
        <v>0</v>
      </c>
      <c r="Y864" s="21">
        <f t="shared" si="752"/>
        <v>0</v>
      </c>
      <c r="Z864" s="21">
        <f t="shared" ref="Z864:AE864" si="753">$E864*Z$830</f>
        <v>0</v>
      </c>
      <c r="AA864" s="21">
        <f t="shared" si="753"/>
        <v>0</v>
      </c>
      <c r="AB864" s="21">
        <f t="shared" si="753"/>
        <v>0</v>
      </c>
      <c r="AC864" s="21">
        <f t="shared" si="753"/>
        <v>0</v>
      </c>
      <c r="AD864" s="21">
        <f t="shared" si="753"/>
        <v>0</v>
      </c>
      <c r="AE864" s="21">
        <f t="shared" si="753"/>
        <v>0</v>
      </c>
      <c r="AF864" s="1"/>
    </row>
    <row r="865" spans="2:32" x14ac:dyDescent="0.2">
      <c r="B865" s="24"/>
      <c r="C865" s="20" t="s">
        <v>45</v>
      </c>
      <c r="D865" s="20"/>
      <c r="E865" s="270">
        <f>SUM(E849:E864)</f>
        <v>48.672732428536477</v>
      </c>
      <c r="F865" s="9" t="s">
        <v>55</v>
      </c>
      <c r="G865" s="44">
        <f>SUM(I865:AE865)</f>
        <v>48.672732428536477</v>
      </c>
      <c r="I865" s="535">
        <f>SUMIF('Quarterly Plant Model'!$I$2:$V$2,'Plant model'!I$2,'Quarterly Plant Model'!$I865:$V865)</f>
        <v>4.8672732428536483</v>
      </c>
      <c r="J865" s="535">
        <f>SUMIF('Quarterly Plant Model'!$I$2:$V$2,'Plant model'!J$2,'Quarterly Plant Model'!$I865:$V865)</f>
        <v>27.986821146408474</v>
      </c>
      <c r="K865" s="535">
        <f>SUMIF('Quarterly Plant Model'!$I$2:$V$2,'Plant model'!K$2,'Quarterly Plant Model'!$I865:$V865)</f>
        <v>15.818638039274356</v>
      </c>
      <c r="L865" s="535">
        <f>SUMIF('Quarterly Plant Model'!$I$2:$V$2,'Plant model'!L$2,'Quarterly Plant Model'!$I865:$V865)</f>
        <v>0</v>
      </c>
      <c r="M865" s="536">
        <f t="shared" ref="M865:AE865" si="754">SUM(M849:M864)</f>
        <v>0</v>
      </c>
      <c r="N865" s="44">
        <f t="shared" si="754"/>
        <v>0</v>
      </c>
      <c r="O865" s="44">
        <f t="shared" si="754"/>
        <v>0</v>
      </c>
      <c r="P865" s="44">
        <f t="shared" si="754"/>
        <v>0</v>
      </c>
      <c r="Q865" s="44">
        <f t="shared" si="754"/>
        <v>0</v>
      </c>
      <c r="R865" s="44">
        <f t="shared" si="754"/>
        <v>0</v>
      </c>
      <c r="S865" s="44">
        <f t="shared" si="754"/>
        <v>0</v>
      </c>
      <c r="T865" s="44">
        <f t="shared" si="754"/>
        <v>0</v>
      </c>
      <c r="U865" s="44">
        <f t="shared" si="754"/>
        <v>0</v>
      </c>
      <c r="V865" s="44">
        <f t="shared" si="754"/>
        <v>0</v>
      </c>
      <c r="W865" s="44">
        <f t="shared" si="754"/>
        <v>0</v>
      </c>
      <c r="X865" s="44">
        <f t="shared" si="754"/>
        <v>0</v>
      </c>
      <c r="Y865" s="44">
        <f t="shared" si="754"/>
        <v>0</v>
      </c>
      <c r="Z865" s="44">
        <f t="shared" si="754"/>
        <v>0</v>
      </c>
      <c r="AA865" s="44">
        <f t="shared" si="754"/>
        <v>0</v>
      </c>
      <c r="AB865" s="44">
        <f t="shared" si="754"/>
        <v>0</v>
      </c>
      <c r="AC865" s="44">
        <f t="shared" si="754"/>
        <v>0</v>
      </c>
      <c r="AD865" s="44">
        <f t="shared" si="754"/>
        <v>0</v>
      </c>
      <c r="AE865" s="44">
        <f t="shared" si="754"/>
        <v>0</v>
      </c>
      <c r="AF865" s="1"/>
    </row>
    <row r="866" spans="2:32" x14ac:dyDescent="0.2">
      <c r="B866" s="24"/>
      <c r="C866" s="20"/>
      <c r="D866" s="20"/>
      <c r="AF866" s="1"/>
    </row>
    <row r="867" spans="2:32" x14ac:dyDescent="0.2">
      <c r="B867" s="24"/>
      <c r="C867" s="20" t="s">
        <v>964</v>
      </c>
      <c r="D867" s="20"/>
      <c r="G867" s="21">
        <f>SUM(I867:AE867)</f>
        <v>0</v>
      </c>
      <c r="I867" s="41">
        <f>SUMIF('Quarterly Plant Model'!$I$2:$V$2,'Plant model'!I$2,'Quarterly Plant Model'!$I867:$V867)</f>
        <v>0</v>
      </c>
      <c r="J867" s="41">
        <f>SUMIF('Quarterly Plant Model'!$I$2:$V$2,'Plant model'!J$2,'Quarterly Plant Model'!$I867:$V867)</f>
        <v>0</v>
      </c>
      <c r="K867" s="41">
        <f>SUMIF('Quarterly Plant Model'!$I$2:$V$2,'Plant model'!K$2,'Quarterly Plant Model'!$I867:$V867)</f>
        <v>0</v>
      </c>
      <c r="L867" s="41">
        <f>SUMIF('Quarterly Plant Model'!$I$2:$V$2,'Plant model'!L$2,'Quarterly Plant Model'!$I867:$V867)</f>
        <v>0</v>
      </c>
      <c r="M867" s="534">
        <v>0</v>
      </c>
      <c r="N867" s="50">
        <v>0</v>
      </c>
      <c r="O867" s="50">
        <v>0</v>
      </c>
      <c r="P867" s="50">
        <v>0</v>
      </c>
      <c r="Q867" s="50">
        <v>0</v>
      </c>
      <c r="R867" s="50">
        <v>0</v>
      </c>
      <c r="S867" s="50">
        <v>0</v>
      </c>
      <c r="T867" s="50">
        <v>0</v>
      </c>
      <c r="U867" s="50">
        <v>0</v>
      </c>
      <c r="V867" s="50">
        <v>0</v>
      </c>
      <c r="W867" s="50">
        <v>0</v>
      </c>
      <c r="X867" s="50">
        <v>0</v>
      </c>
      <c r="Y867" s="50">
        <v>0</v>
      </c>
      <c r="Z867" s="50">
        <v>0</v>
      </c>
      <c r="AA867" s="50">
        <v>0</v>
      </c>
      <c r="AB867" s="50">
        <v>0</v>
      </c>
      <c r="AC867" s="50">
        <v>0</v>
      </c>
      <c r="AD867" s="50">
        <v>0</v>
      </c>
      <c r="AE867" s="50">
        <v>0</v>
      </c>
      <c r="AF867" s="1"/>
    </row>
    <row r="868" spans="2:32" x14ac:dyDescent="0.2">
      <c r="B868" s="24"/>
      <c r="C868" s="20"/>
      <c r="D868" s="20"/>
      <c r="AF868" s="1"/>
    </row>
    <row r="869" spans="2:32" x14ac:dyDescent="0.2">
      <c r="B869" s="24"/>
      <c r="C869" s="20" t="s">
        <v>336</v>
      </c>
      <c r="D869" s="387">
        <f>CAPEX!E42</f>
        <v>8.5000000000000006E-2</v>
      </c>
      <c r="E869" s="269">
        <f>CAPEX!M42/1000000</f>
        <v>37.273000000000003</v>
      </c>
      <c r="F869" s="20" t="s">
        <v>55</v>
      </c>
      <c r="G869" s="44">
        <f>SUM(I869:AE869)</f>
        <v>37.273000000000003</v>
      </c>
      <c r="H869" s="5"/>
      <c r="I869" s="535">
        <f>SUMIF('Quarterly Plant Model'!$I$2:$V$2,'Plant model'!I$2,'Quarterly Plant Model'!$I869:$V869)</f>
        <v>3.7273000000000005</v>
      </c>
      <c r="J869" s="535">
        <f>SUMIF('Quarterly Plant Model'!$I$2:$V$2,'Plant model'!J$2,'Quarterly Plant Model'!$I869:$V869)</f>
        <v>21.431975000000001</v>
      </c>
      <c r="K869" s="535">
        <f>SUMIF('Quarterly Plant Model'!$I$2:$V$2,'Plant model'!K$2,'Quarterly Plant Model'!$I869:$V869)</f>
        <v>12.113725000000001</v>
      </c>
      <c r="L869" s="535">
        <f>SUMIF('Quarterly Plant Model'!$I$2:$V$2,'Plant model'!L$2,'Quarterly Plant Model'!$I869:$V869)</f>
        <v>0</v>
      </c>
      <c r="M869" s="536">
        <f t="shared" ref="M869:AE869" si="755">$E$869*M830</f>
        <v>0</v>
      </c>
      <c r="N869" s="44">
        <f t="shared" si="755"/>
        <v>0</v>
      </c>
      <c r="O869" s="44">
        <f t="shared" si="755"/>
        <v>0</v>
      </c>
      <c r="P869" s="44">
        <f t="shared" si="755"/>
        <v>0</v>
      </c>
      <c r="Q869" s="44">
        <f t="shared" si="755"/>
        <v>0</v>
      </c>
      <c r="R869" s="44">
        <f t="shared" si="755"/>
        <v>0</v>
      </c>
      <c r="S869" s="44">
        <f t="shared" si="755"/>
        <v>0</v>
      </c>
      <c r="T869" s="44">
        <f t="shared" si="755"/>
        <v>0</v>
      </c>
      <c r="U869" s="44">
        <f t="shared" si="755"/>
        <v>0</v>
      </c>
      <c r="V869" s="44">
        <f t="shared" si="755"/>
        <v>0</v>
      </c>
      <c r="W869" s="44">
        <f t="shared" si="755"/>
        <v>0</v>
      </c>
      <c r="X869" s="44">
        <f t="shared" si="755"/>
        <v>0</v>
      </c>
      <c r="Y869" s="44">
        <f t="shared" si="755"/>
        <v>0</v>
      </c>
      <c r="Z869" s="44">
        <f t="shared" si="755"/>
        <v>0</v>
      </c>
      <c r="AA869" s="44">
        <f t="shared" si="755"/>
        <v>0</v>
      </c>
      <c r="AB869" s="44">
        <f t="shared" si="755"/>
        <v>0</v>
      </c>
      <c r="AC869" s="44">
        <f t="shared" si="755"/>
        <v>0</v>
      </c>
      <c r="AD869" s="44">
        <f t="shared" si="755"/>
        <v>0</v>
      </c>
      <c r="AE869" s="44">
        <f t="shared" si="755"/>
        <v>0</v>
      </c>
      <c r="AF869" s="1"/>
    </row>
    <row r="870" spans="2:32" x14ac:dyDescent="0.2">
      <c r="B870" s="24"/>
      <c r="C870" s="20"/>
      <c r="D870" s="20"/>
      <c r="AF870" s="1"/>
    </row>
    <row r="871" spans="2:32" x14ac:dyDescent="0.2">
      <c r="B871" s="24"/>
      <c r="C871" s="20" t="s">
        <v>638</v>
      </c>
      <c r="D871" s="387">
        <f>(CAPEX!E52/CAPEX!D52-1)*CAPEX!F52</f>
        <v>-2.1449999999999986E-2</v>
      </c>
      <c r="E871" s="269">
        <f>CAPEX!G52</f>
        <v>-10.205513226288618</v>
      </c>
      <c r="F871" s="20" t="s">
        <v>55</v>
      </c>
      <c r="G871" s="44">
        <f>SUM(I871:AE871)</f>
        <v>-10.205513226288618</v>
      </c>
      <c r="I871" s="535">
        <f>SUMIF('Quarterly Plant Model'!$I$2:$V$2,'Plant model'!I$2,'Quarterly Plant Model'!$I871:$V871)</f>
        <v>-1.0205513226288618</v>
      </c>
      <c r="J871" s="535">
        <f>SUMIF('Quarterly Plant Model'!$I$2:$V$2,'Plant model'!J$2,'Quarterly Plant Model'!$I871:$V871)</f>
        <v>-5.8681701051159552</v>
      </c>
      <c r="K871" s="535">
        <f>SUMIF('Quarterly Plant Model'!$I$2:$V$2,'Plant model'!K$2,'Quarterly Plant Model'!$I871:$V871)</f>
        <v>-3.3167917985438007</v>
      </c>
      <c r="L871" s="535">
        <f>SUMIF('Quarterly Plant Model'!$I$2:$V$2,'Plant model'!L$2,'Quarterly Plant Model'!$I871:$V871)</f>
        <v>0</v>
      </c>
      <c r="M871" s="536">
        <f t="shared" ref="M871:AE871" si="756">$E$871*M830</f>
        <v>0</v>
      </c>
      <c r="N871" s="44">
        <f t="shared" si="756"/>
        <v>0</v>
      </c>
      <c r="O871" s="44">
        <f t="shared" si="756"/>
        <v>0</v>
      </c>
      <c r="P871" s="44">
        <f t="shared" si="756"/>
        <v>0</v>
      </c>
      <c r="Q871" s="44">
        <f t="shared" si="756"/>
        <v>0</v>
      </c>
      <c r="R871" s="44">
        <f t="shared" si="756"/>
        <v>0</v>
      </c>
      <c r="S871" s="44">
        <f t="shared" si="756"/>
        <v>0</v>
      </c>
      <c r="T871" s="44">
        <f t="shared" si="756"/>
        <v>0</v>
      </c>
      <c r="U871" s="44">
        <f t="shared" si="756"/>
        <v>0</v>
      </c>
      <c r="V871" s="44">
        <f t="shared" si="756"/>
        <v>0</v>
      </c>
      <c r="W871" s="44">
        <f t="shared" si="756"/>
        <v>0</v>
      </c>
      <c r="X871" s="44">
        <f t="shared" si="756"/>
        <v>0</v>
      </c>
      <c r="Y871" s="44">
        <f t="shared" si="756"/>
        <v>0</v>
      </c>
      <c r="Z871" s="44">
        <f t="shared" si="756"/>
        <v>0</v>
      </c>
      <c r="AA871" s="44">
        <f t="shared" si="756"/>
        <v>0</v>
      </c>
      <c r="AB871" s="44">
        <f t="shared" si="756"/>
        <v>0</v>
      </c>
      <c r="AC871" s="44">
        <f t="shared" si="756"/>
        <v>0</v>
      </c>
      <c r="AD871" s="44">
        <f t="shared" si="756"/>
        <v>0</v>
      </c>
      <c r="AE871" s="44">
        <f t="shared" si="756"/>
        <v>0</v>
      </c>
      <c r="AF871" s="1"/>
    </row>
    <row r="872" spans="2:32" x14ac:dyDescent="0.2">
      <c r="B872" s="24"/>
      <c r="C872" s="20"/>
      <c r="D872" s="20"/>
      <c r="AF872" s="1"/>
    </row>
    <row r="873" spans="2:32" x14ac:dyDescent="0.2">
      <c r="C873" s="20" t="s">
        <v>80</v>
      </c>
      <c r="D873" s="268">
        <f>$E$85</f>
        <v>1</v>
      </c>
      <c r="E873" s="55"/>
      <c r="F873" s="9" t="s">
        <v>55</v>
      </c>
      <c r="G873" s="44">
        <f>SUM(I873:AE873)</f>
        <v>465.57598916478935</v>
      </c>
      <c r="I873" s="535">
        <f>SUMIF('Quarterly Plant Model'!$I$2:$V$2,'Plant model'!I$2,'Quarterly Plant Model'!$I873:$V873)</f>
        <v>46.557598916478945</v>
      </c>
      <c r="J873" s="535">
        <f>SUMIF('Quarterly Plant Model'!$I$2:$V$2,'Plant model'!J$2,'Quarterly Plant Model'!$I873:$V873)</f>
        <v>267.7061937697539</v>
      </c>
      <c r="K873" s="535">
        <f>SUMIF('Quarterly Plant Model'!$I$2:$V$2,'Plant model'!K$2,'Quarterly Plant Model'!$I873:$V873)</f>
        <v>151.31219647855653</v>
      </c>
      <c r="L873" s="535">
        <f>SUMIF('Quarterly Plant Model'!$I$2:$V$2,'Plant model'!L$2,'Quarterly Plant Model'!$I873:$V873)</f>
        <v>0</v>
      </c>
      <c r="M873" s="536">
        <f>(M845+M865+M869+M871)*$E$85+M867</f>
        <v>0</v>
      </c>
      <c r="N873" s="44">
        <f t="shared" ref="N873:AE873" si="757">(N845+N865+N869+N871)*$E$85+N867</f>
        <v>0</v>
      </c>
      <c r="O873" s="44">
        <f t="shared" si="757"/>
        <v>0</v>
      </c>
      <c r="P873" s="44">
        <f t="shared" si="757"/>
        <v>0</v>
      </c>
      <c r="Q873" s="44">
        <f t="shared" si="757"/>
        <v>0</v>
      </c>
      <c r="R873" s="44">
        <f t="shared" si="757"/>
        <v>0</v>
      </c>
      <c r="S873" s="44">
        <f t="shared" si="757"/>
        <v>0</v>
      </c>
      <c r="T873" s="44">
        <f t="shared" si="757"/>
        <v>0</v>
      </c>
      <c r="U873" s="44">
        <f t="shared" si="757"/>
        <v>0</v>
      </c>
      <c r="V873" s="44">
        <f t="shared" si="757"/>
        <v>0</v>
      </c>
      <c r="W873" s="44">
        <f t="shared" si="757"/>
        <v>0</v>
      </c>
      <c r="X873" s="44">
        <f t="shared" si="757"/>
        <v>0</v>
      </c>
      <c r="Y873" s="44">
        <f t="shared" si="757"/>
        <v>0</v>
      </c>
      <c r="Z873" s="44">
        <f t="shared" si="757"/>
        <v>0</v>
      </c>
      <c r="AA873" s="44">
        <f t="shared" si="757"/>
        <v>0</v>
      </c>
      <c r="AB873" s="44">
        <f t="shared" si="757"/>
        <v>0</v>
      </c>
      <c r="AC873" s="44">
        <f t="shared" si="757"/>
        <v>0</v>
      </c>
      <c r="AD873" s="44">
        <f t="shared" si="757"/>
        <v>0</v>
      </c>
      <c r="AE873" s="44">
        <f t="shared" si="757"/>
        <v>0</v>
      </c>
      <c r="AF873" s="1"/>
    </row>
    <row r="874" spans="2:32" x14ac:dyDescent="0.2">
      <c r="B874" s="24"/>
      <c r="C874" s="20"/>
      <c r="D874" s="20"/>
      <c r="AF874" s="1"/>
    </row>
    <row r="875" spans="2:32" x14ac:dyDescent="0.2">
      <c r="B875" s="24">
        <f>B813+0.01</f>
        <v>7.1199999999999992</v>
      </c>
      <c r="C875" s="20" t="s">
        <v>81</v>
      </c>
      <c r="D875" s="20"/>
      <c r="E875" s="21"/>
      <c r="H875" s="21"/>
      <c r="AF875" s="1"/>
    </row>
    <row r="876" spans="2:32" x14ac:dyDescent="0.2">
      <c r="B876" s="34"/>
      <c r="C876" s="5"/>
      <c r="E876" s="11"/>
      <c r="AF876" s="1"/>
    </row>
    <row r="877" spans="2:32" x14ac:dyDescent="0.2">
      <c r="B877" s="34"/>
      <c r="C877" s="1" t="s">
        <v>82</v>
      </c>
      <c r="E877" s="97">
        <v>0</v>
      </c>
      <c r="F877" s="1" t="s">
        <v>55</v>
      </c>
      <c r="G877" s="21">
        <f t="shared" ref="G877:G884" si="758">SUM(I877:AE877)</f>
        <v>0</v>
      </c>
      <c r="I877" s="41">
        <f>SUMIF('Quarterly Plant Model'!$I$2:$V$2,'Plant model'!I$2,'Quarterly Plant Model'!$I877:$V877)</f>
        <v>0</v>
      </c>
      <c r="J877" s="41">
        <f>SUMIF('Quarterly Plant Model'!$I$2:$V$2,'Plant model'!J$2,'Quarterly Plant Model'!$I877:$V877)</f>
        <v>0</v>
      </c>
      <c r="K877" s="41">
        <f>SUMIF('Quarterly Plant Model'!$I$2:$V$2,'Plant model'!K$2,'Quarterly Plant Model'!$I877:$V877)</f>
        <v>0</v>
      </c>
      <c r="L877" s="41">
        <f>SUMIF('Quarterly Plant Model'!$I$2:$V$2,'Plant model'!L$2,'Quarterly Plant Model'!$I877:$V877)</f>
        <v>0</v>
      </c>
      <c r="M877" s="46">
        <f t="shared" ref="M877:Y888" si="759">$E877*M$830</f>
        <v>0</v>
      </c>
      <c r="N877" s="21">
        <f t="shared" si="759"/>
        <v>0</v>
      </c>
      <c r="O877" s="21">
        <f t="shared" si="759"/>
        <v>0</v>
      </c>
      <c r="P877" s="21">
        <f t="shared" si="759"/>
        <v>0</v>
      </c>
      <c r="Q877" s="21">
        <f t="shared" si="759"/>
        <v>0</v>
      </c>
      <c r="R877" s="21">
        <f t="shared" si="759"/>
        <v>0</v>
      </c>
      <c r="S877" s="21">
        <f t="shared" si="759"/>
        <v>0</v>
      </c>
      <c r="T877" s="21">
        <f t="shared" si="759"/>
        <v>0</v>
      </c>
      <c r="U877" s="21">
        <f t="shared" si="759"/>
        <v>0</v>
      </c>
      <c r="V877" s="21">
        <f t="shared" si="759"/>
        <v>0</v>
      </c>
      <c r="W877" s="21">
        <f t="shared" si="759"/>
        <v>0</v>
      </c>
      <c r="X877" s="21">
        <f t="shared" si="759"/>
        <v>0</v>
      </c>
      <c r="Y877" s="21">
        <f t="shared" si="759"/>
        <v>0</v>
      </c>
      <c r="Z877" s="21">
        <f t="shared" ref="Z877:AE888" si="760">$E877*Z$830</f>
        <v>0</v>
      </c>
      <c r="AA877" s="21">
        <f t="shared" si="760"/>
        <v>0</v>
      </c>
      <c r="AB877" s="21">
        <f t="shared" si="760"/>
        <v>0</v>
      </c>
      <c r="AC877" s="21">
        <f t="shared" si="760"/>
        <v>0</v>
      </c>
      <c r="AD877" s="21">
        <f t="shared" si="760"/>
        <v>0</v>
      </c>
      <c r="AE877" s="21">
        <f t="shared" si="760"/>
        <v>0</v>
      </c>
      <c r="AF877" s="1"/>
    </row>
    <row r="878" spans="2:32" x14ac:dyDescent="0.2">
      <c r="B878" s="34"/>
      <c r="C878" s="1" t="s">
        <v>83</v>
      </c>
      <c r="E878" s="97">
        <v>0</v>
      </c>
      <c r="F878" s="1" t="s">
        <v>55</v>
      </c>
      <c r="G878" s="21">
        <f t="shared" si="758"/>
        <v>0</v>
      </c>
      <c r="I878" s="41">
        <f>SUMIF('Quarterly Plant Model'!$I$2:$V$2,'Plant model'!I$2,'Quarterly Plant Model'!$I878:$V878)</f>
        <v>0</v>
      </c>
      <c r="J878" s="41">
        <f>SUMIF('Quarterly Plant Model'!$I$2:$V$2,'Plant model'!J$2,'Quarterly Plant Model'!$I878:$V878)</f>
        <v>0</v>
      </c>
      <c r="K878" s="41">
        <f>SUMIF('Quarterly Plant Model'!$I$2:$V$2,'Plant model'!K$2,'Quarterly Plant Model'!$I878:$V878)</f>
        <v>0</v>
      </c>
      <c r="L878" s="41">
        <f>SUMIF('Quarterly Plant Model'!$I$2:$V$2,'Plant model'!L$2,'Quarterly Plant Model'!$I878:$V878)</f>
        <v>0</v>
      </c>
      <c r="M878" s="46">
        <f t="shared" si="759"/>
        <v>0</v>
      </c>
      <c r="N878" s="21">
        <f t="shared" si="759"/>
        <v>0</v>
      </c>
      <c r="O878" s="21">
        <f t="shared" si="759"/>
        <v>0</v>
      </c>
      <c r="P878" s="21">
        <f t="shared" si="759"/>
        <v>0</v>
      </c>
      <c r="Q878" s="21">
        <f t="shared" si="759"/>
        <v>0</v>
      </c>
      <c r="R878" s="21">
        <f t="shared" si="759"/>
        <v>0</v>
      </c>
      <c r="S878" s="21">
        <f t="shared" si="759"/>
        <v>0</v>
      </c>
      <c r="T878" s="21">
        <f t="shared" si="759"/>
        <v>0</v>
      </c>
      <c r="U878" s="21">
        <f t="shared" si="759"/>
        <v>0</v>
      </c>
      <c r="V878" s="21">
        <f t="shared" si="759"/>
        <v>0</v>
      </c>
      <c r="W878" s="21">
        <f t="shared" si="759"/>
        <v>0</v>
      </c>
      <c r="X878" s="21">
        <f t="shared" si="759"/>
        <v>0</v>
      </c>
      <c r="Y878" s="21">
        <f t="shared" si="759"/>
        <v>0</v>
      </c>
      <c r="Z878" s="21">
        <f t="shared" si="760"/>
        <v>0</v>
      </c>
      <c r="AA878" s="21">
        <f t="shared" si="760"/>
        <v>0</v>
      </c>
      <c r="AB878" s="21">
        <f t="shared" si="760"/>
        <v>0</v>
      </c>
      <c r="AC878" s="21">
        <f t="shared" si="760"/>
        <v>0</v>
      </c>
      <c r="AD878" s="21">
        <f t="shared" si="760"/>
        <v>0</v>
      </c>
      <c r="AE878" s="21">
        <f t="shared" si="760"/>
        <v>0</v>
      </c>
      <c r="AF878" s="1"/>
    </row>
    <row r="879" spans="2:32" x14ac:dyDescent="0.2">
      <c r="B879" s="34"/>
      <c r="C879" s="1" t="s">
        <v>22</v>
      </c>
      <c r="E879" s="97">
        <v>0</v>
      </c>
      <c r="F879" s="1" t="s">
        <v>55</v>
      </c>
      <c r="G879" s="21">
        <f t="shared" si="758"/>
        <v>0</v>
      </c>
      <c r="I879" s="41">
        <f>SUMIF('Quarterly Plant Model'!$I$2:$V$2,'Plant model'!I$2,'Quarterly Plant Model'!$I879:$V879)</f>
        <v>0</v>
      </c>
      <c r="J879" s="41">
        <f>SUMIF('Quarterly Plant Model'!$I$2:$V$2,'Plant model'!J$2,'Quarterly Plant Model'!$I879:$V879)</f>
        <v>0</v>
      </c>
      <c r="K879" s="41">
        <f>SUMIF('Quarterly Plant Model'!$I$2:$V$2,'Plant model'!K$2,'Quarterly Plant Model'!$I879:$V879)</f>
        <v>0</v>
      </c>
      <c r="L879" s="41">
        <f>SUMIF('Quarterly Plant Model'!$I$2:$V$2,'Plant model'!L$2,'Quarterly Plant Model'!$I879:$V879)</f>
        <v>0</v>
      </c>
      <c r="M879" s="46">
        <f t="shared" si="759"/>
        <v>0</v>
      </c>
      <c r="N879" s="21">
        <f t="shared" si="759"/>
        <v>0</v>
      </c>
      <c r="O879" s="21">
        <f t="shared" si="759"/>
        <v>0</v>
      </c>
      <c r="P879" s="21">
        <f t="shared" si="759"/>
        <v>0</v>
      </c>
      <c r="Q879" s="21">
        <f t="shared" si="759"/>
        <v>0</v>
      </c>
      <c r="R879" s="21">
        <f t="shared" si="759"/>
        <v>0</v>
      </c>
      <c r="S879" s="21">
        <f t="shared" si="759"/>
        <v>0</v>
      </c>
      <c r="T879" s="21">
        <f t="shared" si="759"/>
        <v>0</v>
      </c>
      <c r="U879" s="21">
        <f t="shared" si="759"/>
        <v>0</v>
      </c>
      <c r="V879" s="21">
        <f t="shared" si="759"/>
        <v>0</v>
      </c>
      <c r="W879" s="21">
        <f t="shared" si="759"/>
        <v>0</v>
      </c>
      <c r="X879" s="21">
        <f t="shared" si="759"/>
        <v>0</v>
      </c>
      <c r="Y879" s="21">
        <f t="shared" si="759"/>
        <v>0</v>
      </c>
      <c r="Z879" s="21">
        <f t="shared" si="760"/>
        <v>0</v>
      </c>
      <c r="AA879" s="21">
        <f t="shared" si="760"/>
        <v>0</v>
      </c>
      <c r="AB879" s="21">
        <f t="shared" si="760"/>
        <v>0</v>
      </c>
      <c r="AC879" s="21">
        <f t="shared" si="760"/>
        <v>0</v>
      </c>
      <c r="AD879" s="21">
        <f t="shared" si="760"/>
        <v>0</v>
      </c>
      <c r="AE879" s="21">
        <f t="shared" si="760"/>
        <v>0</v>
      </c>
      <c r="AF879" s="1"/>
    </row>
    <row r="880" spans="2:32" x14ac:dyDescent="0.2">
      <c r="B880" s="34"/>
      <c r="C880" s="1" t="s">
        <v>84</v>
      </c>
      <c r="E880" s="97">
        <v>0</v>
      </c>
      <c r="F880" s="1" t="s">
        <v>55</v>
      </c>
      <c r="G880" s="21">
        <f t="shared" si="758"/>
        <v>0</v>
      </c>
      <c r="I880" s="41">
        <f>SUMIF('Quarterly Plant Model'!$I$2:$V$2,'Plant model'!I$2,'Quarterly Plant Model'!$I880:$V880)</f>
        <v>0</v>
      </c>
      <c r="J880" s="41">
        <f>SUMIF('Quarterly Plant Model'!$I$2:$V$2,'Plant model'!J$2,'Quarterly Plant Model'!$I880:$V880)</f>
        <v>0</v>
      </c>
      <c r="K880" s="41">
        <f>SUMIF('Quarterly Plant Model'!$I$2:$V$2,'Plant model'!K$2,'Quarterly Plant Model'!$I880:$V880)</f>
        <v>0</v>
      </c>
      <c r="L880" s="41">
        <f>SUMIF('Quarterly Plant Model'!$I$2:$V$2,'Plant model'!L$2,'Quarterly Plant Model'!$I880:$V880)</f>
        <v>0</v>
      </c>
      <c r="M880" s="46">
        <f t="shared" si="759"/>
        <v>0</v>
      </c>
      <c r="N880" s="21">
        <f t="shared" si="759"/>
        <v>0</v>
      </c>
      <c r="O880" s="21">
        <f t="shared" si="759"/>
        <v>0</v>
      </c>
      <c r="P880" s="21">
        <f t="shared" si="759"/>
        <v>0</v>
      </c>
      <c r="Q880" s="21">
        <f t="shared" si="759"/>
        <v>0</v>
      </c>
      <c r="R880" s="21">
        <f t="shared" si="759"/>
        <v>0</v>
      </c>
      <c r="S880" s="21">
        <f t="shared" si="759"/>
        <v>0</v>
      </c>
      <c r="T880" s="21">
        <f t="shared" si="759"/>
        <v>0</v>
      </c>
      <c r="U880" s="21">
        <f t="shared" si="759"/>
        <v>0</v>
      </c>
      <c r="V880" s="21">
        <f t="shared" si="759"/>
        <v>0</v>
      </c>
      <c r="W880" s="21">
        <f t="shared" si="759"/>
        <v>0</v>
      </c>
      <c r="X880" s="21">
        <f t="shared" si="759"/>
        <v>0</v>
      </c>
      <c r="Y880" s="21">
        <f t="shared" si="759"/>
        <v>0</v>
      </c>
      <c r="Z880" s="21">
        <f t="shared" si="760"/>
        <v>0</v>
      </c>
      <c r="AA880" s="21">
        <f t="shared" si="760"/>
        <v>0</v>
      </c>
      <c r="AB880" s="21">
        <f t="shared" si="760"/>
        <v>0</v>
      </c>
      <c r="AC880" s="21">
        <f t="shared" si="760"/>
        <v>0</v>
      </c>
      <c r="AD880" s="21">
        <f t="shared" si="760"/>
        <v>0</v>
      </c>
      <c r="AE880" s="21">
        <f t="shared" si="760"/>
        <v>0</v>
      </c>
      <c r="AF880" s="1"/>
    </row>
    <row r="881" spans="2:32" x14ac:dyDescent="0.2">
      <c r="B881" s="34"/>
      <c r="C881" s="1" t="s">
        <v>85</v>
      </c>
      <c r="E881" s="97">
        <v>0</v>
      </c>
      <c r="F881" s="1" t="s">
        <v>55</v>
      </c>
      <c r="G881" s="21">
        <f t="shared" si="758"/>
        <v>0</v>
      </c>
      <c r="I881" s="41">
        <f>SUMIF('Quarterly Plant Model'!$I$2:$V$2,'Plant model'!I$2,'Quarterly Plant Model'!$I881:$V881)</f>
        <v>0</v>
      </c>
      <c r="J881" s="41">
        <f>SUMIF('Quarterly Plant Model'!$I$2:$V$2,'Plant model'!J$2,'Quarterly Plant Model'!$I881:$V881)</f>
        <v>0</v>
      </c>
      <c r="K881" s="41">
        <f>SUMIF('Quarterly Plant Model'!$I$2:$V$2,'Plant model'!K$2,'Quarterly Plant Model'!$I881:$V881)</f>
        <v>0</v>
      </c>
      <c r="L881" s="41">
        <f>SUMIF('Quarterly Plant Model'!$I$2:$V$2,'Plant model'!L$2,'Quarterly Plant Model'!$I881:$V881)</f>
        <v>0</v>
      </c>
      <c r="M881" s="46">
        <f t="shared" si="759"/>
        <v>0</v>
      </c>
      <c r="N881" s="21">
        <f t="shared" si="759"/>
        <v>0</v>
      </c>
      <c r="O881" s="21">
        <f t="shared" si="759"/>
        <v>0</v>
      </c>
      <c r="P881" s="21">
        <f t="shared" si="759"/>
        <v>0</v>
      </c>
      <c r="Q881" s="21">
        <f t="shared" si="759"/>
        <v>0</v>
      </c>
      <c r="R881" s="21">
        <f t="shared" si="759"/>
        <v>0</v>
      </c>
      <c r="S881" s="21">
        <f t="shared" si="759"/>
        <v>0</v>
      </c>
      <c r="T881" s="21">
        <f t="shared" si="759"/>
        <v>0</v>
      </c>
      <c r="U881" s="21">
        <f t="shared" si="759"/>
        <v>0</v>
      </c>
      <c r="V881" s="21">
        <f t="shared" si="759"/>
        <v>0</v>
      </c>
      <c r="W881" s="21">
        <f t="shared" si="759"/>
        <v>0</v>
      </c>
      <c r="X881" s="21">
        <f t="shared" si="759"/>
        <v>0</v>
      </c>
      <c r="Y881" s="21">
        <f t="shared" si="759"/>
        <v>0</v>
      </c>
      <c r="Z881" s="21">
        <f t="shared" si="760"/>
        <v>0</v>
      </c>
      <c r="AA881" s="21">
        <f t="shared" si="760"/>
        <v>0</v>
      </c>
      <c r="AB881" s="21">
        <f t="shared" si="760"/>
        <v>0</v>
      </c>
      <c r="AC881" s="21">
        <f t="shared" si="760"/>
        <v>0</v>
      </c>
      <c r="AD881" s="21">
        <f t="shared" si="760"/>
        <v>0</v>
      </c>
      <c r="AE881" s="21">
        <f t="shared" si="760"/>
        <v>0</v>
      </c>
      <c r="AF881" s="1"/>
    </row>
    <row r="882" spans="2:32" x14ac:dyDescent="0.2">
      <c r="B882" s="34"/>
      <c r="C882" s="1" t="s">
        <v>86</v>
      </c>
      <c r="E882" s="97">
        <v>0</v>
      </c>
      <c r="F882" s="1" t="s">
        <v>55</v>
      </c>
      <c r="G882" s="21">
        <f t="shared" si="758"/>
        <v>0</v>
      </c>
      <c r="I882" s="41">
        <f>SUMIF('Quarterly Plant Model'!$I$2:$V$2,'Plant model'!I$2,'Quarterly Plant Model'!$I882:$V882)</f>
        <v>0</v>
      </c>
      <c r="J882" s="41">
        <f>SUMIF('Quarterly Plant Model'!$I$2:$V$2,'Plant model'!J$2,'Quarterly Plant Model'!$I882:$V882)</f>
        <v>0</v>
      </c>
      <c r="K882" s="41">
        <f>SUMIF('Quarterly Plant Model'!$I$2:$V$2,'Plant model'!K$2,'Quarterly Plant Model'!$I882:$V882)</f>
        <v>0</v>
      </c>
      <c r="L882" s="41">
        <f>SUMIF('Quarterly Plant Model'!$I$2:$V$2,'Plant model'!L$2,'Quarterly Plant Model'!$I882:$V882)</f>
        <v>0</v>
      </c>
      <c r="M882" s="46">
        <f t="shared" si="759"/>
        <v>0</v>
      </c>
      <c r="N882" s="21">
        <f t="shared" si="759"/>
        <v>0</v>
      </c>
      <c r="O882" s="21">
        <f t="shared" si="759"/>
        <v>0</v>
      </c>
      <c r="P882" s="21">
        <f t="shared" si="759"/>
        <v>0</v>
      </c>
      <c r="Q882" s="21">
        <f t="shared" si="759"/>
        <v>0</v>
      </c>
      <c r="R882" s="21">
        <f t="shared" si="759"/>
        <v>0</v>
      </c>
      <c r="S882" s="21">
        <f t="shared" si="759"/>
        <v>0</v>
      </c>
      <c r="T882" s="21">
        <f t="shared" si="759"/>
        <v>0</v>
      </c>
      <c r="U882" s="21">
        <f t="shared" si="759"/>
        <v>0</v>
      </c>
      <c r="V882" s="21">
        <f t="shared" si="759"/>
        <v>0</v>
      </c>
      <c r="W882" s="21">
        <f t="shared" si="759"/>
        <v>0</v>
      </c>
      <c r="X882" s="21">
        <f t="shared" si="759"/>
        <v>0</v>
      </c>
      <c r="Y882" s="21">
        <f t="shared" si="759"/>
        <v>0</v>
      </c>
      <c r="Z882" s="21">
        <f t="shared" si="760"/>
        <v>0</v>
      </c>
      <c r="AA882" s="21">
        <f t="shared" si="760"/>
        <v>0</v>
      </c>
      <c r="AB882" s="21">
        <f t="shared" si="760"/>
        <v>0</v>
      </c>
      <c r="AC882" s="21">
        <f t="shared" si="760"/>
        <v>0</v>
      </c>
      <c r="AD882" s="21">
        <f t="shared" si="760"/>
        <v>0</v>
      </c>
      <c r="AE882" s="21">
        <f t="shared" si="760"/>
        <v>0</v>
      </c>
      <c r="AF882" s="1"/>
    </row>
    <row r="883" spans="2:32" x14ac:dyDescent="0.2">
      <c r="B883" s="34"/>
      <c r="C883" s="1" t="s">
        <v>87</v>
      </c>
      <c r="E883" s="97">
        <v>0</v>
      </c>
      <c r="F883" s="1" t="s">
        <v>55</v>
      </c>
      <c r="G883" s="21">
        <f t="shared" si="758"/>
        <v>0</v>
      </c>
      <c r="I883" s="41">
        <f>SUMIF('Quarterly Plant Model'!$I$2:$V$2,'Plant model'!I$2,'Quarterly Plant Model'!$I883:$V883)</f>
        <v>0</v>
      </c>
      <c r="J883" s="41">
        <f>SUMIF('Quarterly Plant Model'!$I$2:$V$2,'Plant model'!J$2,'Quarterly Plant Model'!$I883:$V883)</f>
        <v>0</v>
      </c>
      <c r="K883" s="41">
        <f>SUMIF('Quarterly Plant Model'!$I$2:$V$2,'Plant model'!K$2,'Quarterly Plant Model'!$I883:$V883)</f>
        <v>0</v>
      </c>
      <c r="L883" s="41">
        <f>SUMIF('Quarterly Plant Model'!$I$2:$V$2,'Plant model'!L$2,'Quarterly Plant Model'!$I883:$V883)</f>
        <v>0</v>
      </c>
      <c r="M883" s="46">
        <f t="shared" si="759"/>
        <v>0</v>
      </c>
      <c r="N883" s="21">
        <f t="shared" si="759"/>
        <v>0</v>
      </c>
      <c r="O883" s="21">
        <f t="shared" si="759"/>
        <v>0</v>
      </c>
      <c r="P883" s="21">
        <f t="shared" si="759"/>
        <v>0</v>
      </c>
      <c r="Q883" s="21">
        <f t="shared" si="759"/>
        <v>0</v>
      </c>
      <c r="R883" s="21">
        <f t="shared" si="759"/>
        <v>0</v>
      </c>
      <c r="S883" s="21">
        <f t="shared" si="759"/>
        <v>0</v>
      </c>
      <c r="T883" s="21">
        <f t="shared" si="759"/>
        <v>0</v>
      </c>
      <c r="U883" s="21">
        <f t="shared" si="759"/>
        <v>0</v>
      </c>
      <c r="V883" s="21">
        <f t="shared" si="759"/>
        <v>0</v>
      </c>
      <c r="W883" s="21">
        <f t="shared" si="759"/>
        <v>0</v>
      </c>
      <c r="X883" s="21">
        <f t="shared" si="759"/>
        <v>0</v>
      </c>
      <c r="Y883" s="21">
        <f t="shared" si="759"/>
        <v>0</v>
      </c>
      <c r="Z883" s="21">
        <f t="shared" si="760"/>
        <v>0</v>
      </c>
      <c r="AA883" s="21">
        <f t="shared" si="760"/>
        <v>0</v>
      </c>
      <c r="AB883" s="21">
        <f t="shared" si="760"/>
        <v>0</v>
      </c>
      <c r="AC883" s="21">
        <f t="shared" si="760"/>
        <v>0</v>
      </c>
      <c r="AD883" s="21">
        <f t="shared" si="760"/>
        <v>0</v>
      </c>
      <c r="AE883" s="21">
        <f t="shared" si="760"/>
        <v>0</v>
      </c>
      <c r="AF883" s="1"/>
    </row>
    <row r="884" spans="2:32" x14ac:dyDescent="0.2">
      <c r="B884" s="34"/>
      <c r="C884" s="1" t="s">
        <v>88</v>
      </c>
      <c r="E884" s="97">
        <v>0</v>
      </c>
      <c r="F884" s="1" t="s">
        <v>55</v>
      </c>
      <c r="G884" s="21">
        <f t="shared" si="758"/>
        <v>0</v>
      </c>
      <c r="I884" s="41">
        <f>SUMIF('Quarterly Plant Model'!$I$2:$V$2,'Plant model'!I$2,'Quarterly Plant Model'!$I884:$V884)</f>
        <v>0</v>
      </c>
      <c r="J884" s="41">
        <f>SUMIF('Quarterly Plant Model'!$I$2:$V$2,'Plant model'!J$2,'Quarterly Plant Model'!$I884:$V884)</f>
        <v>0</v>
      </c>
      <c r="K884" s="41">
        <f>SUMIF('Quarterly Plant Model'!$I$2:$V$2,'Plant model'!K$2,'Quarterly Plant Model'!$I884:$V884)</f>
        <v>0</v>
      </c>
      <c r="L884" s="41">
        <f>SUMIF('Quarterly Plant Model'!$I$2:$V$2,'Plant model'!L$2,'Quarterly Plant Model'!$I884:$V884)</f>
        <v>0</v>
      </c>
      <c r="M884" s="46">
        <f t="shared" si="759"/>
        <v>0</v>
      </c>
      <c r="N884" s="21">
        <f t="shared" si="759"/>
        <v>0</v>
      </c>
      <c r="O884" s="21">
        <f t="shared" si="759"/>
        <v>0</v>
      </c>
      <c r="P884" s="21">
        <f t="shared" si="759"/>
        <v>0</v>
      </c>
      <c r="Q884" s="21">
        <f t="shared" si="759"/>
        <v>0</v>
      </c>
      <c r="R884" s="21">
        <f t="shared" si="759"/>
        <v>0</v>
      </c>
      <c r="S884" s="21">
        <f t="shared" si="759"/>
        <v>0</v>
      </c>
      <c r="T884" s="21">
        <f t="shared" si="759"/>
        <v>0</v>
      </c>
      <c r="U884" s="21">
        <f t="shared" si="759"/>
        <v>0</v>
      </c>
      <c r="V884" s="21">
        <f t="shared" si="759"/>
        <v>0</v>
      </c>
      <c r="W884" s="21">
        <f t="shared" si="759"/>
        <v>0</v>
      </c>
      <c r="X884" s="21">
        <f t="shared" si="759"/>
        <v>0</v>
      </c>
      <c r="Y884" s="21">
        <f t="shared" si="759"/>
        <v>0</v>
      </c>
      <c r="Z884" s="21">
        <f t="shared" si="760"/>
        <v>0</v>
      </c>
      <c r="AA884" s="21">
        <f t="shared" si="760"/>
        <v>0</v>
      </c>
      <c r="AB884" s="21">
        <f t="shared" si="760"/>
        <v>0</v>
      </c>
      <c r="AC884" s="21">
        <f t="shared" si="760"/>
        <v>0</v>
      </c>
      <c r="AD884" s="21">
        <f t="shared" si="760"/>
        <v>0</v>
      </c>
      <c r="AE884" s="21">
        <f t="shared" si="760"/>
        <v>0</v>
      </c>
      <c r="AF884" s="1"/>
    </row>
    <row r="885" spans="2:32" x14ac:dyDescent="0.2">
      <c r="B885" s="34"/>
      <c r="C885" s="1" t="s">
        <v>89</v>
      </c>
      <c r="E885" s="97">
        <v>0</v>
      </c>
      <c r="F885" s="1" t="s">
        <v>55</v>
      </c>
      <c r="G885" s="21">
        <f>SUM(I885:AE885)</f>
        <v>0</v>
      </c>
      <c r="I885" s="41">
        <f>SUMIF('Quarterly Plant Model'!$I$2:$V$2,'Plant model'!I$2,'Quarterly Plant Model'!$I885:$V885)</f>
        <v>0</v>
      </c>
      <c r="J885" s="41">
        <f>SUMIF('Quarterly Plant Model'!$I$2:$V$2,'Plant model'!J$2,'Quarterly Plant Model'!$I885:$V885)</f>
        <v>0</v>
      </c>
      <c r="K885" s="41">
        <f>SUMIF('Quarterly Plant Model'!$I$2:$V$2,'Plant model'!K$2,'Quarterly Plant Model'!$I885:$V885)</f>
        <v>0</v>
      </c>
      <c r="L885" s="41">
        <f>SUMIF('Quarterly Plant Model'!$I$2:$V$2,'Plant model'!L$2,'Quarterly Plant Model'!$I885:$V885)</f>
        <v>0</v>
      </c>
      <c r="M885" s="46">
        <f t="shared" si="759"/>
        <v>0</v>
      </c>
      <c r="N885" s="21">
        <f t="shared" si="759"/>
        <v>0</v>
      </c>
      <c r="O885" s="21">
        <f t="shared" si="759"/>
        <v>0</v>
      </c>
      <c r="P885" s="21">
        <f t="shared" si="759"/>
        <v>0</v>
      </c>
      <c r="Q885" s="21">
        <f t="shared" si="759"/>
        <v>0</v>
      </c>
      <c r="R885" s="21">
        <f t="shared" si="759"/>
        <v>0</v>
      </c>
      <c r="S885" s="21">
        <f t="shared" si="759"/>
        <v>0</v>
      </c>
      <c r="T885" s="21">
        <f t="shared" si="759"/>
        <v>0</v>
      </c>
      <c r="U885" s="21">
        <f t="shared" si="759"/>
        <v>0</v>
      </c>
      <c r="V885" s="21">
        <f t="shared" si="759"/>
        <v>0</v>
      </c>
      <c r="W885" s="21">
        <f t="shared" si="759"/>
        <v>0</v>
      </c>
      <c r="X885" s="21">
        <f t="shared" si="759"/>
        <v>0</v>
      </c>
      <c r="Y885" s="21">
        <f t="shared" si="759"/>
        <v>0</v>
      </c>
      <c r="Z885" s="21">
        <f t="shared" si="760"/>
        <v>0</v>
      </c>
      <c r="AA885" s="21">
        <f t="shared" si="760"/>
        <v>0</v>
      </c>
      <c r="AB885" s="21">
        <f t="shared" si="760"/>
        <v>0</v>
      </c>
      <c r="AC885" s="21">
        <f t="shared" si="760"/>
        <v>0</v>
      </c>
      <c r="AD885" s="21">
        <f t="shared" si="760"/>
        <v>0</v>
      </c>
      <c r="AE885" s="21">
        <f t="shared" si="760"/>
        <v>0</v>
      </c>
      <c r="AF885" s="1"/>
    </row>
    <row r="886" spans="2:32" x14ac:dyDescent="0.2">
      <c r="B886" s="34"/>
      <c r="C886" s="1" t="s">
        <v>90</v>
      </c>
      <c r="E886" s="97">
        <v>0</v>
      </c>
      <c r="F886" s="1" t="s">
        <v>55</v>
      </c>
      <c r="G886" s="21">
        <f>SUM(I886:AE886)</f>
        <v>0</v>
      </c>
      <c r="I886" s="41">
        <f>SUMIF('Quarterly Plant Model'!$I$2:$V$2,'Plant model'!I$2,'Quarterly Plant Model'!$I886:$V886)</f>
        <v>0</v>
      </c>
      <c r="J886" s="41">
        <f>SUMIF('Quarterly Plant Model'!$I$2:$V$2,'Plant model'!J$2,'Quarterly Plant Model'!$I886:$V886)</f>
        <v>0</v>
      </c>
      <c r="K886" s="41">
        <f>SUMIF('Quarterly Plant Model'!$I$2:$V$2,'Plant model'!K$2,'Quarterly Plant Model'!$I886:$V886)</f>
        <v>0</v>
      </c>
      <c r="L886" s="41">
        <f>SUMIF('Quarterly Plant Model'!$I$2:$V$2,'Plant model'!L$2,'Quarterly Plant Model'!$I886:$V886)</f>
        <v>0</v>
      </c>
      <c r="M886" s="46">
        <f t="shared" si="759"/>
        <v>0</v>
      </c>
      <c r="N886" s="21">
        <f t="shared" si="759"/>
        <v>0</v>
      </c>
      <c r="O886" s="21">
        <f t="shared" si="759"/>
        <v>0</v>
      </c>
      <c r="P886" s="21">
        <f t="shared" si="759"/>
        <v>0</v>
      </c>
      <c r="Q886" s="21">
        <f t="shared" si="759"/>
        <v>0</v>
      </c>
      <c r="R886" s="21">
        <f t="shared" si="759"/>
        <v>0</v>
      </c>
      <c r="S886" s="21">
        <f t="shared" si="759"/>
        <v>0</v>
      </c>
      <c r="T886" s="21">
        <f t="shared" si="759"/>
        <v>0</v>
      </c>
      <c r="U886" s="21">
        <f t="shared" si="759"/>
        <v>0</v>
      </c>
      <c r="V886" s="21">
        <f t="shared" si="759"/>
        <v>0</v>
      </c>
      <c r="W886" s="21">
        <f t="shared" si="759"/>
        <v>0</v>
      </c>
      <c r="X886" s="21">
        <f t="shared" si="759"/>
        <v>0</v>
      </c>
      <c r="Y886" s="21">
        <f t="shared" si="759"/>
        <v>0</v>
      </c>
      <c r="Z886" s="21">
        <f t="shared" si="760"/>
        <v>0</v>
      </c>
      <c r="AA886" s="21">
        <f t="shared" si="760"/>
        <v>0</v>
      </c>
      <c r="AB886" s="21">
        <f t="shared" si="760"/>
        <v>0</v>
      </c>
      <c r="AC886" s="21">
        <f t="shared" si="760"/>
        <v>0</v>
      </c>
      <c r="AD886" s="21">
        <f t="shared" si="760"/>
        <v>0</v>
      </c>
      <c r="AE886" s="21">
        <f t="shared" si="760"/>
        <v>0</v>
      </c>
      <c r="AF886" s="1"/>
    </row>
    <row r="887" spans="2:32" x14ac:dyDescent="0.2">
      <c r="B887" s="34"/>
      <c r="C887" s="1" t="s">
        <v>23</v>
      </c>
      <c r="E887" s="97">
        <v>0</v>
      </c>
      <c r="F887" s="1" t="s">
        <v>55</v>
      </c>
      <c r="G887" s="21">
        <f>SUM(I887:AE887)</f>
        <v>0</v>
      </c>
      <c r="I887" s="41">
        <f>SUMIF('Quarterly Plant Model'!$I$2:$V$2,'Plant model'!I$2,'Quarterly Plant Model'!$I887:$V887)</f>
        <v>0</v>
      </c>
      <c r="J887" s="41">
        <f>SUMIF('Quarterly Plant Model'!$I$2:$V$2,'Plant model'!J$2,'Quarterly Plant Model'!$I887:$V887)</f>
        <v>0</v>
      </c>
      <c r="K887" s="41">
        <f>SUMIF('Quarterly Plant Model'!$I$2:$V$2,'Plant model'!K$2,'Quarterly Plant Model'!$I887:$V887)</f>
        <v>0</v>
      </c>
      <c r="L887" s="41">
        <f>SUMIF('Quarterly Plant Model'!$I$2:$V$2,'Plant model'!L$2,'Quarterly Plant Model'!$I887:$V887)</f>
        <v>0</v>
      </c>
      <c r="M887" s="46">
        <f t="shared" si="759"/>
        <v>0</v>
      </c>
      <c r="N887" s="21">
        <f t="shared" si="759"/>
        <v>0</v>
      </c>
      <c r="O887" s="21">
        <f t="shared" si="759"/>
        <v>0</v>
      </c>
      <c r="P887" s="21">
        <f t="shared" si="759"/>
        <v>0</v>
      </c>
      <c r="Q887" s="21">
        <f t="shared" si="759"/>
        <v>0</v>
      </c>
      <c r="R887" s="21">
        <f t="shared" si="759"/>
        <v>0</v>
      </c>
      <c r="S887" s="21">
        <f t="shared" si="759"/>
        <v>0</v>
      </c>
      <c r="T887" s="21">
        <f t="shared" si="759"/>
        <v>0</v>
      </c>
      <c r="U887" s="21">
        <f t="shared" si="759"/>
        <v>0</v>
      </c>
      <c r="V887" s="21">
        <f t="shared" si="759"/>
        <v>0</v>
      </c>
      <c r="W887" s="21">
        <f t="shared" si="759"/>
        <v>0</v>
      </c>
      <c r="X887" s="21">
        <f t="shared" si="759"/>
        <v>0</v>
      </c>
      <c r="Y887" s="21">
        <f t="shared" si="759"/>
        <v>0</v>
      </c>
      <c r="Z887" s="21">
        <f t="shared" si="760"/>
        <v>0</v>
      </c>
      <c r="AA887" s="21">
        <f t="shared" si="760"/>
        <v>0</v>
      </c>
      <c r="AB887" s="21">
        <f t="shared" si="760"/>
        <v>0</v>
      </c>
      <c r="AC887" s="21">
        <f t="shared" si="760"/>
        <v>0</v>
      </c>
      <c r="AD887" s="21">
        <f t="shared" si="760"/>
        <v>0</v>
      </c>
      <c r="AE887" s="21">
        <f t="shared" si="760"/>
        <v>0</v>
      </c>
      <c r="AF887" s="1"/>
    </row>
    <row r="888" spans="2:32" x14ac:dyDescent="0.2">
      <c r="B888" s="34"/>
      <c r="C888" s="1" t="s">
        <v>91</v>
      </c>
      <c r="E888" s="97">
        <v>0</v>
      </c>
      <c r="F888" s="1" t="s">
        <v>55</v>
      </c>
      <c r="G888" s="21">
        <f>SUM(I888:AE888)</f>
        <v>0</v>
      </c>
      <c r="I888" s="41">
        <f>SUMIF('Quarterly Plant Model'!$I$2:$V$2,'Plant model'!I$2,'Quarterly Plant Model'!$I888:$V888)</f>
        <v>0</v>
      </c>
      <c r="J888" s="41">
        <f>SUMIF('Quarterly Plant Model'!$I$2:$V$2,'Plant model'!J$2,'Quarterly Plant Model'!$I888:$V888)</f>
        <v>0</v>
      </c>
      <c r="K888" s="41">
        <f>SUMIF('Quarterly Plant Model'!$I$2:$V$2,'Plant model'!K$2,'Quarterly Plant Model'!$I888:$V888)</f>
        <v>0</v>
      </c>
      <c r="L888" s="41">
        <f>SUMIF('Quarterly Plant Model'!$I$2:$V$2,'Plant model'!L$2,'Quarterly Plant Model'!$I888:$V888)</f>
        <v>0</v>
      </c>
      <c r="M888" s="46">
        <f t="shared" si="759"/>
        <v>0</v>
      </c>
      <c r="N888" s="21">
        <f t="shared" si="759"/>
        <v>0</v>
      </c>
      <c r="O888" s="21">
        <f t="shared" si="759"/>
        <v>0</v>
      </c>
      <c r="P888" s="21">
        <f t="shared" si="759"/>
        <v>0</v>
      </c>
      <c r="Q888" s="21">
        <f t="shared" si="759"/>
        <v>0</v>
      </c>
      <c r="R888" s="21">
        <f t="shared" si="759"/>
        <v>0</v>
      </c>
      <c r="S888" s="21">
        <f t="shared" si="759"/>
        <v>0</v>
      </c>
      <c r="T888" s="21">
        <f t="shared" si="759"/>
        <v>0</v>
      </c>
      <c r="U888" s="21">
        <f t="shared" si="759"/>
        <v>0</v>
      </c>
      <c r="V888" s="21">
        <f t="shared" si="759"/>
        <v>0</v>
      </c>
      <c r="W888" s="21">
        <f t="shared" si="759"/>
        <v>0</v>
      </c>
      <c r="X888" s="21">
        <f t="shared" si="759"/>
        <v>0</v>
      </c>
      <c r="Y888" s="21">
        <f t="shared" si="759"/>
        <v>0</v>
      </c>
      <c r="Z888" s="21">
        <f t="shared" si="760"/>
        <v>0</v>
      </c>
      <c r="AA888" s="21">
        <f t="shared" si="760"/>
        <v>0</v>
      </c>
      <c r="AB888" s="21">
        <f t="shared" si="760"/>
        <v>0</v>
      </c>
      <c r="AC888" s="21">
        <f t="shared" si="760"/>
        <v>0</v>
      </c>
      <c r="AD888" s="21">
        <f t="shared" si="760"/>
        <v>0</v>
      </c>
      <c r="AE888" s="21">
        <f t="shared" si="760"/>
        <v>0</v>
      </c>
    </row>
    <row r="889" spans="2:32" x14ac:dyDescent="0.2">
      <c r="C889" s="20" t="s">
        <v>92</v>
      </c>
      <c r="D889" s="146">
        <f>$E$85</f>
        <v>1</v>
      </c>
      <c r="E889" s="282">
        <f>SUM(E877:E888)</f>
        <v>0</v>
      </c>
      <c r="F889" s="9" t="s">
        <v>55</v>
      </c>
      <c r="G889" s="44">
        <f>SUM(I889:AE889)</f>
        <v>0</v>
      </c>
      <c r="H889" s="9"/>
      <c r="I889" s="535">
        <f>SUMIF('Quarterly Plant Model'!$I$2:$V$2,'Plant model'!I$2,'Quarterly Plant Model'!$I889:$V889)</f>
        <v>0</v>
      </c>
      <c r="J889" s="535">
        <f>SUMIF('Quarterly Plant Model'!$I$2:$V$2,'Plant model'!J$2,'Quarterly Plant Model'!$I889:$V889)</f>
        <v>0</v>
      </c>
      <c r="K889" s="535">
        <f>SUMIF('Quarterly Plant Model'!$I$2:$V$2,'Plant model'!K$2,'Quarterly Plant Model'!$I889:$V889)</f>
        <v>0</v>
      </c>
      <c r="L889" s="535">
        <f>SUMIF('Quarterly Plant Model'!$I$2:$V$2,'Plant model'!L$2,'Quarterly Plant Model'!$I889:$V889)</f>
        <v>0</v>
      </c>
      <c r="M889" s="536">
        <f t="shared" ref="M889:AE889" si="761">SUM(M877:M888)*$E$85</f>
        <v>0</v>
      </c>
      <c r="N889" s="44">
        <f t="shared" si="761"/>
        <v>0</v>
      </c>
      <c r="O889" s="44">
        <f t="shared" si="761"/>
        <v>0</v>
      </c>
      <c r="P889" s="44">
        <f t="shared" si="761"/>
        <v>0</v>
      </c>
      <c r="Q889" s="44">
        <f t="shared" si="761"/>
        <v>0</v>
      </c>
      <c r="R889" s="44">
        <f t="shared" si="761"/>
        <v>0</v>
      </c>
      <c r="S889" s="44">
        <f t="shared" si="761"/>
        <v>0</v>
      </c>
      <c r="T889" s="44">
        <f t="shared" si="761"/>
        <v>0</v>
      </c>
      <c r="U889" s="44">
        <f t="shared" si="761"/>
        <v>0</v>
      </c>
      <c r="V889" s="44">
        <f t="shared" si="761"/>
        <v>0</v>
      </c>
      <c r="W889" s="44">
        <f t="shared" si="761"/>
        <v>0</v>
      </c>
      <c r="X889" s="44">
        <f t="shared" si="761"/>
        <v>0</v>
      </c>
      <c r="Y889" s="44">
        <f t="shared" si="761"/>
        <v>0</v>
      </c>
      <c r="Z889" s="44">
        <f t="shared" si="761"/>
        <v>0</v>
      </c>
      <c r="AA889" s="44">
        <f t="shared" si="761"/>
        <v>0</v>
      </c>
      <c r="AB889" s="44">
        <f t="shared" si="761"/>
        <v>0</v>
      </c>
      <c r="AC889" s="44">
        <f t="shared" si="761"/>
        <v>0</v>
      </c>
      <c r="AD889" s="44">
        <f t="shared" si="761"/>
        <v>0</v>
      </c>
      <c r="AE889" s="44">
        <f t="shared" si="761"/>
        <v>0</v>
      </c>
      <c r="AF889" s="20"/>
    </row>
    <row r="890" spans="2:32" x14ac:dyDescent="0.2">
      <c r="C890" s="5"/>
      <c r="D890" s="5"/>
    </row>
    <row r="891" spans="2:32" x14ac:dyDescent="0.2">
      <c r="B891" s="24">
        <f>B875+0.01</f>
        <v>7.129999999999999</v>
      </c>
      <c r="C891" s="20" t="s">
        <v>93</v>
      </c>
      <c r="D891" s="20"/>
    </row>
    <row r="892" spans="2:32" x14ac:dyDescent="0.2">
      <c r="C892" s="5"/>
      <c r="D892" s="5"/>
    </row>
    <row r="893" spans="2:32" x14ac:dyDescent="0.2">
      <c r="C893" s="5" t="s">
        <v>94</v>
      </c>
      <c r="D893" s="5"/>
      <c r="E893" s="96">
        <v>0</v>
      </c>
      <c r="F893" s="1" t="s">
        <v>55</v>
      </c>
      <c r="G893" s="21">
        <f>SUM(I893:AE893)</f>
        <v>0</v>
      </c>
      <c r="I893" s="535">
        <f>SUMIF('Quarterly Plant Model'!$I$2:$V$2,'Plant model'!I$2,'Quarterly Plant Model'!$I893:$V893)</f>
        <v>0</v>
      </c>
      <c r="J893" s="535">
        <f>SUMIF('Quarterly Plant Model'!$I$2:$V$2,'Plant model'!J$2,'Quarterly Plant Model'!$I893:$V893)</f>
        <v>0</v>
      </c>
      <c r="K893" s="535">
        <f>SUMIF('Quarterly Plant Model'!$I$2:$V$2,'Plant model'!K$2,'Quarterly Plant Model'!$I893:$V893)</f>
        <v>0</v>
      </c>
      <c r="L893" s="535">
        <f>SUMIF('Quarterly Plant Model'!$I$2:$V$2,'Plant model'!L$2,'Quarterly Plant Model'!$I893:$V893)</f>
        <v>0</v>
      </c>
      <c r="M893" s="46">
        <f t="shared" ref="M893:AE893" si="762">(M2&gt;0)*$G$873*$E$893</f>
        <v>0</v>
      </c>
      <c r="N893" s="21">
        <f t="shared" si="762"/>
        <v>0</v>
      </c>
      <c r="O893" s="21">
        <f t="shared" si="762"/>
        <v>0</v>
      </c>
      <c r="P893" s="21">
        <f t="shared" si="762"/>
        <v>0</v>
      </c>
      <c r="Q893" s="21">
        <f t="shared" si="762"/>
        <v>0</v>
      </c>
      <c r="R893" s="21">
        <f t="shared" si="762"/>
        <v>0</v>
      </c>
      <c r="S893" s="21">
        <f t="shared" si="762"/>
        <v>0</v>
      </c>
      <c r="T893" s="21">
        <f t="shared" si="762"/>
        <v>0</v>
      </c>
      <c r="U893" s="21">
        <f t="shared" si="762"/>
        <v>0</v>
      </c>
      <c r="V893" s="21">
        <f t="shared" si="762"/>
        <v>0</v>
      </c>
      <c r="W893" s="21">
        <f t="shared" si="762"/>
        <v>0</v>
      </c>
      <c r="X893" s="21">
        <f t="shared" si="762"/>
        <v>0</v>
      </c>
      <c r="Y893" s="21">
        <f t="shared" si="762"/>
        <v>0</v>
      </c>
      <c r="Z893" s="21">
        <f t="shared" si="762"/>
        <v>0</v>
      </c>
      <c r="AA893" s="21">
        <f t="shared" si="762"/>
        <v>0</v>
      </c>
      <c r="AB893" s="21">
        <f t="shared" si="762"/>
        <v>0</v>
      </c>
      <c r="AC893" s="21">
        <f t="shared" si="762"/>
        <v>0</v>
      </c>
      <c r="AD893" s="21">
        <f t="shared" si="762"/>
        <v>0</v>
      </c>
      <c r="AE893" s="21">
        <f t="shared" si="762"/>
        <v>0</v>
      </c>
    </row>
    <row r="894" spans="2:32" x14ac:dyDescent="0.2">
      <c r="C894" s="5"/>
      <c r="D894" s="5"/>
      <c r="E894" s="55"/>
      <c r="G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row>
    <row r="895" spans="2:32" x14ac:dyDescent="0.2">
      <c r="B895" s="24">
        <f>B891+0.01</f>
        <v>7.1399999999999988</v>
      </c>
      <c r="C895" s="20" t="s">
        <v>95</v>
      </c>
      <c r="D895" s="20"/>
      <c r="E895" s="55"/>
      <c r="G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row>
    <row r="896" spans="2:32" x14ac:dyDescent="0.2">
      <c r="B896" s="24"/>
      <c r="C896" s="20"/>
      <c r="D896" s="20"/>
      <c r="E896" s="55"/>
      <c r="G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row>
    <row r="897" spans="2:32" x14ac:dyDescent="0.2">
      <c r="B897" s="24"/>
      <c r="C897" s="5" t="s">
        <v>96</v>
      </c>
      <c r="D897" s="5"/>
      <c r="E897" s="55"/>
      <c r="F897" s="1" t="s">
        <v>55</v>
      </c>
      <c r="G897" s="21">
        <f>SUM(I897:AE897)</f>
        <v>475.57593141478935</v>
      </c>
      <c r="I897" s="41">
        <f>SUMIF('Quarterly Plant Model'!$I$2:$V$2,'Plant model'!I$2,'Quarterly Plant Model'!$I897:$V897)</f>
        <v>56.557541166478941</v>
      </c>
      <c r="J897" s="41">
        <f>SUMIF('Quarterly Plant Model'!$I$2:$V$2,'Plant model'!J$2,'Quarterly Plant Model'!$I897:$V897)</f>
        <v>267.7061937697539</v>
      </c>
      <c r="K897" s="41">
        <f>SUMIF('Quarterly Plant Model'!$I$2:$V$2,'Plant model'!K$2,'Quarterly Plant Model'!$I897:$V897)</f>
        <v>151.31219647855653</v>
      </c>
      <c r="L897" s="41">
        <f>SUMIF('Quarterly Plant Model'!$I$2:$V$2,'Plant model'!L$2,'Quarterly Plant Model'!$I897:$V897)</f>
        <v>0</v>
      </c>
      <c r="M897" s="46">
        <f t="shared" ref="M897:AE897" si="763">M893+M889+M873</f>
        <v>0</v>
      </c>
      <c r="N897" s="21">
        <f t="shared" si="763"/>
        <v>0</v>
      </c>
      <c r="O897" s="21">
        <f t="shared" si="763"/>
        <v>0</v>
      </c>
      <c r="P897" s="21">
        <f t="shared" si="763"/>
        <v>0</v>
      </c>
      <c r="Q897" s="21">
        <f t="shared" si="763"/>
        <v>0</v>
      </c>
      <c r="R897" s="21">
        <f t="shared" si="763"/>
        <v>0</v>
      </c>
      <c r="S897" s="21">
        <f t="shared" si="763"/>
        <v>0</v>
      </c>
      <c r="T897" s="21">
        <f t="shared" si="763"/>
        <v>0</v>
      </c>
      <c r="U897" s="21">
        <f t="shared" si="763"/>
        <v>0</v>
      </c>
      <c r="V897" s="21">
        <f t="shared" si="763"/>
        <v>0</v>
      </c>
      <c r="W897" s="21">
        <f t="shared" si="763"/>
        <v>0</v>
      </c>
      <c r="X897" s="21">
        <f t="shared" si="763"/>
        <v>0</v>
      </c>
      <c r="Y897" s="21">
        <f t="shared" si="763"/>
        <v>0</v>
      </c>
      <c r="Z897" s="21">
        <f t="shared" si="763"/>
        <v>0</v>
      </c>
      <c r="AA897" s="21">
        <f t="shared" si="763"/>
        <v>0</v>
      </c>
      <c r="AB897" s="21">
        <f t="shared" si="763"/>
        <v>0</v>
      </c>
      <c r="AC897" s="21">
        <f t="shared" si="763"/>
        <v>0</v>
      </c>
      <c r="AD897" s="21">
        <f t="shared" si="763"/>
        <v>0</v>
      </c>
      <c r="AE897" s="21">
        <f t="shared" si="763"/>
        <v>0</v>
      </c>
    </row>
    <row r="898" spans="2:32" x14ac:dyDescent="0.2">
      <c r="C898" s="5"/>
      <c r="D898" s="5"/>
    </row>
    <row r="899" spans="2:32" x14ac:dyDescent="0.2">
      <c r="B899" s="6"/>
      <c r="C899" s="6"/>
      <c r="D899" s="6"/>
      <c r="E899" s="7"/>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row>
    <row r="900" spans="2:32" x14ac:dyDescent="0.2">
      <c r="C900" s="5"/>
      <c r="D900" s="5"/>
    </row>
    <row r="901" spans="2:32" s="5" customFormat="1" x14ac:dyDescent="0.2">
      <c r="B901" s="279">
        <f>B809+1</f>
        <v>8</v>
      </c>
      <c r="C901" s="20" t="s">
        <v>97</v>
      </c>
      <c r="D901" s="20"/>
    </row>
    <row r="902" spans="2:32" x14ac:dyDescent="0.2">
      <c r="C902" s="5"/>
      <c r="D902" s="5"/>
    </row>
    <row r="903" spans="2:32" x14ac:dyDescent="0.2">
      <c r="C903" s="9" t="s">
        <v>98</v>
      </c>
      <c r="D903" s="277"/>
      <c r="E903" s="277"/>
    </row>
    <row r="904" spans="2:32" x14ac:dyDescent="0.2">
      <c r="C904" s="1" t="s">
        <v>99</v>
      </c>
      <c r="D904" s="56"/>
      <c r="E904" s="105">
        <v>30</v>
      </c>
      <c r="F904" s="1" t="s">
        <v>100</v>
      </c>
      <c r="AF904" s="1"/>
    </row>
    <row r="905" spans="2:32" x14ac:dyDescent="0.2">
      <c r="C905" s="1" t="s">
        <v>101</v>
      </c>
      <c r="D905" s="56"/>
      <c r="E905" s="105">
        <v>60</v>
      </c>
      <c r="F905" s="1" t="s">
        <v>100</v>
      </c>
      <c r="AF905" s="1"/>
    </row>
    <row r="906" spans="2:32" x14ac:dyDescent="0.2">
      <c r="C906" s="1" t="s">
        <v>102</v>
      </c>
      <c r="D906" s="56"/>
      <c r="E906" s="105">
        <v>0</v>
      </c>
      <c r="F906" s="1" t="s">
        <v>100</v>
      </c>
      <c r="AF906" s="1"/>
    </row>
    <row r="907" spans="2:32" x14ac:dyDescent="0.2">
      <c r="C907" s="1" t="s">
        <v>721</v>
      </c>
      <c r="D907" s="56"/>
      <c r="E907" s="105">
        <v>30</v>
      </c>
      <c r="F907" s="1" t="s">
        <v>100</v>
      </c>
      <c r="AF907" s="1"/>
    </row>
    <row r="908" spans="2:32" x14ac:dyDescent="0.2">
      <c r="C908" s="1" t="s">
        <v>720</v>
      </c>
      <c r="D908" s="56"/>
      <c r="E908" s="105">
        <v>30</v>
      </c>
      <c r="F908" s="1" t="s">
        <v>100</v>
      </c>
      <c r="AF908" s="1"/>
    </row>
    <row r="909" spans="2:32" x14ac:dyDescent="0.2">
      <c r="C909" s="5" t="s">
        <v>103</v>
      </c>
      <c r="D909" s="56"/>
      <c r="E909" s="105">
        <v>45</v>
      </c>
      <c r="F909" s="1" t="s">
        <v>100</v>
      </c>
      <c r="I909" s="21"/>
      <c r="AF909" s="1"/>
    </row>
    <row r="910" spans="2:32" x14ac:dyDescent="0.2">
      <c r="E910" s="56"/>
      <c r="AF910" s="1"/>
    </row>
    <row r="911" spans="2:32" x14ac:dyDescent="0.2">
      <c r="C911" s="1" t="s">
        <v>104</v>
      </c>
      <c r="E911" s="56"/>
      <c r="F911" s="1" t="s">
        <v>55</v>
      </c>
      <c r="G911" s="21"/>
      <c r="I911" s="21">
        <f t="shared" ref="I911:AE911" si="764">I137</f>
        <v>0</v>
      </c>
      <c r="J911" s="21">
        <f t="shared" si="764"/>
        <v>0</v>
      </c>
      <c r="K911" s="21">
        <f t="shared" si="764"/>
        <v>91.613421249999988</v>
      </c>
      <c r="L911" s="21">
        <f t="shared" si="764"/>
        <v>146.58147399999999</v>
      </c>
      <c r="M911" s="21">
        <f t="shared" si="764"/>
        <v>293.16294799999997</v>
      </c>
      <c r="N911" s="21">
        <f t="shared" si="764"/>
        <v>293.16294799999997</v>
      </c>
      <c r="O911" s="21">
        <f t="shared" si="764"/>
        <v>293.16294799999997</v>
      </c>
      <c r="P911" s="21">
        <f t="shared" si="764"/>
        <v>293.16294799999997</v>
      </c>
      <c r="Q911" s="21">
        <f t="shared" si="764"/>
        <v>293.16294799999997</v>
      </c>
      <c r="R911" s="21">
        <f t="shared" si="764"/>
        <v>293.16294799999997</v>
      </c>
      <c r="S911" s="21">
        <f t="shared" si="764"/>
        <v>293.16294799999997</v>
      </c>
      <c r="T911" s="21">
        <f t="shared" si="764"/>
        <v>293.16294799999997</v>
      </c>
      <c r="U911" s="21">
        <f t="shared" si="764"/>
        <v>293.16294799999997</v>
      </c>
      <c r="V911" s="21">
        <f t="shared" si="764"/>
        <v>293.16294799999997</v>
      </c>
      <c r="W911" s="21">
        <f t="shared" si="764"/>
        <v>293.16294799999997</v>
      </c>
      <c r="X911" s="21">
        <f t="shared" si="764"/>
        <v>293.16294799999997</v>
      </c>
      <c r="Y911" s="21">
        <f t="shared" si="764"/>
        <v>293.16294799999997</v>
      </c>
      <c r="Z911" s="21">
        <f t="shared" si="764"/>
        <v>293.16294799999997</v>
      </c>
      <c r="AA911" s="21">
        <f t="shared" si="764"/>
        <v>293.16294799999997</v>
      </c>
      <c r="AB911" s="21">
        <f t="shared" si="764"/>
        <v>293.16294799999997</v>
      </c>
      <c r="AC911" s="21">
        <f t="shared" si="764"/>
        <v>293.16294799999997</v>
      </c>
      <c r="AD911" s="21">
        <f t="shared" si="764"/>
        <v>293.16294799999997</v>
      </c>
      <c r="AE911" s="21">
        <f t="shared" si="764"/>
        <v>293.16294799999997</v>
      </c>
      <c r="AF911" s="1"/>
    </row>
    <row r="912" spans="2:32" x14ac:dyDescent="0.2">
      <c r="C912" s="1" t="s">
        <v>99</v>
      </c>
      <c r="E912" s="56"/>
      <c r="F912" s="1" t="s">
        <v>55</v>
      </c>
      <c r="I912" s="41">
        <f>SUMIF('Quarterly Plant Model'!$I$3:$V$3,DATE(I$3,12,31),'Quarterly Plant Model'!$I912:$V912)</f>
        <v>0</v>
      </c>
      <c r="J912" s="41">
        <f>SUMIF('Quarterly Plant Model'!$I$3:$V$3,DATE(J$3,12,31),'Quarterly Plant Model'!$I912:$V912)</f>
        <v>0</v>
      </c>
      <c r="K912" s="41">
        <f>SUMIF('Quarterly Plant Model'!$I$3:$V$3,DATE(K$3,12,31),'Quarterly Plant Model'!$I912:$V912)</f>
        <v>18.071688575342467</v>
      </c>
      <c r="L912" s="41">
        <f>SUMIF('Quarterly Plant Model'!$I$3:$V$3,DATE(L$3,12,31),'Quarterly Plant Model'!$I912:$V912)</f>
        <v>0</v>
      </c>
      <c r="M912" s="46">
        <f t="shared" ref="M912:AE912" si="765">M911*$E$904/$E$72</f>
        <v>24.095584767123285</v>
      </c>
      <c r="N912" s="21">
        <f t="shared" si="765"/>
        <v>24.095584767123285</v>
      </c>
      <c r="O912" s="21">
        <f t="shared" si="765"/>
        <v>24.095584767123285</v>
      </c>
      <c r="P912" s="21">
        <f t="shared" si="765"/>
        <v>24.095584767123285</v>
      </c>
      <c r="Q912" s="21">
        <f t="shared" si="765"/>
        <v>24.095584767123285</v>
      </c>
      <c r="R912" s="21">
        <f t="shared" si="765"/>
        <v>24.095584767123285</v>
      </c>
      <c r="S912" s="21">
        <f t="shared" si="765"/>
        <v>24.095584767123285</v>
      </c>
      <c r="T912" s="21">
        <f t="shared" si="765"/>
        <v>24.095584767123285</v>
      </c>
      <c r="U912" s="21">
        <f t="shared" si="765"/>
        <v>24.095584767123285</v>
      </c>
      <c r="V912" s="21">
        <f t="shared" si="765"/>
        <v>24.095584767123285</v>
      </c>
      <c r="W912" s="21">
        <f t="shared" si="765"/>
        <v>24.095584767123285</v>
      </c>
      <c r="X912" s="21">
        <f t="shared" si="765"/>
        <v>24.095584767123285</v>
      </c>
      <c r="Y912" s="21">
        <f t="shared" si="765"/>
        <v>24.095584767123285</v>
      </c>
      <c r="Z912" s="21">
        <f t="shared" si="765"/>
        <v>24.095584767123285</v>
      </c>
      <c r="AA912" s="21">
        <f t="shared" si="765"/>
        <v>24.095584767123285</v>
      </c>
      <c r="AB912" s="21">
        <f t="shared" si="765"/>
        <v>24.095584767123285</v>
      </c>
      <c r="AC912" s="21">
        <f t="shared" si="765"/>
        <v>24.095584767123285</v>
      </c>
      <c r="AD912" s="21">
        <f t="shared" si="765"/>
        <v>24.095584767123285</v>
      </c>
      <c r="AE912" s="21">
        <f t="shared" si="765"/>
        <v>24.095584767123285</v>
      </c>
      <c r="AF912" s="1"/>
    </row>
    <row r="913" spans="3:32" x14ac:dyDescent="0.2">
      <c r="E913" s="56"/>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1"/>
    </row>
    <row r="914" spans="3:32" x14ac:dyDescent="0.2">
      <c r="C914" s="1" t="s">
        <v>719</v>
      </c>
      <c r="E914" s="56"/>
      <c r="F914" s="1" t="s">
        <v>15</v>
      </c>
      <c r="I914" s="21">
        <f t="shared" ref="I914:AE914" si="766">I104</f>
        <v>0</v>
      </c>
      <c r="J914" s="21">
        <f t="shared" si="766"/>
        <v>0</v>
      </c>
      <c r="K914" s="21">
        <f t="shared" si="766"/>
        <v>0.13552281249999998</v>
      </c>
      <c r="L914" s="21">
        <f t="shared" si="766"/>
        <v>0.21683649999999999</v>
      </c>
      <c r="M914" s="21">
        <f t="shared" si="766"/>
        <v>0.43367299999999998</v>
      </c>
      <c r="N914" s="21">
        <f t="shared" si="766"/>
        <v>0.43367299999999998</v>
      </c>
      <c r="O914" s="21">
        <f t="shared" si="766"/>
        <v>0.43367299999999998</v>
      </c>
      <c r="P914" s="21">
        <f t="shared" si="766"/>
        <v>0.43367299999999998</v>
      </c>
      <c r="Q914" s="21">
        <f t="shared" si="766"/>
        <v>0.43367299999999998</v>
      </c>
      <c r="R914" s="21">
        <f t="shared" si="766"/>
        <v>0.43367299999999998</v>
      </c>
      <c r="S914" s="21">
        <f t="shared" si="766"/>
        <v>0.43367299999999998</v>
      </c>
      <c r="T914" s="21">
        <f t="shared" si="766"/>
        <v>0.43367299999999998</v>
      </c>
      <c r="U914" s="21">
        <f t="shared" si="766"/>
        <v>0.43367299999999998</v>
      </c>
      <c r="V914" s="21">
        <f t="shared" si="766"/>
        <v>0.43367299999999998</v>
      </c>
      <c r="W914" s="21">
        <f t="shared" si="766"/>
        <v>0.43367299999999998</v>
      </c>
      <c r="X914" s="21">
        <f t="shared" si="766"/>
        <v>0.43367299999999998</v>
      </c>
      <c r="Y914" s="21">
        <f t="shared" si="766"/>
        <v>0.43367299999999998</v>
      </c>
      <c r="Z914" s="21">
        <f t="shared" si="766"/>
        <v>0.43367299999999998</v>
      </c>
      <c r="AA914" s="21">
        <f t="shared" si="766"/>
        <v>0.43367299999999998</v>
      </c>
      <c r="AB914" s="21">
        <f t="shared" si="766"/>
        <v>0.43367299999999998</v>
      </c>
      <c r="AC914" s="21">
        <f t="shared" si="766"/>
        <v>0.43367299999999998</v>
      </c>
      <c r="AD914" s="21">
        <f t="shared" si="766"/>
        <v>0.43367299999999998</v>
      </c>
      <c r="AE914" s="21">
        <f t="shared" si="766"/>
        <v>0.43367299999999998</v>
      </c>
      <c r="AF914" s="1"/>
    </row>
    <row r="915" spans="3:32" x14ac:dyDescent="0.2">
      <c r="C915" s="1" t="s">
        <v>716</v>
      </c>
      <c r="E915" s="56"/>
      <c r="F915" s="1" t="s">
        <v>15</v>
      </c>
      <c r="I915" s="41">
        <f>SUMIF('Quarterly Plant Model'!$I$3:$V$3,DATE(I$3,12,31),'Quarterly Plant Model'!$I915:$V915)</f>
        <v>0</v>
      </c>
      <c r="J915" s="41">
        <f>SUMIF('Quarterly Plant Model'!$I$3:$V$3,DATE(J$3,12,31),'Quarterly Plant Model'!$I915:$V915)</f>
        <v>0</v>
      </c>
      <c r="K915" s="41">
        <f>SUMIF('Quarterly Plant Model'!$I$3:$V$3,DATE(K$3,12,31),'Quarterly Plant Model'!$I915:$V915)</f>
        <v>2.673326712328767E-2</v>
      </c>
      <c r="L915" s="41">
        <f>SUMIF('Quarterly Plant Model'!$I$3:$V$3,DATE(L$3,12,31),'Quarterly Plant Model'!$I915:$V915)</f>
        <v>0</v>
      </c>
      <c r="M915" s="46">
        <f t="shared" ref="M915:AE915" si="767">M914*$E$907/$E$72</f>
        <v>3.5644356164383557E-2</v>
      </c>
      <c r="N915" s="21">
        <f t="shared" si="767"/>
        <v>3.5644356164383557E-2</v>
      </c>
      <c r="O915" s="21">
        <f t="shared" si="767"/>
        <v>3.5644356164383557E-2</v>
      </c>
      <c r="P915" s="21">
        <f t="shared" si="767"/>
        <v>3.5644356164383557E-2</v>
      </c>
      <c r="Q915" s="21">
        <f t="shared" si="767"/>
        <v>3.5644356164383557E-2</v>
      </c>
      <c r="R915" s="21">
        <f t="shared" si="767"/>
        <v>3.5644356164383557E-2</v>
      </c>
      <c r="S915" s="21">
        <f t="shared" si="767"/>
        <v>3.5644356164383557E-2</v>
      </c>
      <c r="T915" s="21">
        <f t="shared" si="767"/>
        <v>3.5644356164383557E-2</v>
      </c>
      <c r="U915" s="21">
        <f t="shared" si="767"/>
        <v>3.5644356164383557E-2</v>
      </c>
      <c r="V915" s="21">
        <f t="shared" si="767"/>
        <v>3.5644356164383557E-2</v>
      </c>
      <c r="W915" s="21">
        <f t="shared" si="767"/>
        <v>3.5644356164383557E-2</v>
      </c>
      <c r="X915" s="21">
        <f t="shared" si="767"/>
        <v>3.5644356164383557E-2</v>
      </c>
      <c r="Y915" s="21">
        <f t="shared" si="767"/>
        <v>3.5644356164383557E-2</v>
      </c>
      <c r="Z915" s="21">
        <f t="shared" si="767"/>
        <v>3.5644356164383557E-2</v>
      </c>
      <c r="AA915" s="21">
        <f t="shared" si="767"/>
        <v>3.5644356164383557E-2</v>
      </c>
      <c r="AB915" s="21">
        <f t="shared" si="767"/>
        <v>3.5644356164383557E-2</v>
      </c>
      <c r="AC915" s="21">
        <f t="shared" si="767"/>
        <v>3.5644356164383557E-2</v>
      </c>
      <c r="AD915" s="21">
        <f t="shared" si="767"/>
        <v>3.5644356164383557E-2</v>
      </c>
      <c r="AE915" s="21">
        <f t="shared" si="767"/>
        <v>3.5644356164383557E-2</v>
      </c>
      <c r="AF915" s="1"/>
    </row>
    <row r="916" spans="3:32" x14ac:dyDescent="0.2">
      <c r="C916" s="1" t="s">
        <v>717</v>
      </c>
      <c r="E916" s="56"/>
      <c r="F916" s="1" t="s">
        <v>3</v>
      </c>
      <c r="I916" s="41">
        <f>SUMIF('Quarterly Plant Model'!$I$3:$V$3,DATE(I$3,12,31),'Quarterly Plant Model'!$I916:$V916)</f>
        <v>0</v>
      </c>
      <c r="J916" s="41">
        <f>SUMIF('Quarterly Plant Model'!$I$3:$V$3,DATE(J$3,12,31),'Quarterly Plant Model'!$I916:$V916)</f>
        <v>0</v>
      </c>
      <c r="K916" s="41">
        <f>SUMIF('Quarterly Plant Model'!$I$3:$V$3,DATE(K$3,12,31),'Quarterly Plant Model'!$I916:$V916)</f>
        <v>346.68119398265554</v>
      </c>
      <c r="L916" s="41">
        <f>SUMIF('Quarterly Plant Model'!$I$3:$V$3,DATE(L$3,12,31),'Quarterly Plant Model'!$I916:$V916)</f>
        <v>0</v>
      </c>
      <c r="M916" s="21">
        <f t="shared" ref="M916:AE916" si="768">M797</f>
        <v>343.45092374517162</v>
      </c>
      <c r="N916" s="21">
        <f t="shared" si="768"/>
        <v>343.45092374517162</v>
      </c>
      <c r="O916" s="21">
        <f t="shared" si="768"/>
        <v>343.45092374517168</v>
      </c>
      <c r="P916" s="21">
        <f t="shared" si="768"/>
        <v>343.45092374517168</v>
      </c>
      <c r="Q916" s="21">
        <f t="shared" si="768"/>
        <v>344.58919720867362</v>
      </c>
      <c r="R916" s="21">
        <f t="shared" si="768"/>
        <v>345.72747067217557</v>
      </c>
      <c r="S916" s="21">
        <f t="shared" si="768"/>
        <v>346.86574413567752</v>
      </c>
      <c r="T916" s="21">
        <f t="shared" si="768"/>
        <v>348.00401759917958</v>
      </c>
      <c r="U916" s="21">
        <f t="shared" si="768"/>
        <v>348.00401759917958</v>
      </c>
      <c r="V916" s="21">
        <f t="shared" si="768"/>
        <v>349.70442921285814</v>
      </c>
      <c r="W916" s="21">
        <f t="shared" si="768"/>
        <v>353.28570376451341</v>
      </c>
      <c r="X916" s="21">
        <f t="shared" si="768"/>
        <v>356.76164671170818</v>
      </c>
      <c r="Y916" s="21">
        <f t="shared" si="768"/>
        <v>356.76164671170818</v>
      </c>
      <c r="Z916" s="21">
        <f t="shared" si="768"/>
        <v>356.76164671170818</v>
      </c>
      <c r="AA916" s="21">
        <f t="shared" si="768"/>
        <v>356.76164671170818</v>
      </c>
      <c r="AB916" s="21">
        <f t="shared" si="768"/>
        <v>356.76164671170818</v>
      </c>
      <c r="AC916" s="21">
        <f t="shared" si="768"/>
        <v>356.76164671170818</v>
      </c>
      <c r="AD916" s="21">
        <f t="shared" si="768"/>
        <v>356.76164671170818</v>
      </c>
      <c r="AE916" s="21">
        <f t="shared" si="768"/>
        <v>356.76164671170818</v>
      </c>
      <c r="AF916" s="1"/>
    </row>
    <row r="917" spans="3:32" x14ac:dyDescent="0.2">
      <c r="C917" s="1" t="s">
        <v>718</v>
      </c>
      <c r="E917" s="56"/>
      <c r="F917" s="1" t="s">
        <v>55</v>
      </c>
      <c r="I917" s="21">
        <f>I915*I916</f>
        <v>0</v>
      </c>
      <c r="J917" s="21">
        <f t="shared" ref="J917:AE917" si="769">J915*J916</f>
        <v>0</v>
      </c>
      <c r="K917" s="21">
        <f t="shared" si="769"/>
        <v>9.2679209653586412</v>
      </c>
      <c r="L917" s="21">
        <f>L915*L916</f>
        <v>0</v>
      </c>
      <c r="M917" s="21">
        <f t="shared" si="769"/>
        <v>12.242087050959436</v>
      </c>
      <c r="N917" s="21">
        <f t="shared" si="769"/>
        <v>12.242087050959436</v>
      </c>
      <c r="O917" s="21">
        <f t="shared" si="769"/>
        <v>12.242087050959437</v>
      </c>
      <c r="P917" s="21">
        <f t="shared" si="769"/>
        <v>12.242087050959437</v>
      </c>
      <c r="Q917" s="21">
        <f t="shared" si="769"/>
        <v>12.282660075704968</v>
      </c>
      <c r="R917" s="21">
        <f t="shared" si="769"/>
        <v>12.323233100450496</v>
      </c>
      <c r="S917" s="21">
        <f t="shared" si="769"/>
        <v>12.363806125196026</v>
      </c>
      <c r="T917" s="21">
        <f t="shared" si="769"/>
        <v>12.40437914994156</v>
      </c>
      <c r="U917" s="21">
        <f t="shared" si="769"/>
        <v>12.40437914994156</v>
      </c>
      <c r="V917" s="21">
        <f t="shared" si="769"/>
        <v>12.464989227125574</v>
      </c>
      <c r="W917" s="21">
        <f t="shared" si="769"/>
        <v>12.592641452767218</v>
      </c>
      <c r="X917" s="21">
        <f t="shared" si="769"/>
        <v>12.716539201184105</v>
      </c>
      <c r="Y917" s="21">
        <f t="shared" si="769"/>
        <v>12.716539201184105</v>
      </c>
      <c r="Z917" s="21">
        <f t="shared" si="769"/>
        <v>12.716539201184105</v>
      </c>
      <c r="AA917" s="21">
        <f t="shared" si="769"/>
        <v>12.716539201184105</v>
      </c>
      <c r="AB917" s="21">
        <f t="shared" si="769"/>
        <v>12.716539201184105</v>
      </c>
      <c r="AC917" s="21">
        <f t="shared" si="769"/>
        <v>12.716539201184105</v>
      </c>
      <c r="AD917" s="21">
        <f t="shared" si="769"/>
        <v>12.716539201184105</v>
      </c>
      <c r="AE917" s="21">
        <f t="shared" si="769"/>
        <v>12.716539201184105</v>
      </c>
      <c r="AF917" s="1"/>
    </row>
    <row r="918" spans="3:32" x14ac:dyDescent="0.2">
      <c r="E918" s="56"/>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1"/>
    </row>
    <row r="919" spans="3:32" x14ac:dyDescent="0.2">
      <c r="C919" s="1" t="s">
        <v>534</v>
      </c>
      <c r="E919" s="56"/>
      <c r="F919" s="1" t="s">
        <v>15</v>
      </c>
      <c r="I919" s="21">
        <f t="shared" ref="I919:AE919" si="770">I191</f>
        <v>0</v>
      </c>
      <c r="J919" s="21">
        <f t="shared" si="770"/>
        <v>0</v>
      </c>
      <c r="K919" s="21">
        <f t="shared" si="770"/>
        <v>0.21388906249999995</v>
      </c>
      <c r="L919" s="21">
        <f t="shared" si="770"/>
        <v>0.34222249999999999</v>
      </c>
      <c r="M919" s="21">
        <f t="shared" si="770"/>
        <v>0.68444499999999997</v>
      </c>
      <c r="N919" s="21">
        <f t="shared" si="770"/>
        <v>0.68444499999999997</v>
      </c>
      <c r="O919" s="21">
        <f t="shared" si="770"/>
        <v>0.68444499999999997</v>
      </c>
      <c r="P919" s="21">
        <f t="shared" si="770"/>
        <v>0.68444499999999997</v>
      </c>
      <c r="Q919" s="21">
        <f t="shared" si="770"/>
        <v>0.68444499999999997</v>
      </c>
      <c r="R919" s="21">
        <f t="shared" si="770"/>
        <v>0.68444499999999997</v>
      </c>
      <c r="S919" s="21">
        <f t="shared" si="770"/>
        <v>0.68444499999999997</v>
      </c>
      <c r="T919" s="21">
        <f t="shared" si="770"/>
        <v>0.68444499999999997</v>
      </c>
      <c r="U919" s="21">
        <f t="shared" si="770"/>
        <v>0.68444499999999997</v>
      </c>
      <c r="V919" s="21">
        <f t="shared" si="770"/>
        <v>0.68444499999999997</v>
      </c>
      <c r="W919" s="21">
        <f t="shared" si="770"/>
        <v>0.68444499999999997</v>
      </c>
      <c r="X919" s="21">
        <f t="shared" si="770"/>
        <v>0.68444499999999997</v>
      </c>
      <c r="Y919" s="21">
        <f t="shared" si="770"/>
        <v>0.68444499999999997</v>
      </c>
      <c r="Z919" s="21">
        <f t="shared" si="770"/>
        <v>0.68444499999999997</v>
      </c>
      <c r="AA919" s="21">
        <f t="shared" si="770"/>
        <v>0.68444499999999997</v>
      </c>
      <c r="AB919" s="21">
        <f t="shared" si="770"/>
        <v>0.68444499999999997</v>
      </c>
      <c r="AC919" s="21">
        <f t="shared" si="770"/>
        <v>0.68444499999999997</v>
      </c>
      <c r="AD919" s="21">
        <f t="shared" si="770"/>
        <v>0.68444499999999997</v>
      </c>
      <c r="AE919" s="21">
        <f t="shared" si="770"/>
        <v>0.68444499999999997</v>
      </c>
      <c r="AF919" s="1"/>
    </row>
    <row r="920" spans="3:32" x14ac:dyDescent="0.2">
      <c r="C920" s="1" t="s">
        <v>535</v>
      </c>
      <c r="E920" s="56"/>
      <c r="F920" s="1" t="s">
        <v>15</v>
      </c>
      <c r="I920" s="41">
        <f>SUMIF('Quarterly Plant Model'!$I$3:$V$3,DATE(I$3,12,31),'Quarterly Plant Model'!$I920:$V920)</f>
        <v>0</v>
      </c>
      <c r="J920" s="41">
        <f>SUMIF('Quarterly Plant Model'!$I$3:$V$3,DATE(J$3,12,31),'Quarterly Plant Model'!$I920:$V920)</f>
        <v>0</v>
      </c>
      <c r="K920" s="41">
        <f>SUMIF('Quarterly Plant Model'!$I$3:$V$3,DATE(K$3,12,31),'Quarterly Plant Model'!$I920:$V920)</f>
        <v>4.2191815068493142E-2</v>
      </c>
      <c r="L920" s="41">
        <f>SUMIF('Quarterly Plant Model'!$I$3:$V$3,DATE(L$3,12,31),'Quarterly Plant Model'!$I920:$V920)</f>
        <v>0</v>
      </c>
      <c r="M920" s="46">
        <f t="shared" ref="M920:AE920" si="771">M919*$E$908/$E$72</f>
        <v>5.625575342465753E-2</v>
      </c>
      <c r="N920" s="21">
        <f t="shared" si="771"/>
        <v>5.625575342465753E-2</v>
      </c>
      <c r="O920" s="21">
        <f t="shared" si="771"/>
        <v>5.625575342465753E-2</v>
      </c>
      <c r="P920" s="21">
        <f t="shared" si="771"/>
        <v>5.625575342465753E-2</v>
      </c>
      <c r="Q920" s="21">
        <f t="shared" si="771"/>
        <v>5.625575342465753E-2</v>
      </c>
      <c r="R920" s="21">
        <f t="shared" si="771"/>
        <v>5.625575342465753E-2</v>
      </c>
      <c r="S920" s="21">
        <f t="shared" si="771"/>
        <v>5.625575342465753E-2</v>
      </c>
      <c r="T920" s="21">
        <f t="shared" si="771"/>
        <v>5.625575342465753E-2</v>
      </c>
      <c r="U920" s="21">
        <f t="shared" si="771"/>
        <v>5.625575342465753E-2</v>
      </c>
      <c r="V920" s="21">
        <f t="shared" si="771"/>
        <v>5.625575342465753E-2</v>
      </c>
      <c r="W920" s="21">
        <f t="shared" si="771"/>
        <v>5.625575342465753E-2</v>
      </c>
      <c r="X920" s="21">
        <f t="shared" si="771"/>
        <v>5.625575342465753E-2</v>
      </c>
      <c r="Y920" s="21">
        <f t="shared" si="771"/>
        <v>5.625575342465753E-2</v>
      </c>
      <c r="Z920" s="21">
        <f t="shared" si="771"/>
        <v>5.625575342465753E-2</v>
      </c>
      <c r="AA920" s="21">
        <f t="shared" si="771"/>
        <v>5.625575342465753E-2</v>
      </c>
      <c r="AB920" s="21">
        <f t="shared" si="771"/>
        <v>5.625575342465753E-2</v>
      </c>
      <c r="AC920" s="21">
        <f t="shared" si="771"/>
        <v>5.625575342465753E-2</v>
      </c>
      <c r="AD920" s="21">
        <f t="shared" si="771"/>
        <v>5.625575342465753E-2</v>
      </c>
      <c r="AE920" s="21">
        <f t="shared" si="771"/>
        <v>5.625575342465753E-2</v>
      </c>
      <c r="AF920" s="1"/>
    </row>
    <row r="921" spans="3:32" x14ac:dyDescent="0.2">
      <c r="C921" s="1" t="s">
        <v>536</v>
      </c>
      <c r="E921" s="56"/>
      <c r="F921" s="1" t="s">
        <v>3</v>
      </c>
      <c r="I921" s="41">
        <f>SUMIF('Quarterly Plant Model'!$I$3:$V$3,DATE(I$3,12,31),'Quarterly Plant Model'!$I921:$V921)</f>
        <v>119.3707857142857</v>
      </c>
      <c r="J921" s="41">
        <f>SUMIF('Quarterly Plant Model'!$I$3:$V$3,DATE(J$3,12,31),'Quarterly Plant Model'!$I921:$V921)</f>
        <v>119.3707857142857</v>
      </c>
      <c r="K921" s="41">
        <f>SUMIF('Quarterly Plant Model'!$I$3:$V$3,DATE(K$3,12,31),'Quarterly Plant Model'!$I921:$V921)</f>
        <v>119.3707857142857</v>
      </c>
      <c r="L921" s="41">
        <f>SUMIF('Quarterly Plant Model'!$I$3:$V$3,DATE(L$3,12,31),'Quarterly Plant Model'!$I921:$V921)</f>
        <v>0</v>
      </c>
      <c r="M921" s="21">
        <f t="shared" ref="M921:AE921" si="772">M199</f>
        <v>119.3707857142857</v>
      </c>
      <c r="N921" s="21">
        <f t="shared" si="772"/>
        <v>119.3707857142857</v>
      </c>
      <c r="O921" s="21">
        <f t="shared" si="772"/>
        <v>119.3707857142857</v>
      </c>
      <c r="P921" s="21">
        <f t="shared" si="772"/>
        <v>119.3707857142857</v>
      </c>
      <c r="Q921" s="21">
        <f t="shared" si="772"/>
        <v>119.3707857142857</v>
      </c>
      <c r="R921" s="21">
        <f t="shared" si="772"/>
        <v>119.3707857142857</v>
      </c>
      <c r="S921" s="21">
        <f t="shared" si="772"/>
        <v>119.3707857142857</v>
      </c>
      <c r="T921" s="21">
        <f t="shared" si="772"/>
        <v>119.3707857142857</v>
      </c>
      <c r="U921" s="21">
        <f t="shared" si="772"/>
        <v>119.3707857142857</v>
      </c>
      <c r="V921" s="21">
        <f t="shared" si="772"/>
        <v>119.3707857142857</v>
      </c>
      <c r="W921" s="21">
        <f t="shared" si="772"/>
        <v>119.3707857142857</v>
      </c>
      <c r="X921" s="21">
        <f t="shared" si="772"/>
        <v>119.3707857142857</v>
      </c>
      <c r="Y921" s="21">
        <f t="shared" si="772"/>
        <v>119.3707857142857</v>
      </c>
      <c r="Z921" s="21">
        <f t="shared" si="772"/>
        <v>119.3707857142857</v>
      </c>
      <c r="AA921" s="21">
        <f t="shared" si="772"/>
        <v>119.3707857142857</v>
      </c>
      <c r="AB921" s="21">
        <f t="shared" si="772"/>
        <v>119.3707857142857</v>
      </c>
      <c r="AC921" s="21">
        <f t="shared" si="772"/>
        <v>119.3707857142857</v>
      </c>
      <c r="AD921" s="21">
        <f t="shared" si="772"/>
        <v>119.3707857142857</v>
      </c>
      <c r="AE921" s="21">
        <f t="shared" si="772"/>
        <v>119.3707857142857</v>
      </c>
      <c r="AF921" s="1"/>
    </row>
    <row r="922" spans="3:32" x14ac:dyDescent="0.2">
      <c r="C922" s="1" t="s">
        <v>537</v>
      </c>
      <c r="E922" s="56"/>
      <c r="F922" s="1" t="s">
        <v>55</v>
      </c>
      <c r="I922" s="21">
        <f>I920*I921</f>
        <v>0</v>
      </c>
      <c r="J922" s="21">
        <f t="shared" ref="J922:AE922" si="773">J920*J921</f>
        <v>0</v>
      </c>
      <c r="K922" s="21">
        <f>K920*K921</f>
        <v>5.036470115437865</v>
      </c>
      <c r="L922" s="21">
        <f t="shared" si="773"/>
        <v>0</v>
      </c>
      <c r="M922" s="21">
        <f t="shared" si="773"/>
        <v>6.7152934872504879</v>
      </c>
      <c r="N922" s="21">
        <f t="shared" si="773"/>
        <v>6.7152934872504879</v>
      </c>
      <c r="O922" s="21">
        <f t="shared" si="773"/>
        <v>6.7152934872504879</v>
      </c>
      <c r="P922" s="21">
        <f t="shared" si="773"/>
        <v>6.7152934872504879</v>
      </c>
      <c r="Q922" s="21">
        <f t="shared" si="773"/>
        <v>6.7152934872504879</v>
      </c>
      <c r="R922" s="21">
        <f t="shared" si="773"/>
        <v>6.7152934872504879</v>
      </c>
      <c r="S922" s="21">
        <f t="shared" si="773"/>
        <v>6.7152934872504879</v>
      </c>
      <c r="T922" s="21">
        <f t="shared" si="773"/>
        <v>6.7152934872504879</v>
      </c>
      <c r="U922" s="21">
        <f t="shared" si="773"/>
        <v>6.7152934872504879</v>
      </c>
      <c r="V922" s="21">
        <f t="shared" si="773"/>
        <v>6.7152934872504879</v>
      </c>
      <c r="W922" s="21">
        <f t="shared" si="773"/>
        <v>6.7152934872504879</v>
      </c>
      <c r="X922" s="21">
        <f t="shared" si="773"/>
        <v>6.7152934872504879</v>
      </c>
      <c r="Y922" s="21">
        <f t="shared" si="773"/>
        <v>6.7152934872504879</v>
      </c>
      <c r="Z922" s="21">
        <f t="shared" si="773"/>
        <v>6.7152934872504879</v>
      </c>
      <c r="AA922" s="21">
        <f t="shared" si="773"/>
        <v>6.7152934872504879</v>
      </c>
      <c r="AB922" s="21">
        <f t="shared" si="773"/>
        <v>6.7152934872504879</v>
      </c>
      <c r="AC922" s="21">
        <f t="shared" si="773"/>
        <v>6.7152934872504879</v>
      </c>
      <c r="AD922" s="21">
        <f t="shared" si="773"/>
        <v>6.7152934872504879</v>
      </c>
      <c r="AE922" s="21">
        <f t="shared" si="773"/>
        <v>6.7152934872504879</v>
      </c>
      <c r="AF922" s="1"/>
    </row>
    <row r="923" spans="3:32" x14ac:dyDescent="0.2">
      <c r="E923" s="56"/>
      <c r="AF923" s="1"/>
    </row>
    <row r="924" spans="3:32" x14ac:dyDescent="0.2">
      <c r="C924" s="1" t="s">
        <v>105</v>
      </c>
      <c r="E924" s="56"/>
      <c r="F924" s="1" t="s">
        <v>15</v>
      </c>
      <c r="I924" s="21">
        <f t="shared" ref="I924:AE924" si="774">I251</f>
        <v>0</v>
      </c>
      <c r="J924" s="21">
        <f t="shared" si="774"/>
        <v>0</v>
      </c>
      <c r="K924" s="21">
        <f t="shared" si="774"/>
        <v>9.025819312499999E-3</v>
      </c>
      <c r="L924" s="21">
        <f t="shared" si="774"/>
        <v>1.44413109E-2</v>
      </c>
      <c r="M924" s="21">
        <f t="shared" si="774"/>
        <v>2.8882621800000001E-2</v>
      </c>
      <c r="N924" s="21">
        <f t="shared" si="774"/>
        <v>2.8882621800000001E-2</v>
      </c>
      <c r="O924" s="21">
        <f t="shared" si="774"/>
        <v>2.8882621800000001E-2</v>
      </c>
      <c r="P924" s="21">
        <f t="shared" si="774"/>
        <v>2.8882621800000001E-2</v>
      </c>
      <c r="Q924" s="21">
        <f t="shared" si="774"/>
        <v>2.8882621800000001E-2</v>
      </c>
      <c r="R924" s="21">
        <f t="shared" si="774"/>
        <v>2.8882621800000001E-2</v>
      </c>
      <c r="S924" s="21">
        <f t="shared" si="774"/>
        <v>2.8882621800000001E-2</v>
      </c>
      <c r="T924" s="21">
        <f t="shared" si="774"/>
        <v>2.8882621800000001E-2</v>
      </c>
      <c r="U924" s="21">
        <f t="shared" si="774"/>
        <v>2.8882621800000001E-2</v>
      </c>
      <c r="V924" s="21">
        <f t="shared" si="774"/>
        <v>2.8882621800000001E-2</v>
      </c>
      <c r="W924" s="21">
        <f t="shared" si="774"/>
        <v>2.8882621800000001E-2</v>
      </c>
      <c r="X924" s="21">
        <f t="shared" si="774"/>
        <v>2.8882621800000001E-2</v>
      </c>
      <c r="Y924" s="21">
        <f t="shared" si="774"/>
        <v>2.8882621800000001E-2</v>
      </c>
      <c r="Z924" s="21">
        <f t="shared" si="774"/>
        <v>2.8882621800000001E-2</v>
      </c>
      <c r="AA924" s="21">
        <f t="shared" si="774"/>
        <v>2.8882621800000001E-2</v>
      </c>
      <c r="AB924" s="21">
        <f t="shared" si="774"/>
        <v>2.8882621800000001E-2</v>
      </c>
      <c r="AC924" s="21">
        <f t="shared" si="774"/>
        <v>2.8882621800000001E-2</v>
      </c>
      <c r="AD924" s="21">
        <f t="shared" si="774"/>
        <v>2.8882621800000001E-2</v>
      </c>
      <c r="AE924" s="21">
        <f t="shared" si="774"/>
        <v>2.8882621800000001E-2</v>
      </c>
      <c r="AF924" s="1"/>
    </row>
    <row r="925" spans="3:32" x14ac:dyDescent="0.2">
      <c r="C925" s="1" t="s">
        <v>106</v>
      </c>
      <c r="E925" s="56"/>
      <c r="F925" s="1" t="s">
        <v>15</v>
      </c>
      <c r="I925" s="41">
        <f>SUMIF('Quarterly Plant Model'!$I$3:$V$3,DATE(I$3,12,31),'Quarterly Plant Model'!$I925:$V925)</f>
        <v>0</v>
      </c>
      <c r="J925" s="41">
        <f>SUMIF('Quarterly Plant Model'!$I$3:$V$3,DATE(J$3,12,31),'Quarterly Plant Model'!$I925:$V925)</f>
        <v>0</v>
      </c>
      <c r="K925" s="41">
        <f>SUMIF('Quarterly Plant Model'!$I$3:$V$3,DATE(K$3,12,31),'Quarterly Plant Model'!$I925:$V925)</f>
        <v>2.6706533856164388E-3</v>
      </c>
      <c r="L925" s="41">
        <f>SUMIF('Quarterly Plant Model'!$I$3:$V$3,DATE(L$3,12,31),'Quarterly Plant Model'!$I925:$V925)</f>
        <v>0</v>
      </c>
      <c r="M925" s="46">
        <f t="shared" ref="M925:AE925" si="775">M924*$E$909/$E$72</f>
        <v>3.5608711808219184E-3</v>
      </c>
      <c r="N925" s="21">
        <f t="shared" si="775"/>
        <v>3.5608711808219184E-3</v>
      </c>
      <c r="O925" s="21">
        <f t="shared" si="775"/>
        <v>3.5608711808219184E-3</v>
      </c>
      <c r="P925" s="21">
        <f t="shared" si="775"/>
        <v>3.5608711808219184E-3</v>
      </c>
      <c r="Q925" s="21">
        <f t="shared" si="775"/>
        <v>3.5608711808219184E-3</v>
      </c>
      <c r="R925" s="21">
        <f t="shared" si="775"/>
        <v>3.5608711808219184E-3</v>
      </c>
      <c r="S925" s="21">
        <f t="shared" si="775"/>
        <v>3.5608711808219184E-3</v>
      </c>
      <c r="T925" s="21">
        <f t="shared" si="775"/>
        <v>3.5608711808219184E-3</v>
      </c>
      <c r="U925" s="21">
        <f t="shared" si="775"/>
        <v>3.5608711808219184E-3</v>
      </c>
      <c r="V925" s="21">
        <f t="shared" si="775"/>
        <v>3.5608711808219184E-3</v>
      </c>
      <c r="W925" s="21">
        <f t="shared" si="775"/>
        <v>3.5608711808219184E-3</v>
      </c>
      <c r="X925" s="21">
        <f t="shared" si="775"/>
        <v>3.5608711808219184E-3</v>
      </c>
      <c r="Y925" s="21">
        <f t="shared" si="775"/>
        <v>3.5608711808219184E-3</v>
      </c>
      <c r="Z925" s="21">
        <f t="shared" si="775"/>
        <v>3.5608711808219184E-3</v>
      </c>
      <c r="AA925" s="21">
        <f t="shared" si="775"/>
        <v>3.5608711808219184E-3</v>
      </c>
      <c r="AB925" s="21">
        <f t="shared" si="775"/>
        <v>3.5608711808219184E-3</v>
      </c>
      <c r="AC925" s="21">
        <f t="shared" si="775"/>
        <v>3.5608711808219184E-3</v>
      </c>
      <c r="AD925" s="21">
        <f t="shared" si="775"/>
        <v>3.5608711808219184E-3</v>
      </c>
      <c r="AE925" s="21">
        <f t="shared" si="775"/>
        <v>3.5608711808219184E-3</v>
      </c>
      <c r="AF925" s="1"/>
    </row>
    <row r="926" spans="3:32" x14ac:dyDescent="0.2">
      <c r="C926" s="1" t="s">
        <v>107</v>
      </c>
      <c r="E926" s="56"/>
      <c r="F926" s="1" t="s">
        <v>3</v>
      </c>
      <c r="I926" s="41">
        <f>SUMIF('Quarterly Plant Model'!$I$3:$V$3,DATE(I$3,12,31),'Quarterly Plant Model'!$I926:$V926)</f>
        <v>120</v>
      </c>
      <c r="J926" s="41">
        <f>SUMIF('Quarterly Plant Model'!$I$3:$V$3,DATE(J$3,12,31),'Quarterly Plant Model'!$I926:$V926)</f>
        <v>120</v>
      </c>
      <c r="K926" s="41">
        <f>SUMIF('Quarterly Plant Model'!$I$3:$V$3,DATE(K$3,12,31),'Quarterly Plant Model'!$I926:$V926)</f>
        <v>120</v>
      </c>
      <c r="L926" s="41">
        <f>SUMIF('Quarterly Plant Model'!$I$3:$V$3,DATE(L$3,12,31),'Quarterly Plant Model'!$I926:$V926)</f>
        <v>0</v>
      </c>
      <c r="M926" s="21">
        <f t="shared" ref="M926:AE926" si="776">M255</f>
        <v>120</v>
      </c>
      <c r="N926" s="21">
        <f t="shared" si="776"/>
        <v>120</v>
      </c>
      <c r="O926" s="21">
        <f t="shared" si="776"/>
        <v>120</v>
      </c>
      <c r="P926" s="21">
        <f t="shared" si="776"/>
        <v>120</v>
      </c>
      <c r="Q926" s="21">
        <f t="shared" si="776"/>
        <v>120</v>
      </c>
      <c r="R926" s="21">
        <f t="shared" si="776"/>
        <v>120</v>
      </c>
      <c r="S926" s="21">
        <f t="shared" si="776"/>
        <v>120</v>
      </c>
      <c r="T926" s="21">
        <f t="shared" si="776"/>
        <v>120</v>
      </c>
      <c r="U926" s="21">
        <f t="shared" si="776"/>
        <v>120</v>
      </c>
      <c r="V926" s="21">
        <f t="shared" si="776"/>
        <v>120</v>
      </c>
      <c r="W926" s="21">
        <f t="shared" si="776"/>
        <v>120</v>
      </c>
      <c r="X926" s="21">
        <f t="shared" si="776"/>
        <v>120</v>
      </c>
      <c r="Y926" s="21">
        <f t="shared" si="776"/>
        <v>120</v>
      </c>
      <c r="Z926" s="21">
        <f t="shared" si="776"/>
        <v>120</v>
      </c>
      <c r="AA926" s="21">
        <f t="shared" si="776"/>
        <v>120</v>
      </c>
      <c r="AB926" s="21">
        <f t="shared" si="776"/>
        <v>120</v>
      </c>
      <c r="AC926" s="21">
        <f t="shared" si="776"/>
        <v>120</v>
      </c>
      <c r="AD926" s="21">
        <f t="shared" si="776"/>
        <v>120</v>
      </c>
      <c r="AE926" s="21">
        <f t="shared" si="776"/>
        <v>120</v>
      </c>
      <c r="AF926" s="1"/>
    </row>
    <row r="927" spans="3:32" x14ac:dyDescent="0.2">
      <c r="C927" s="1" t="s">
        <v>108</v>
      </c>
      <c r="E927" s="56"/>
      <c r="F927" s="1" t="s">
        <v>55</v>
      </c>
      <c r="I927" s="21">
        <f>I925*I926</f>
        <v>0</v>
      </c>
      <c r="J927" s="21">
        <f t="shared" ref="J927:AE927" si="777">J925*J926</f>
        <v>0</v>
      </c>
      <c r="K927" s="21">
        <f>K925*K926</f>
        <v>0.32047840627397267</v>
      </c>
      <c r="L927" s="21">
        <f t="shared" si="777"/>
        <v>0</v>
      </c>
      <c r="M927" s="21">
        <f t="shared" si="777"/>
        <v>0.42730454169863019</v>
      </c>
      <c r="N927" s="21">
        <f t="shared" si="777"/>
        <v>0.42730454169863019</v>
      </c>
      <c r="O927" s="21">
        <f t="shared" si="777"/>
        <v>0.42730454169863019</v>
      </c>
      <c r="P927" s="21">
        <f t="shared" si="777"/>
        <v>0.42730454169863019</v>
      </c>
      <c r="Q927" s="21">
        <f t="shared" si="777"/>
        <v>0.42730454169863019</v>
      </c>
      <c r="R927" s="21">
        <f t="shared" si="777"/>
        <v>0.42730454169863019</v>
      </c>
      <c r="S927" s="21">
        <f t="shared" si="777"/>
        <v>0.42730454169863019</v>
      </c>
      <c r="T927" s="21">
        <f t="shared" si="777"/>
        <v>0.42730454169863019</v>
      </c>
      <c r="U927" s="21">
        <f t="shared" si="777"/>
        <v>0.42730454169863019</v>
      </c>
      <c r="V927" s="21">
        <f t="shared" si="777"/>
        <v>0.42730454169863019</v>
      </c>
      <c r="W927" s="21">
        <f t="shared" si="777"/>
        <v>0.42730454169863019</v>
      </c>
      <c r="X927" s="21">
        <f t="shared" si="777"/>
        <v>0.42730454169863019</v>
      </c>
      <c r="Y927" s="21">
        <f t="shared" si="777"/>
        <v>0.42730454169863019</v>
      </c>
      <c r="Z927" s="21">
        <f t="shared" si="777"/>
        <v>0.42730454169863019</v>
      </c>
      <c r="AA927" s="21">
        <f t="shared" si="777"/>
        <v>0.42730454169863019</v>
      </c>
      <c r="AB927" s="21">
        <f t="shared" si="777"/>
        <v>0.42730454169863019</v>
      </c>
      <c r="AC927" s="21">
        <f t="shared" si="777"/>
        <v>0.42730454169863019</v>
      </c>
      <c r="AD927" s="21">
        <f t="shared" si="777"/>
        <v>0.42730454169863019</v>
      </c>
      <c r="AE927" s="21">
        <f t="shared" si="777"/>
        <v>0.42730454169863019</v>
      </c>
      <c r="AF927" s="1"/>
    </row>
    <row r="928" spans="3:32" x14ac:dyDescent="0.2">
      <c r="E928" s="56"/>
      <c r="AF928" s="1"/>
    </row>
    <row r="929" spans="2:32" x14ac:dyDescent="0.2">
      <c r="C929" s="1" t="s">
        <v>109</v>
      </c>
      <c r="E929" s="56"/>
      <c r="F929" s="1" t="s">
        <v>55</v>
      </c>
      <c r="I929" s="21">
        <f t="shared" ref="I929:AE929" si="778">I791</f>
        <v>0</v>
      </c>
      <c r="J929" s="21">
        <f t="shared" si="778"/>
        <v>0</v>
      </c>
      <c r="K929" s="21">
        <f t="shared" si="778"/>
        <v>47.852836965524475</v>
      </c>
      <c r="L929" s="21">
        <f t="shared" si="778"/>
        <v>73.395648131607246</v>
      </c>
      <c r="M929" s="21">
        <f t="shared" si="778"/>
        <v>148.94539245333979</v>
      </c>
      <c r="N929" s="21">
        <f t="shared" si="778"/>
        <v>148.94539245333979</v>
      </c>
      <c r="O929" s="21">
        <f t="shared" si="778"/>
        <v>148.94539245333982</v>
      </c>
      <c r="P929" s="21">
        <f t="shared" si="778"/>
        <v>148.94539245333982</v>
      </c>
      <c r="Q929" s="21">
        <f t="shared" si="778"/>
        <v>149.43903092107712</v>
      </c>
      <c r="R929" s="21">
        <f t="shared" si="778"/>
        <v>149.93266938881439</v>
      </c>
      <c r="S929" s="21">
        <f t="shared" si="778"/>
        <v>150.42630785655166</v>
      </c>
      <c r="T929" s="21">
        <f t="shared" si="778"/>
        <v>150.91994632428899</v>
      </c>
      <c r="U929" s="21">
        <f t="shared" si="778"/>
        <v>150.91994632428899</v>
      </c>
      <c r="V929" s="21">
        <f t="shared" si="778"/>
        <v>151.65736893002781</v>
      </c>
      <c r="W929" s="21">
        <f t="shared" si="778"/>
        <v>153.21047100866781</v>
      </c>
      <c r="X929" s="21">
        <f t="shared" si="778"/>
        <v>154.71789361440662</v>
      </c>
      <c r="Y929" s="21">
        <f t="shared" si="778"/>
        <v>154.71789361440662</v>
      </c>
      <c r="Z929" s="21">
        <f t="shared" si="778"/>
        <v>154.71789361440662</v>
      </c>
      <c r="AA929" s="21">
        <f t="shared" si="778"/>
        <v>154.71789361440662</v>
      </c>
      <c r="AB929" s="21">
        <f t="shared" si="778"/>
        <v>154.71789361440662</v>
      </c>
      <c r="AC929" s="21">
        <f t="shared" si="778"/>
        <v>154.71789361440662</v>
      </c>
      <c r="AD929" s="21">
        <f t="shared" si="778"/>
        <v>154.71789361440662</v>
      </c>
      <c r="AE929" s="21">
        <f t="shared" si="778"/>
        <v>154.71789361440662</v>
      </c>
      <c r="AF929" s="1"/>
    </row>
    <row r="930" spans="2:32" x14ac:dyDescent="0.2">
      <c r="C930" s="1" t="s">
        <v>110</v>
      </c>
      <c r="E930" s="56"/>
      <c r="F930" s="1" t="s">
        <v>55</v>
      </c>
      <c r="I930" s="41">
        <f>SUMIF('Quarterly Plant Model'!$I$3:$V$3,DATE(I$3,12,31),'Quarterly Plant Model'!$I930:$V930)</f>
        <v>0</v>
      </c>
      <c r="J930" s="41">
        <f>SUMIF('Quarterly Plant Model'!$I$3:$V$3,DATE(J$3,12,31),'Quarterly Plant Model'!$I930:$V930)</f>
        <v>0</v>
      </c>
      <c r="K930" s="41">
        <f>SUMIF('Quarterly Plant Model'!$I$3:$V$3,DATE(K$3,12,31),'Quarterly Plant Model'!$I930:$V930)</f>
        <v>-18.535841930717279</v>
      </c>
      <c r="L930" s="41">
        <f>SUMIF('Quarterly Plant Model'!$I$3:$V$3,DATE(L$3,12,31),'Quarterly Plant Model'!$I930:$V930)</f>
        <v>0</v>
      </c>
      <c r="M930" s="46">
        <f t="shared" ref="M930:AE930" si="779">-M929*$E$905/$E$72</f>
        <v>-24.484174101918867</v>
      </c>
      <c r="N930" s="21">
        <f t="shared" si="779"/>
        <v>-24.484174101918867</v>
      </c>
      <c r="O930" s="21">
        <f t="shared" si="779"/>
        <v>-24.484174101918875</v>
      </c>
      <c r="P930" s="21">
        <f t="shared" si="779"/>
        <v>-24.484174101918875</v>
      </c>
      <c r="Q930" s="21">
        <f t="shared" si="779"/>
        <v>-24.565320151409939</v>
      </c>
      <c r="R930" s="21">
        <f t="shared" si="779"/>
        <v>-24.646466200900996</v>
      </c>
      <c r="S930" s="21">
        <f t="shared" si="779"/>
        <v>-24.727612250392053</v>
      </c>
      <c r="T930" s="21">
        <f t="shared" si="779"/>
        <v>-24.80875829988312</v>
      </c>
      <c r="U930" s="21">
        <f t="shared" si="779"/>
        <v>-24.80875829988312</v>
      </c>
      <c r="V930" s="21">
        <f t="shared" si="779"/>
        <v>-24.929978454251149</v>
      </c>
      <c r="W930" s="21">
        <f t="shared" si="779"/>
        <v>-25.185282905534436</v>
      </c>
      <c r="X930" s="21">
        <f t="shared" si="779"/>
        <v>-25.433078402368213</v>
      </c>
      <c r="Y930" s="21">
        <f t="shared" si="779"/>
        <v>-25.433078402368213</v>
      </c>
      <c r="Z930" s="21">
        <f t="shared" si="779"/>
        <v>-25.433078402368213</v>
      </c>
      <c r="AA930" s="21">
        <f t="shared" si="779"/>
        <v>-25.433078402368213</v>
      </c>
      <c r="AB930" s="21">
        <f t="shared" si="779"/>
        <v>-25.433078402368213</v>
      </c>
      <c r="AC930" s="21">
        <f t="shared" si="779"/>
        <v>-25.433078402368213</v>
      </c>
      <c r="AD930" s="21">
        <f t="shared" si="779"/>
        <v>-25.433078402368213</v>
      </c>
      <c r="AE930" s="21">
        <f t="shared" si="779"/>
        <v>-25.433078402368213</v>
      </c>
      <c r="AF930" s="1"/>
    </row>
    <row r="931" spans="2:32" x14ac:dyDescent="0.2">
      <c r="E931" s="56"/>
      <c r="AF931" s="1"/>
    </row>
    <row r="932" spans="2:32" x14ac:dyDescent="0.2">
      <c r="C932" s="1" t="s">
        <v>111</v>
      </c>
      <c r="E932" s="56"/>
      <c r="F932" s="1" t="s">
        <v>55</v>
      </c>
      <c r="I932" s="21">
        <f t="shared" ref="I932:AE932" si="780">I897</f>
        <v>56.557541166478941</v>
      </c>
      <c r="J932" s="21">
        <f t="shared" si="780"/>
        <v>267.7061937697539</v>
      </c>
      <c r="K932" s="21">
        <f t="shared" si="780"/>
        <v>151.31219647855653</v>
      </c>
      <c r="L932" s="21">
        <f t="shared" si="780"/>
        <v>0</v>
      </c>
      <c r="M932" s="21">
        <f t="shared" si="780"/>
        <v>0</v>
      </c>
      <c r="N932" s="21">
        <f t="shared" si="780"/>
        <v>0</v>
      </c>
      <c r="O932" s="21">
        <f t="shared" si="780"/>
        <v>0</v>
      </c>
      <c r="P932" s="21">
        <f t="shared" si="780"/>
        <v>0</v>
      </c>
      <c r="Q932" s="21">
        <f t="shared" si="780"/>
        <v>0</v>
      </c>
      <c r="R932" s="21">
        <f t="shared" si="780"/>
        <v>0</v>
      </c>
      <c r="S932" s="21">
        <f t="shared" si="780"/>
        <v>0</v>
      </c>
      <c r="T932" s="21">
        <f t="shared" si="780"/>
        <v>0</v>
      </c>
      <c r="U932" s="21">
        <f t="shared" si="780"/>
        <v>0</v>
      </c>
      <c r="V932" s="21">
        <f t="shared" si="780"/>
        <v>0</v>
      </c>
      <c r="W932" s="21">
        <f t="shared" si="780"/>
        <v>0</v>
      </c>
      <c r="X932" s="21">
        <f t="shared" si="780"/>
        <v>0</v>
      </c>
      <c r="Y932" s="21">
        <f t="shared" si="780"/>
        <v>0</v>
      </c>
      <c r="Z932" s="21">
        <f t="shared" si="780"/>
        <v>0</v>
      </c>
      <c r="AA932" s="21">
        <f t="shared" si="780"/>
        <v>0</v>
      </c>
      <c r="AB932" s="21">
        <f t="shared" si="780"/>
        <v>0</v>
      </c>
      <c r="AC932" s="21">
        <f t="shared" si="780"/>
        <v>0</v>
      </c>
      <c r="AD932" s="21">
        <f t="shared" si="780"/>
        <v>0</v>
      </c>
      <c r="AE932" s="21">
        <f t="shared" si="780"/>
        <v>0</v>
      </c>
      <c r="AF932" s="1"/>
    </row>
    <row r="933" spans="2:32" x14ac:dyDescent="0.2">
      <c r="C933" s="1" t="s">
        <v>110</v>
      </c>
      <c r="E933" s="56"/>
      <c r="F933" s="1" t="s">
        <v>55</v>
      </c>
      <c r="I933" s="41">
        <f>SUMIF('Quarterly Plant Model'!$I$3:$V$3,DATE(I$3,12,31),'Quarterly Plant Model'!$I933:$V933)</f>
        <v>0</v>
      </c>
      <c r="J933" s="41">
        <f>SUMIF('Quarterly Plant Model'!$I$3:$V$3,DATE(J$3,12,31),'Quarterly Plant Model'!$I933:$V933)</f>
        <v>0</v>
      </c>
      <c r="K933" s="41">
        <f>SUMIF('Quarterly Plant Model'!$I$3:$V$3,DATE(K$3,12,31),'Quarterly Plant Model'!$I933:$V933)</f>
        <v>0</v>
      </c>
      <c r="L933" s="41">
        <f>SUMIF('Quarterly Plant Model'!$I$3:$V$3,DATE(L$3,12,31),'Quarterly Plant Model'!$I933:$V933)</f>
        <v>0</v>
      </c>
      <c r="M933" s="46">
        <f t="shared" ref="M933:AE933" si="781">-M932*$E$906/$E$72</f>
        <v>0</v>
      </c>
      <c r="N933" s="21">
        <f t="shared" si="781"/>
        <v>0</v>
      </c>
      <c r="O933" s="21">
        <f t="shared" si="781"/>
        <v>0</v>
      </c>
      <c r="P933" s="21">
        <f t="shared" si="781"/>
        <v>0</v>
      </c>
      <c r="Q933" s="21">
        <f t="shared" si="781"/>
        <v>0</v>
      </c>
      <c r="R933" s="21">
        <f t="shared" si="781"/>
        <v>0</v>
      </c>
      <c r="S933" s="21">
        <f t="shared" si="781"/>
        <v>0</v>
      </c>
      <c r="T933" s="21">
        <f t="shared" si="781"/>
        <v>0</v>
      </c>
      <c r="U933" s="21">
        <f t="shared" si="781"/>
        <v>0</v>
      </c>
      <c r="V933" s="21">
        <f t="shared" si="781"/>
        <v>0</v>
      </c>
      <c r="W933" s="21">
        <f t="shared" si="781"/>
        <v>0</v>
      </c>
      <c r="X933" s="21">
        <f t="shared" si="781"/>
        <v>0</v>
      </c>
      <c r="Y933" s="21">
        <f t="shared" si="781"/>
        <v>0</v>
      </c>
      <c r="Z933" s="21">
        <f t="shared" si="781"/>
        <v>0</v>
      </c>
      <c r="AA933" s="21">
        <f t="shared" si="781"/>
        <v>0</v>
      </c>
      <c r="AB933" s="21">
        <f t="shared" si="781"/>
        <v>0</v>
      </c>
      <c r="AC933" s="21">
        <f t="shared" si="781"/>
        <v>0</v>
      </c>
      <c r="AD933" s="21">
        <f t="shared" si="781"/>
        <v>0</v>
      </c>
      <c r="AE933" s="21">
        <f t="shared" si="781"/>
        <v>0</v>
      </c>
      <c r="AF933" s="1"/>
    </row>
    <row r="934" spans="2:32" x14ac:dyDescent="0.2">
      <c r="E934" s="56"/>
      <c r="AF934" s="1"/>
    </row>
    <row r="935" spans="2:32" x14ac:dyDescent="0.2">
      <c r="C935" s="1" t="s">
        <v>112</v>
      </c>
      <c r="E935" s="56"/>
      <c r="F935" s="1" t="s">
        <v>55</v>
      </c>
      <c r="I935" s="21">
        <f>I912+I917+I922+I927+I930+I933</f>
        <v>0</v>
      </c>
      <c r="J935" s="21">
        <f t="shared" ref="J935:AE935" si="782">J912+J917+J922+J927+J930+J933</f>
        <v>0</v>
      </c>
      <c r="K935" s="21">
        <f t="shared" si="782"/>
        <v>14.160716131695661</v>
      </c>
      <c r="L935" s="21">
        <f t="shared" si="782"/>
        <v>0</v>
      </c>
      <c r="M935" s="21">
        <f t="shared" si="782"/>
        <v>18.996095745112967</v>
      </c>
      <c r="N935" s="21">
        <f t="shared" si="782"/>
        <v>18.996095745112967</v>
      </c>
      <c r="O935" s="21">
        <f t="shared" si="782"/>
        <v>18.996095745112974</v>
      </c>
      <c r="P935" s="21">
        <f t="shared" si="782"/>
        <v>18.996095745112974</v>
      </c>
      <c r="Q935" s="21">
        <f t="shared" si="782"/>
        <v>18.955522720367437</v>
      </c>
      <c r="R935" s="21">
        <f t="shared" si="782"/>
        <v>18.914949695621907</v>
      </c>
      <c r="S935" s="21">
        <f t="shared" si="782"/>
        <v>18.874376670876376</v>
      </c>
      <c r="T935" s="21">
        <f t="shared" si="782"/>
        <v>18.83380364613085</v>
      </c>
      <c r="U935" s="21">
        <f t="shared" si="782"/>
        <v>18.83380364613085</v>
      </c>
      <c r="V935" s="21">
        <f t="shared" si="782"/>
        <v>18.77319356894683</v>
      </c>
      <c r="W935" s="21">
        <f t="shared" si="782"/>
        <v>18.645541343305183</v>
      </c>
      <c r="X935" s="21">
        <f t="shared" si="782"/>
        <v>18.5216435948883</v>
      </c>
      <c r="Y935" s="21">
        <f t="shared" si="782"/>
        <v>18.5216435948883</v>
      </c>
      <c r="Z935" s="21">
        <f t="shared" si="782"/>
        <v>18.5216435948883</v>
      </c>
      <c r="AA935" s="21">
        <f t="shared" si="782"/>
        <v>18.5216435948883</v>
      </c>
      <c r="AB935" s="21">
        <f t="shared" si="782"/>
        <v>18.5216435948883</v>
      </c>
      <c r="AC935" s="21">
        <f t="shared" si="782"/>
        <v>18.5216435948883</v>
      </c>
      <c r="AD935" s="21">
        <f t="shared" si="782"/>
        <v>18.5216435948883</v>
      </c>
      <c r="AE935" s="21">
        <f t="shared" si="782"/>
        <v>18.5216435948883</v>
      </c>
      <c r="AF935" s="1"/>
    </row>
    <row r="936" spans="2:32" x14ac:dyDescent="0.2">
      <c r="E936" s="56"/>
      <c r="AF936" s="1"/>
    </row>
    <row r="937" spans="2:32" x14ac:dyDescent="0.2">
      <c r="C937" s="9" t="s">
        <v>113</v>
      </c>
      <c r="D937" s="9"/>
      <c r="E937" s="57"/>
      <c r="F937" s="9" t="s">
        <v>55</v>
      </c>
      <c r="I937" s="21">
        <f>I935-H935</f>
        <v>0</v>
      </c>
      <c r="J937" s="21">
        <f t="shared" ref="J937:AE937" si="783">J935-I935</f>
        <v>0</v>
      </c>
      <c r="K937" s="21">
        <f t="shared" si="783"/>
        <v>14.160716131695661</v>
      </c>
      <c r="L937" s="21">
        <f t="shared" si="783"/>
        <v>-14.160716131695661</v>
      </c>
      <c r="M937" s="21">
        <f t="shared" si="783"/>
        <v>18.996095745112967</v>
      </c>
      <c r="N937" s="21">
        <f t="shared" si="783"/>
        <v>0</v>
      </c>
      <c r="O937" s="21">
        <f t="shared" si="783"/>
        <v>0</v>
      </c>
      <c r="P937" s="21">
        <f t="shared" si="783"/>
        <v>0</v>
      </c>
      <c r="Q937" s="21">
        <f t="shared" si="783"/>
        <v>-4.0573024745537367E-2</v>
      </c>
      <c r="R937" s="21">
        <f t="shared" si="783"/>
        <v>-4.0573024745530262E-2</v>
      </c>
      <c r="S937" s="21">
        <f t="shared" si="783"/>
        <v>-4.0573024745530262E-2</v>
      </c>
      <c r="T937" s="21">
        <f t="shared" si="783"/>
        <v>-4.0573024745526709E-2</v>
      </c>
      <c r="U937" s="21">
        <f t="shared" si="783"/>
        <v>0</v>
      </c>
      <c r="V937" s="21">
        <f t="shared" si="783"/>
        <v>-6.0610077184019673E-2</v>
      </c>
      <c r="W937" s="21">
        <f t="shared" si="783"/>
        <v>-0.12765222564164702</v>
      </c>
      <c r="X937" s="21">
        <f t="shared" si="783"/>
        <v>-0.1238977484168835</v>
      </c>
      <c r="Y937" s="21">
        <f t="shared" si="783"/>
        <v>0</v>
      </c>
      <c r="Z937" s="21">
        <f t="shared" si="783"/>
        <v>0</v>
      </c>
      <c r="AA937" s="21">
        <f t="shared" si="783"/>
        <v>0</v>
      </c>
      <c r="AB937" s="21">
        <f t="shared" si="783"/>
        <v>0</v>
      </c>
      <c r="AC937" s="21">
        <f t="shared" si="783"/>
        <v>0</v>
      </c>
      <c r="AD937" s="21">
        <f t="shared" si="783"/>
        <v>0</v>
      </c>
      <c r="AE937" s="21">
        <f t="shared" si="783"/>
        <v>0</v>
      </c>
      <c r="AF937" s="1"/>
    </row>
    <row r="938" spans="2:32" x14ac:dyDescent="0.2">
      <c r="E938" s="56"/>
      <c r="AF938" s="1"/>
    </row>
    <row r="939" spans="2:32" x14ac:dyDescent="0.2">
      <c r="B939" s="10">
        <f>B901+0.1</f>
        <v>8.1</v>
      </c>
      <c r="C939" s="9" t="s">
        <v>461</v>
      </c>
      <c r="E939" s="56"/>
      <c r="AF939" s="1"/>
    </row>
    <row r="940" spans="2:32" x14ac:dyDescent="0.2">
      <c r="E940" s="56"/>
      <c r="AF940" s="1"/>
    </row>
    <row r="941" spans="2:32" x14ac:dyDescent="0.2">
      <c r="C941" s="1" t="s">
        <v>460</v>
      </c>
      <c r="E941" s="56"/>
      <c r="F941" s="1" t="s">
        <v>55</v>
      </c>
      <c r="I941" s="21">
        <f t="shared" ref="I941:AE941" si="784">I912+I922+I927</f>
        <v>0</v>
      </c>
      <c r="J941" s="21">
        <f t="shared" si="784"/>
        <v>0</v>
      </c>
      <c r="K941" s="21">
        <f t="shared" si="784"/>
        <v>23.428637097054306</v>
      </c>
      <c r="L941" s="21">
        <f t="shared" si="784"/>
        <v>0</v>
      </c>
      <c r="M941" s="21">
        <f t="shared" si="784"/>
        <v>31.238182796072401</v>
      </c>
      <c r="N941" s="21">
        <f t="shared" si="784"/>
        <v>31.238182796072401</v>
      </c>
      <c r="O941" s="21">
        <f t="shared" si="784"/>
        <v>31.238182796072401</v>
      </c>
      <c r="P941" s="21">
        <f t="shared" si="784"/>
        <v>31.238182796072401</v>
      </c>
      <c r="Q941" s="21">
        <f t="shared" si="784"/>
        <v>31.238182796072401</v>
      </c>
      <c r="R941" s="21">
        <f t="shared" si="784"/>
        <v>31.238182796072401</v>
      </c>
      <c r="S941" s="21">
        <f t="shared" si="784"/>
        <v>31.238182796072401</v>
      </c>
      <c r="T941" s="21">
        <f t="shared" si="784"/>
        <v>31.238182796072401</v>
      </c>
      <c r="U941" s="21">
        <f t="shared" si="784"/>
        <v>31.238182796072401</v>
      </c>
      <c r="V941" s="21">
        <f t="shared" si="784"/>
        <v>31.238182796072401</v>
      </c>
      <c r="W941" s="21">
        <f t="shared" si="784"/>
        <v>31.238182796072401</v>
      </c>
      <c r="X941" s="21">
        <f t="shared" si="784"/>
        <v>31.238182796072401</v>
      </c>
      <c r="Y941" s="21">
        <f t="shared" si="784"/>
        <v>31.238182796072401</v>
      </c>
      <c r="Z941" s="21">
        <f t="shared" si="784"/>
        <v>31.238182796072401</v>
      </c>
      <c r="AA941" s="21">
        <f t="shared" si="784"/>
        <v>31.238182796072401</v>
      </c>
      <c r="AB941" s="21">
        <f t="shared" si="784"/>
        <v>31.238182796072401</v>
      </c>
      <c r="AC941" s="21">
        <f t="shared" si="784"/>
        <v>31.238182796072401</v>
      </c>
      <c r="AD941" s="21">
        <f t="shared" si="784"/>
        <v>31.238182796072401</v>
      </c>
      <c r="AE941" s="21">
        <f t="shared" si="784"/>
        <v>31.238182796072401</v>
      </c>
      <c r="AF941" s="1"/>
    </row>
    <row r="942" spans="2:32" x14ac:dyDescent="0.2">
      <c r="C942" s="1" t="s">
        <v>455</v>
      </c>
      <c r="E942" s="280">
        <v>0.75</v>
      </c>
      <c r="F942" s="1" t="s">
        <v>8</v>
      </c>
      <c r="I942" s="35">
        <f>$E$942</f>
        <v>0.75</v>
      </c>
      <c r="J942" s="35">
        <f t="shared" ref="J942:AE942" si="785">$E$942</f>
        <v>0.75</v>
      </c>
      <c r="K942" s="35">
        <f t="shared" si="785"/>
        <v>0.75</v>
      </c>
      <c r="L942" s="35">
        <f t="shared" si="785"/>
        <v>0.75</v>
      </c>
      <c r="M942" s="35">
        <f t="shared" si="785"/>
        <v>0.75</v>
      </c>
      <c r="N942" s="35">
        <f t="shared" si="785"/>
        <v>0.75</v>
      </c>
      <c r="O942" s="35">
        <f t="shared" si="785"/>
        <v>0.75</v>
      </c>
      <c r="P942" s="35">
        <f t="shared" si="785"/>
        <v>0.75</v>
      </c>
      <c r="Q942" s="35">
        <f t="shared" si="785"/>
        <v>0.75</v>
      </c>
      <c r="R942" s="35">
        <f t="shared" si="785"/>
        <v>0.75</v>
      </c>
      <c r="S942" s="35">
        <f t="shared" si="785"/>
        <v>0.75</v>
      </c>
      <c r="T942" s="35">
        <f t="shared" si="785"/>
        <v>0.75</v>
      </c>
      <c r="U942" s="35">
        <f t="shared" si="785"/>
        <v>0.75</v>
      </c>
      <c r="V942" s="35">
        <f t="shared" si="785"/>
        <v>0.75</v>
      </c>
      <c r="W942" s="35">
        <f t="shared" si="785"/>
        <v>0.75</v>
      </c>
      <c r="X942" s="35">
        <f t="shared" si="785"/>
        <v>0.75</v>
      </c>
      <c r="Y942" s="35">
        <f t="shared" si="785"/>
        <v>0.75</v>
      </c>
      <c r="Z942" s="35">
        <f t="shared" si="785"/>
        <v>0.75</v>
      </c>
      <c r="AA942" s="35">
        <f t="shared" si="785"/>
        <v>0.75</v>
      </c>
      <c r="AB942" s="35">
        <f t="shared" si="785"/>
        <v>0.75</v>
      </c>
      <c r="AC942" s="35">
        <f t="shared" si="785"/>
        <v>0.75</v>
      </c>
      <c r="AD942" s="35">
        <f t="shared" si="785"/>
        <v>0.75</v>
      </c>
      <c r="AE942" s="35">
        <f t="shared" si="785"/>
        <v>0.75</v>
      </c>
      <c r="AF942" s="1"/>
    </row>
    <row r="943" spans="2:32" x14ac:dyDescent="0.2">
      <c r="C943" s="1" t="s">
        <v>456</v>
      </c>
      <c r="E943" s="281"/>
      <c r="I943" s="21">
        <f>I941*I942</f>
        <v>0</v>
      </c>
      <c r="J943" s="21">
        <f>J941*J942</f>
        <v>0</v>
      </c>
      <c r="K943" s="21">
        <f>K941*K942</f>
        <v>17.57147782279073</v>
      </c>
      <c r="L943" s="21">
        <f>L941*L942</f>
        <v>0</v>
      </c>
      <c r="M943" s="21">
        <f t="shared" ref="M943:AE943" si="786">M941*M942</f>
        <v>23.428637097054299</v>
      </c>
      <c r="N943" s="21">
        <f t="shared" si="786"/>
        <v>23.428637097054299</v>
      </c>
      <c r="O943" s="21">
        <f t="shared" si="786"/>
        <v>23.428637097054299</v>
      </c>
      <c r="P943" s="21">
        <f t="shared" si="786"/>
        <v>23.428637097054299</v>
      </c>
      <c r="Q943" s="21">
        <f t="shared" si="786"/>
        <v>23.428637097054299</v>
      </c>
      <c r="R943" s="21">
        <f t="shared" si="786"/>
        <v>23.428637097054299</v>
      </c>
      <c r="S943" s="21">
        <f t="shared" si="786"/>
        <v>23.428637097054299</v>
      </c>
      <c r="T943" s="21">
        <f t="shared" si="786"/>
        <v>23.428637097054299</v>
      </c>
      <c r="U943" s="21">
        <f t="shared" si="786"/>
        <v>23.428637097054299</v>
      </c>
      <c r="V943" s="21">
        <f t="shared" si="786"/>
        <v>23.428637097054299</v>
      </c>
      <c r="W943" s="21">
        <f t="shared" si="786"/>
        <v>23.428637097054299</v>
      </c>
      <c r="X943" s="21">
        <f t="shared" si="786"/>
        <v>23.428637097054299</v>
      </c>
      <c r="Y943" s="21">
        <f t="shared" si="786"/>
        <v>23.428637097054299</v>
      </c>
      <c r="Z943" s="21">
        <f t="shared" si="786"/>
        <v>23.428637097054299</v>
      </c>
      <c r="AA943" s="21">
        <f t="shared" si="786"/>
        <v>23.428637097054299</v>
      </c>
      <c r="AB943" s="21">
        <f t="shared" si="786"/>
        <v>23.428637097054299</v>
      </c>
      <c r="AC943" s="21">
        <f t="shared" si="786"/>
        <v>23.428637097054299</v>
      </c>
      <c r="AD943" s="21">
        <f t="shared" si="786"/>
        <v>23.428637097054299</v>
      </c>
      <c r="AE943" s="21">
        <f t="shared" si="786"/>
        <v>23.428637097054299</v>
      </c>
      <c r="AF943" s="1"/>
    </row>
    <row r="944" spans="2:32" x14ac:dyDescent="0.2">
      <c r="C944" s="1" t="s">
        <v>145</v>
      </c>
      <c r="E944" s="280">
        <v>0.08</v>
      </c>
      <c r="F944" s="1" t="s">
        <v>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1"/>
    </row>
    <row r="945" spans="2:32" x14ac:dyDescent="0.2">
      <c r="E945" s="56"/>
      <c r="AF945" s="1"/>
    </row>
    <row r="946" spans="2:32" x14ac:dyDescent="0.2">
      <c r="C946" s="1" t="s">
        <v>457</v>
      </c>
      <c r="E946" s="56"/>
      <c r="F946" s="1" t="s">
        <v>55</v>
      </c>
      <c r="I946" s="106">
        <v>0</v>
      </c>
      <c r="J946" s="21">
        <f>I949</f>
        <v>0</v>
      </c>
      <c r="K946" s="21">
        <f t="shared" ref="K946:AE946" si="787">J949</f>
        <v>0</v>
      </c>
      <c r="L946" s="21">
        <f t="shared" si="787"/>
        <v>17.57147782279073</v>
      </c>
      <c r="M946" s="21">
        <f t="shared" si="787"/>
        <v>23.428637097054299</v>
      </c>
      <c r="N946" s="21">
        <f t="shared" si="787"/>
        <v>46.857274194108598</v>
      </c>
      <c r="O946" s="21">
        <f t="shared" si="787"/>
        <v>46.857274194108598</v>
      </c>
      <c r="P946" s="21">
        <f t="shared" si="787"/>
        <v>46.857274194108598</v>
      </c>
      <c r="Q946" s="21">
        <f t="shared" si="787"/>
        <v>46.857274194108598</v>
      </c>
      <c r="R946" s="21">
        <f t="shared" si="787"/>
        <v>46.857274194108598</v>
      </c>
      <c r="S946" s="21">
        <f t="shared" si="787"/>
        <v>46.857274194108598</v>
      </c>
      <c r="T946" s="21">
        <f t="shared" si="787"/>
        <v>46.857274194108598</v>
      </c>
      <c r="U946" s="21">
        <f t="shared" si="787"/>
        <v>46.857274194108598</v>
      </c>
      <c r="V946" s="21">
        <f t="shared" si="787"/>
        <v>46.857274194108598</v>
      </c>
      <c r="W946" s="21">
        <f t="shared" si="787"/>
        <v>46.857274194108598</v>
      </c>
      <c r="X946" s="21">
        <f t="shared" si="787"/>
        <v>46.857274194108598</v>
      </c>
      <c r="Y946" s="21">
        <f t="shared" si="787"/>
        <v>46.857274194108598</v>
      </c>
      <c r="Z946" s="21">
        <f t="shared" si="787"/>
        <v>46.857274194108598</v>
      </c>
      <c r="AA946" s="21">
        <f t="shared" si="787"/>
        <v>46.857274194108598</v>
      </c>
      <c r="AB946" s="21">
        <f t="shared" si="787"/>
        <v>46.857274194108598</v>
      </c>
      <c r="AC946" s="21">
        <f t="shared" si="787"/>
        <v>46.857274194108598</v>
      </c>
      <c r="AD946" s="21">
        <f t="shared" si="787"/>
        <v>46.857274194108598</v>
      </c>
      <c r="AE946" s="21">
        <f t="shared" si="787"/>
        <v>46.857274194108598</v>
      </c>
      <c r="AF946" s="1"/>
    </row>
    <row r="947" spans="2:32" x14ac:dyDescent="0.2">
      <c r="C947" s="1" t="s">
        <v>207</v>
      </c>
      <c r="E947" s="56"/>
      <c r="F947" s="1" t="s">
        <v>55</v>
      </c>
      <c r="G947" s="21">
        <f>SUM(I947:AE947)</f>
        <v>46.857274194108598</v>
      </c>
      <c r="I947" s="41">
        <f>SUMIF('Quarterly Plant Model'!$I$2:$V$2,'Plant model'!I$2,'Quarterly Plant Model'!$I947:$V947)</f>
        <v>0</v>
      </c>
      <c r="J947" s="41">
        <f>SUMIF('Quarterly Plant Model'!$I$2:$V$2,'Plant model'!J$2,'Quarterly Plant Model'!$I947:$V947)</f>
        <v>0</v>
      </c>
      <c r="K947" s="41">
        <f>SUMIF('Quarterly Plant Model'!$I$2:$V$2,'Plant model'!K$2,'Quarterly Plant Model'!$I947:$V947)</f>
        <v>17.57147782279073</v>
      </c>
      <c r="L947" s="41">
        <f>SUMIF('Quarterly Plant Model'!$I$2:$V$2,'Plant model'!L$2,'Quarterly Plant Model'!$I947:$V947)</f>
        <v>5.8571592742635694</v>
      </c>
      <c r="M947" s="21">
        <f t="shared" ref="M947:AE947" si="788">MAX(M943-L943,0)</f>
        <v>23.428637097054299</v>
      </c>
      <c r="N947" s="21">
        <f t="shared" si="788"/>
        <v>0</v>
      </c>
      <c r="O947" s="21">
        <f t="shared" si="788"/>
        <v>0</v>
      </c>
      <c r="P947" s="21">
        <f t="shared" si="788"/>
        <v>0</v>
      </c>
      <c r="Q947" s="21">
        <f t="shared" si="788"/>
        <v>0</v>
      </c>
      <c r="R947" s="21">
        <f t="shared" si="788"/>
        <v>0</v>
      </c>
      <c r="S947" s="21">
        <f t="shared" si="788"/>
        <v>0</v>
      </c>
      <c r="T947" s="21">
        <f t="shared" si="788"/>
        <v>0</v>
      </c>
      <c r="U947" s="21">
        <f t="shared" si="788"/>
        <v>0</v>
      </c>
      <c r="V947" s="21">
        <f t="shared" si="788"/>
        <v>0</v>
      </c>
      <c r="W947" s="21">
        <f t="shared" si="788"/>
        <v>0</v>
      </c>
      <c r="X947" s="21">
        <f t="shared" si="788"/>
        <v>0</v>
      </c>
      <c r="Y947" s="21">
        <f t="shared" si="788"/>
        <v>0</v>
      </c>
      <c r="Z947" s="21">
        <f t="shared" si="788"/>
        <v>0</v>
      </c>
      <c r="AA947" s="21">
        <f t="shared" si="788"/>
        <v>0</v>
      </c>
      <c r="AB947" s="21">
        <f t="shared" si="788"/>
        <v>0</v>
      </c>
      <c r="AC947" s="21">
        <f t="shared" si="788"/>
        <v>0</v>
      </c>
      <c r="AD947" s="21">
        <f t="shared" si="788"/>
        <v>0</v>
      </c>
      <c r="AE947" s="21">
        <f t="shared" si="788"/>
        <v>0</v>
      </c>
      <c r="AF947" s="1"/>
    </row>
    <row r="948" spans="2:32" x14ac:dyDescent="0.2">
      <c r="C948" s="1" t="s">
        <v>208</v>
      </c>
      <c r="E948" s="56"/>
      <c r="F948" s="1" t="s">
        <v>55</v>
      </c>
      <c r="G948" s="21">
        <f>SUM(I948:AE948)</f>
        <v>0</v>
      </c>
      <c r="I948" s="41">
        <f>SUMIF('Quarterly Plant Model'!$I$2:$V$2,'Plant model'!I$2,'Quarterly Plant Model'!$I948:$V948)</f>
        <v>0</v>
      </c>
      <c r="J948" s="41">
        <f>SUMIF('Quarterly Plant Model'!$I$2:$V$2,'Plant model'!J$2,'Quarterly Plant Model'!$I948:$V948)</f>
        <v>0</v>
      </c>
      <c r="K948" s="41">
        <f>SUMIF('Quarterly Plant Model'!$I$2:$V$2,'Plant model'!K$2,'Quarterly Plant Model'!$I948:$V948)</f>
        <v>0</v>
      </c>
      <c r="L948" s="41">
        <f>SUMIF('Quarterly Plant Model'!$I$2:$V$2,'Plant model'!L$2,'Quarterly Plant Model'!$I948:$V948)</f>
        <v>0</v>
      </c>
      <c r="M948" s="21">
        <f t="shared" ref="M948:AE948" si="789">MIN(M943-L943,0)</f>
        <v>0</v>
      </c>
      <c r="N948" s="21">
        <f t="shared" si="789"/>
        <v>0</v>
      </c>
      <c r="O948" s="21">
        <f t="shared" si="789"/>
        <v>0</v>
      </c>
      <c r="P948" s="21">
        <f t="shared" si="789"/>
        <v>0</v>
      </c>
      <c r="Q948" s="21">
        <f t="shared" si="789"/>
        <v>0</v>
      </c>
      <c r="R948" s="21">
        <f t="shared" si="789"/>
        <v>0</v>
      </c>
      <c r="S948" s="21">
        <f t="shared" si="789"/>
        <v>0</v>
      </c>
      <c r="T948" s="21">
        <f t="shared" si="789"/>
        <v>0</v>
      </c>
      <c r="U948" s="21">
        <f t="shared" si="789"/>
        <v>0</v>
      </c>
      <c r="V948" s="21">
        <f t="shared" si="789"/>
        <v>0</v>
      </c>
      <c r="W948" s="21">
        <f t="shared" si="789"/>
        <v>0</v>
      </c>
      <c r="X948" s="21">
        <f t="shared" si="789"/>
        <v>0</v>
      </c>
      <c r="Y948" s="21">
        <f t="shared" si="789"/>
        <v>0</v>
      </c>
      <c r="Z948" s="21">
        <f t="shared" si="789"/>
        <v>0</v>
      </c>
      <c r="AA948" s="21">
        <f t="shared" si="789"/>
        <v>0</v>
      </c>
      <c r="AB948" s="21">
        <f t="shared" si="789"/>
        <v>0</v>
      </c>
      <c r="AC948" s="21">
        <f t="shared" si="789"/>
        <v>0</v>
      </c>
      <c r="AD948" s="21">
        <f t="shared" si="789"/>
        <v>0</v>
      </c>
      <c r="AE948" s="21">
        <f t="shared" si="789"/>
        <v>0</v>
      </c>
      <c r="AF948" s="1"/>
    </row>
    <row r="949" spans="2:32" x14ac:dyDescent="0.2">
      <c r="C949" s="1" t="s">
        <v>458</v>
      </c>
      <c r="E949" s="56"/>
      <c r="F949" s="1" t="s">
        <v>55</v>
      </c>
      <c r="G949" s="21"/>
      <c r="I949" s="21">
        <f>SUM(I946:I948)</f>
        <v>0</v>
      </c>
      <c r="J949" s="21">
        <f t="shared" ref="J949:AE949" si="790">SUM(J946:J948)</f>
        <v>0</v>
      </c>
      <c r="K949" s="21">
        <f t="shared" si="790"/>
        <v>17.57147782279073</v>
      </c>
      <c r="L949" s="21">
        <f t="shared" si="790"/>
        <v>23.428637097054299</v>
      </c>
      <c r="M949" s="21">
        <f t="shared" si="790"/>
        <v>46.857274194108598</v>
      </c>
      <c r="N949" s="21">
        <f t="shared" si="790"/>
        <v>46.857274194108598</v>
      </c>
      <c r="O949" s="21">
        <f t="shared" si="790"/>
        <v>46.857274194108598</v>
      </c>
      <c r="P949" s="21">
        <f t="shared" si="790"/>
        <v>46.857274194108598</v>
      </c>
      <c r="Q949" s="21">
        <f t="shared" si="790"/>
        <v>46.857274194108598</v>
      </c>
      <c r="R949" s="21">
        <f t="shared" si="790"/>
        <v>46.857274194108598</v>
      </c>
      <c r="S949" s="21">
        <f t="shared" si="790"/>
        <v>46.857274194108598</v>
      </c>
      <c r="T949" s="21">
        <f t="shared" si="790"/>
        <v>46.857274194108598</v>
      </c>
      <c r="U949" s="21">
        <f t="shared" si="790"/>
        <v>46.857274194108598</v>
      </c>
      <c r="V949" s="21">
        <f t="shared" si="790"/>
        <v>46.857274194108598</v>
      </c>
      <c r="W949" s="21">
        <f t="shared" si="790"/>
        <v>46.857274194108598</v>
      </c>
      <c r="X949" s="21">
        <f t="shared" si="790"/>
        <v>46.857274194108598</v>
      </c>
      <c r="Y949" s="21">
        <f t="shared" si="790"/>
        <v>46.857274194108598</v>
      </c>
      <c r="Z949" s="21">
        <f t="shared" si="790"/>
        <v>46.857274194108598</v>
      </c>
      <c r="AA949" s="21">
        <f t="shared" si="790"/>
        <v>46.857274194108598</v>
      </c>
      <c r="AB949" s="21">
        <f t="shared" si="790"/>
        <v>46.857274194108598</v>
      </c>
      <c r="AC949" s="21">
        <f t="shared" si="790"/>
        <v>46.857274194108598</v>
      </c>
      <c r="AD949" s="21">
        <f t="shared" si="790"/>
        <v>46.857274194108598</v>
      </c>
      <c r="AE949" s="21">
        <f t="shared" si="790"/>
        <v>46.857274194108598</v>
      </c>
      <c r="AF949" s="1"/>
    </row>
    <row r="950" spans="2:32" x14ac:dyDescent="0.2">
      <c r="E950" s="56"/>
      <c r="AF950" s="1"/>
    </row>
    <row r="951" spans="2:32" x14ac:dyDescent="0.2">
      <c r="C951" s="1" t="s">
        <v>459</v>
      </c>
      <c r="E951" s="56"/>
      <c r="F951" s="1" t="s">
        <v>55</v>
      </c>
      <c r="G951" s="21">
        <f>SUM(I951:AE951)</f>
        <v>71.537539464460735</v>
      </c>
      <c r="I951" s="41">
        <f>SUMIF('Quarterly Plant Model'!$I$2:$V$2,'Plant model'!I$2,'Quarterly Plant Model'!$I951:$V951)</f>
        <v>0</v>
      </c>
      <c r="J951" s="41">
        <f>SUMIF('Quarterly Plant Model'!$I$2:$V$2,'Plant model'!J$2,'Quarterly Plant Model'!$I951:$V951)</f>
        <v>0</v>
      </c>
      <c r="K951" s="41">
        <f>SUMIF('Quarterly Plant Model'!$I$2:$V$2,'Plant model'!K$2,'Quarterly Plant Model'!$I951:$V951)</f>
        <v>0.39824532786748684</v>
      </c>
      <c r="L951" s="41">
        <f>SUMIF('Quarterly Plant Model'!$I$2:$V$2,'Plant model'!L$2,'Quarterly Plant Model'!$I951:$V951)</f>
        <v>0.85338284543032894</v>
      </c>
      <c r="M951" s="21">
        <f t="shared" ref="M951:AE951" si="791">AVERAGE(M946,M949)*$E$944</f>
        <v>2.8114364516465162</v>
      </c>
      <c r="N951" s="21">
        <f t="shared" si="791"/>
        <v>3.748581935528688</v>
      </c>
      <c r="O951" s="21">
        <f t="shared" si="791"/>
        <v>3.748581935528688</v>
      </c>
      <c r="P951" s="21">
        <f t="shared" si="791"/>
        <v>3.748581935528688</v>
      </c>
      <c r="Q951" s="21">
        <f t="shared" si="791"/>
        <v>3.748581935528688</v>
      </c>
      <c r="R951" s="21">
        <f t="shared" si="791"/>
        <v>3.748581935528688</v>
      </c>
      <c r="S951" s="21">
        <f t="shared" si="791"/>
        <v>3.748581935528688</v>
      </c>
      <c r="T951" s="21">
        <f t="shared" si="791"/>
        <v>3.748581935528688</v>
      </c>
      <c r="U951" s="21">
        <f t="shared" si="791"/>
        <v>3.748581935528688</v>
      </c>
      <c r="V951" s="21">
        <f t="shared" si="791"/>
        <v>3.748581935528688</v>
      </c>
      <c r="W951" s="21">
        <f t="shared" si="791"/>
        <v>3.748581935528688</v>
      </c>
      <c r="X951" s="21">
        <f t="shared" si="791"/>
        <v>3.748581935528688</v>
      </c>
      <c r="Y951" s="21">
        <f t="shared" si="791"/>
        <v>3.748581935528688</v>
      </c>
      <c r="Z951" s="21">
        <f t="shared" si="791"/>
        <v>3.748581935528688</v>
      </c>
      <c r="AA951" s="21">
        <f t="shared" si="791"/>
        <v>3.748581935528688</v>
      </c>
      <c r="AB951" s="21">
        <f t="shared" si="791"/>
        <v>3.748581935528688</v>
      </c>
      <c r="AC951" s="21">
        <f t="shared" si="791"/>
        <v>3.748581935528688</v>
      </c>
      <c r="AD951" s="21">
        <f t="shared" si="791"/>
        <v>3.748581935528688</v>
      </c>
      <c r="AE951" s="21">
        <f t="shared" si="791"/>
        <v>3.748581935528688</v>
      </c>
      <c r="AF951" s="1"/>
    </row>
    <row r="952" spans="2:32" x14ac:dyDescent="0.2">
      <c r="E952" s="56"/>
      <c r="AF952" s="1"/>
    </row>
    <row r="953" spans="2:32" x14ac:dyDescent="0.2">
      <c r="B953" s="6"/>
      <c r="C953" s="6"/>
      <c r="D953" s="6"/>
      <c r="E953" s="7"/>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1"/>
    </row>
    <row r="954" spans="2:32" x14ac:dyDescent="0.2">
      <c r="C954" s="5"/>
      <c r="D954" s="5"/>
      <c r="AF954" s="1"/>
    </row>
    <row r="955" spans="2:32" x14ac:dyDescent="0.2">
      <c r="B955" s="8">
        <f>B901+1</f>
        <v>9</v>
      </c>
      <c r="C955" s="20" t="s">
        <v>289</v>
      </c>
      <c r="D955" s="20"/>
      <c r="AF955" s="1"/>
    </row>
    <row r="956" spans="2:32" x14ac:dyDescent="0.2">
      <c r="C956" s="5"/>
      <c r="D956" s="5"/>
      <c r="AF956" s="1"/>
    </row>
    <row r="957" spans="2:32" x14ac:dyDescent="0.2">
      <c r="B957" s="10">
        <f>B955+0.1</f>
        <v>9.1</v>
      </c>
      <c r="C957" s="20" t="s">
        <v>98</v>
      </c>
      <c r="D957" s="5"/>
      <c r="E957" s="115"/>
      <c r="AF957" s="1"/>
    </row>
    <row r="958" spans="2:32" x14ac:dyDescent="0.2">
      <c r="C958" s="5"/>
      <c r="D958" s="5"/>
      <c r="AF958" s="1"/>
    </row>
    <row r="959" spans="2:32" x14ac:dyDescent="0.2">
      <c r="C959" s="20" t="s">
        <v>114</v>
      </c>
      <c r="D959" s="20"/>
      <c r="AF959" s="1"/>
    </row>
    <row r="960" spans="2:32" x14ac:dyDescent="0.2">
      <c r="C960" s="5" t="s">
        <v>115</v>
      </c>
      <c r="D960" s="5"/>
      <c r="E960" s="96">
        <v>0.15</v>
      </c>
      <c r="F960" s="1" t="s">
        <v>8</v>
      </c>
      <c r="H960" s="115"/>
      <c r="I960" s="115"/>
      <c r="AF960" s="1"/>
    </row>
    <row r="961" spans="3:32" x14ac:dyDescent="0.2">
      <c r="C961" s="5"/>
      <c r="D961" s="5"/>
      <c r="E961" s="100"/>
      <c r="AF961" s="1"/>
    </row>
    <row r="962" spans="3:32" x14ac:dyDescent="0.2">
      <c r="C962" s="47" t="s">
        <v>247</v>
      </c>
      <c r="D962" s="5"/>
      <c r="E962" s="100"/>
      <c r="AF962" s="1"/>
    </row>
    <row r="963" spans="3:32" x14ac:dyDescent="0.2">
      <c r="C963" s="5" t="s">
        <v>246</v>
      </c>
      <c r="D963" s="5"/>
      <c r="E963" s="96">
        <v>0.5</v>
      </c>
      <c r="F963" s="1" t="s">
        <v>8</v>
      </c>
      <c r="AF963" s="1"/>
    </row>
    <row r="964" spans="3:32" x14ac:dyDescent="0.2">
      <c r="C964" s="5" t="s">
        <v>368</v>
      </c>
      <c r="D964" s="5"/>
      <c r="E964" s="96">
        <v>0.3</v>
      </c>
      <c r="F964" s="1" t="s">
        <v>8</v>
      </c>
      <c r="AF964" s="1"/>
    </row>
    <row r="965" spans="3:32" x14ac:dyDescent="0.2">
      <c r="C965" s="5" t="s">
        <v>369</v>
      </c>
      <c r="D965" s="5"/>
      <c r="E965" s="101">
        <v>1</v>
      </c>
      <c r="F965" s="1" t="s">
        <v>249</v>
      </c>
      <c r="AF965" s="1"/>
    </row>
    <row r="966" spans="3:32" x14ac:dyDescent="0.2">
      <c r="C966" s="1" t="s">
        <v>248</v>
      </c>
      <c r="E966" s="96">
        <v>0.5</v>
      </c>
      <c r="F966" s="1" t="s">
        <v>8</v>
      </c>
      <c r="AF966" s="1"/>
    </row>
    <row r="967" spans="3:32" x14ac:dyDescent="0.2">
      <c r="C967" s="5" t="s">
        <v>250</v>
      </c>
      <c r="D967" s="5"/>
      <c r="E967" s="96">
        <v>0.1</v>
      </c>
      <c r="F967" s="1" t="s">
        <v>8</v>
      </c>
      <c r="AF967" s="1"/>
    </row>
    <row r="968" spans="3:32" x14ac:dyDescent="0.2">
      <c r="C968" s="5"/>
      <c r="D968" s="5"/>
      <c r="AF968" s="1"/>
    </row>
    <row r="969" spans="3:32" x14ac:dyDescent="0.2">
      <c r="C969" s="47" t="s">
        <v>263</v>
      </c>
      <c r="D969" s="5"/>
      <c r="AF969" s="1"/>
    </row>
    <row r="970" spans="3:32" x14ac:dyDescent="0.2">
      <c r="C970" s="5" t="s">
        <v>245</v>
      </c>
      <c r="D970" s="5"/>
      <c r="E970" s="97">
        <v>0</v>
      </c>
      <c r="F970" s="1" t="s">
        <v>55</v>
      </c>
      <c r="AF970" s="1"/>
    </row>
    <row r="971" spans="3:32" x14ac:dyDescent="0.2">
      <c r="C971" s="5" t="s">
        <v>117</v>
      </c>
      <c r="D971" s="5"/>
      <c r="E971" s="97">
        <v>0</v>
      </c>
      <c r="F971" s="1" t="s">
        <v>55</v>
      </c>
      <c r="AF971" s="1"/>
    </row>
    <row r="972" spans="3:32" x14ac:dyDescent="0.2">
      <c r="C972" s="5" t="s">
        <v>250</v>
      </c>
      <c r="D972" s="5"/>
      <c r="E972" s="97">
        <v>0</v>
      </c>
      <c r="F972" s="1" t="s">
        <v>55</v>
      </c>
      <c r="AF972" s="1"/>
    </row>
    <row r="973" spans="3:32" x14ac:dyDescent="0.2">
      <c r="C973" s="5"/>
      <c r="D973" s="5"/>
      <c r="AF973" s="1"/>
    </row>
    <row r="974" spans="3:32" x14ac:dyDescent="0.2">
      <c r="C974" s="20" t="s">
        <v>244</v>
      </c>
      <c r="D974" s="20"/>
      <c r="AF974" s="1"/>
    </row>
    <row r="975" spans="3:32" x14ac:dyDescent="0.2">
      <c r="C975" s="5" t="s">
        <v>251</v>
      </c>
      <c r="D975" s="5"/>
      <c r="E975" s="99">
        <v>0.11899999999999999</v>
      </c>
      <c r="F975" s="1" t="s">
        <v>8</v>
      </c>
      <c r="AF975" s="1"/>
    </row>
    <row r="976" spans="3:32" x14ac:dyDescent="0.2">
      <c r="C976" s="5"/>
      <c r="D976" s="5"/>
      <c r="E976" s="103"/>
      <c r="AF976" s="1"/>
    </row>
    <row r="977" spans="3:36" x14ac:dyDescent="0.2">
      <c r="C977" s="47" t="s">
        <v>247</v>
      </c>
      <c r="D977" s="5"/>
      <c r="E977" s="103"/>
      <c r="AF977" s="1"/>
    </row>
    <row r="978" spans="3:36" x14ac:dyDescent="0.2">
      <c r="C978" s="5" t="s">
        <v>246</v>
      </c>
      <c r="D978" s="5"/>
      <c r="E978" s="96">
        <v>0.5</v>
      </c>
      <c r="F978" s="1" t="s">
        <v>8</v>
      </c>
      <c r="AF978" s="1"/>
    </row>
    <row r="979" spans="3:36" x14ac:dyDescent="0.2">
      <c r="C979" s="5" t="s">
        <v>368</v>
      </c>
      <c r="D979" s="5"/>
      <c r="E979" s="96">
        <v>0.3</v>
      </c>
      <c r="F979" s="1" t="s">
        <v>8</v>
      </c>
      <c r="AF979" s="1"/>
    </row>
    <row r="980" spans="3:36" x14ac:dyDescent="0.2">
      <c r="C980" s="5" t="s">
        <v>369</v>
      </c>
      <c r="D980" s="5"/>
      <c r="E980" s="102">
        <f>E965</f>
        <v>1</v>
      </c>
      <c r="F980" s="1" t="s">
        <v>249</v>
      </c>
      <c r="AF980" s="1"/>
    </row>
    <row r="981" spans="3:36" x14ac:dyDescent="0.2">
      <c r="C981" s="1" t="s">
        <v>248</v>
      </c>
      <c r="E981" s="96">
        <v>0.5</v>
      </c>
      <c r="F981" s="1" t="s">
        <v>8</v>
      </c>
      <c r="AF981" s="1"/>
    </row>
    <row r="982" spans="3:36" x14ac:dyDescent="0.2">
      <c r="E982" s="100"/>
      <c r="AF982" s="1"/>
    </row>
    <row r="983" spans="3:36" x14ac:dyDescent="0.2">
      <c r="C983" s="5" t="s">
        <v>252</v>
      </c>
      <c r="D983" s="5"/>
      <c r="E983" s="96">
        <v>0.04</v>
      </c>
      <c r="F983" s="1" t="s">
        <v>8</v>
      </c>
      <c r="AF983" s="1"/>
    </row>
    <row r="984" spans="3:36" x14ac:dyDescent="0.2">
      <c r="C984" s="5" t="s">
        <v>253</v>
      </c>
      <c r="D984" s="5"/>
      <c r="E984" s="96">
        <v>0.16</v>
      </c>
      <c r="F984" s="1" t="s">
        <v>8</v>
      </c>
      <c r="AF984" s="1"/>
    </row>
    <row r="985" spans="3:36" x14ac:dyDescent="0.2">
      <c r="C985" s="5" t="s">
        <v>370</v>
      </c>
      <c r="D985" s="5"/>
      <c r="E985" s="104">
        <v>75</v>
      </c>
      <c r="F985" s="1" t="s">
        <v>55</v>
      </c>
      <c r="AF985" s="1"/>
    </row>
    <row r="986" spans="3:36" x14ac:dyDescent="0.2">
      <c r="C986" s="5" t="s">
        <v>698</v>
      </c>
      <c r="D986" s="5"/>
      <c r="E986" s="429">
        <f>G1141+G1147</f>
        <v>28.023037256591575</v>
      </c>
      <c r="F986" s="1" t="s">
        <v>55</v>
      </c>
      <c r="AF986" s="1"/>
    </row>
    <row r="987" spans="3:36" x14ac:dyDescent="0.2">
      <c r="C987" s="5"/>
      <c r="D987" s="5"/>
      <c r="E987" s="428"/>
      <c r="AF987" s="1"/>
    </row>
    <row r="988" spans="3:36" x14ac:dyDescent="0.2">
      <c r="C988" s="5" t="s">
        <v>697</v>
      </c>
      <c r="D988" s="5"/>
      <c r="E988" s="96">
        <v>0.15</v>
      </c>
      <c r="F988" s="1" t="s">
        <v>8</v>
      </c>
      <c r="AF988" s="1"/>
    </row>
    <row r="989" spans="3:36" x14ac:dyDescent="0.2">
      <c r="C989" s="5" t="s">
        <v>706</v>
      </c>
      <c r="D989" s="5"/>
      <c r="E989" s="97">
        <v>15</v>
      </c>
      <c r="F989" s="1" t="s">
        <v>116</v>
      </c>
      <c r="AF989" s="1"/>
    </row>
    <row r="990" spans="3:36" x14ac:dyDescent="0.2">
      <c r="C990" s="5" t="s">
        <v>698</v>
      </c>
      <c r="D990" s="5"/>
      <c r="E990" s="429">
        <v>0</v>
      </c>
      <c r="F990" s="1" t="s">
        <v>55</v>
      </c>
      <c r="H990" s="46">
        <f>-G1159</f>
        <v>71.336389712218406</v>
      </c>
      <c r="I990" s="543"/>
      <c r="J990" s="543"/>
      <c r="K990" s="543"/>
      <c r="L990" s="543"/>
      <c r="M990" s="543"/>
      <c r="N990" s="543"/>
      <c r="O990" s="543"/>
      <c r="P990" s="543"/>
      <c r="Q990" s="543"/>
      <c r="R990" s="543"/>
      <c r="S990" s="543"/>
      <c r="T990" s="543"/>
      <c r="U990" s="543"/>
      <c r="V990" s="543"/>
      <c r="W990" s="543"/>
      <c r="X990" s="543"/>
      <c r="Y990" s="543"/>
      <c r="Z990" s="543"/>
      <c r="AA990" s="543"/>
      <c r="AB990" s="543"/>
      <c r="AC990" s="543"/>
      <c r="AD990" s="543"/>
      <c r="AE990" s="543"/>
      <c r="AF990" s="543"/>
      <c r="AG990" s="543"/>
      <c r="AH990" s="543"/>
      <c r="AI990" s="543"/>
      <c r="AJ990" s="543"/>
    </row>
    <row r="991" spans="3:36" x14ac:dyDescent="0.2">
      <c r="C991" s="5"/>
      <c r="D991" s="5"/>
      <c r="AF991" s="1"/>
    </row>
    <row r="992" spans="3:36" x14ac:dyDescent="0.2">
      <c r="C992" s="5" t="str">
        <f>"Choice of ITC or Tax Holiday - "&amp;IF(E992=E990,C988,"ITC")</f>
        <v>Choice of ITC or Tax Holiday - ITC</v>
      </c>
      <c r="D992" s="5"/>
      <c r="E992" s="429">
        <f>MAX(E986,E990)</f>
        <v>28.023037256591575</v>
      </c>
      <c r="F992" s="1" t="s">
        <v>55</v>
      </c>
      <c r="AF992" s="1"/>
    </row>
    <row r="993" spans="2:32" x14ac:dyDescent="0.2">
      <c r="C993" s="5" t="s">
        <v>700</v>
      </c>
      <c r="D993" s="5"/>
      <c r="E993" s="429">
        <f>(E990=E992)*1</f>
        <v>0</v>
      </c>
      <c r="F993" s="1" t="s">
        <v>571</v>
      </c>
      <c r="AF993" s="1"/>
    </row>
    <row r="994" spans="2:32" x14ac:dyDescent="0.2">
      <c r="C994" s="5"/>
      <c r="D994" s="5"/>
      <c r="AF994" s="1"/>
    </row>
    <row r="995" spans="2:32" x14ac:dyDescent="0.2">
      <c r="C995" s="47" t="s">
        <v>263</v>
      </c>
      <c r="D995" s="5"/>
      <c r="AF995" s="1"/>
    </row>
    <row r="996" spans="2:32" x14ac:dyDescent="0.2">
      <c r="C996" s="5" t="s">
        <v>245</v>
      </c>
      <c r="D996" s="5"/>
      <c r="E996" s="97">
        <v>0</v>
      </c>
      <c r="F996" s="1" t="s">
        <v>55</v>
      </c>
      <c r="AF996" s="1"/>
    </row>
    <row r="997" spans="2:32" x14ac:dyDescent="0.2">
      <c r="C997" s="5" t="s">
        <v>250</v>
      </c>
      <c r="D997" s="5"/>
      <c r="E997" s="97">
        <v>0</v>
      </c>
      <c r="F997" s="1" t="s">
        <v>55</v>
      </c>
      <c r="AF997" s="1"/>
    </row>
    <row r="998" spans="2:32" x14ac:dyDescent="0.2">
      <c r="C998" s="5" t="s">
        <v>697</v>
      </c>
      <c r="D998" s="5"/>
      <c r="E998" s="97">
        <v>0</v>
      </c>
      <c r="F998" s="1" t="s">
        <v>55</v>
      </c>
      <c r="AF998" s="1"/>
    </row>
    <row r="999" spans="2:32" x14ac:dyDescent="0.2">
      <c r="C999" s="5"/>
      <c r="D999" s="5"/>
      <c r="E999" s="120"/>
      <c r="AF999" s="1"/>
    </row>
    <row r="1000" spans="2:32" x14ac:dyDescent="0.2">
      <c r="C1000" s="20" t="s">
        <v>118</v>
      </c>
      <c r="D1000" s="5"/>
      <c r="E1000" s="120"/>
      <c r="AF1000" s="1"/>
    </row>
    <row r="1001" spans="2:32" x14ac:dyDescent="0.2">
      <c r="C1001" s="5" t="s">
        <v>326</v>
      </c>
      <c r="D1001" s="5"/>
      <c r="E1001" s="96">
        <v>0</v>
      </c>
      <c r="AF1001" s="1"/>
    </row>
    <row r="1002" spans="2:32" x14ac:dyDescent="0.2">
      <c r="C1002" s="5" t="s">
        <v>449</v>
      </c>
      <c r="D1002" s="5"/>
      <c r="E1002" s="257">
        <f>(CAPEX!M11+CAPEX!M14+CAPEX!M16)/1000000</f>
        <v>40.082915861189825</v>
      </c>
      <c r="AF1002" s="1"/>
    </row>
    <row r="1003" spans="2:32" x14ac:dyDescent="0.2">
      <c r="C1003" s="5"/>
      <c r="D1003" s="5"/>
      <c r="AF1003" s="1"/>
    </row>
    <row r="1004" spans="2:32" x14ac:dyDescent="0.2">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78"/>
      <c r="AE1004" s="278"/>
      <c r="AF1004" s="1"/>
    </row>
    <row r="1005" spans="2:32" x14ac:dyDescent="0.2">
      <c r="C1005" s="5"/>
      <c r="D1005" s="5"/>
      <c r="AF1005" s="1"/>
    </row>
    <row r="1006" spans="2:32" x14ac:dyDescent="0.2">
      <c r="B1006" s="10">
        <f>B957+0.1</f>
        <v>9.1999999999999993</v>
      </c>
      <c r="C1006" s="20" t="s">
        <v>167</v>
      </c>
      <c r="D1006" s="5"/>
      <c r="AF1006" s="1"/>
    </row>
    <row r="1007" spans="2:32" x14ac:dyDescent="0.2">
      <c r="B1007" s="24"/>
      <c r="C1007" s="20"/>
      <c r="D1007" s="5"/>
      <c r="AF1007" s="1"/>
    </row>
    <row r="1008" spans="2:32" x14ac:dyDescent="0.2">
      <c r="C1008" s="5" t="s">
        <v>254</v>
      </c>
      <c r="D1008" s="5"/>
      <c r="F1008" s="1" t="s">
        <v>55</v>
      </c>
      <c r="G1008" s="21">
        <f>SUM(I1008:AE1008)</f>
        <v>475.57593141478935</v>
      </c>
      <c r="I1008" s="21">
        <f t="shared" ref="I1008:AE1008" si="792">I897</f>
        <v>56.557541166478941</v>
      </c>
      <c r="J1008" s="21">
        <f t="shared" si="792"/>
        <v>267.7061937697539</v>
      </c>
      <c r="K1008" s="21">
        <f t="shared" si="792"/>
        <v>151.31219647855653</v>
      </c>
      <c r="L1008" s="21">
        <f t="shared" si="792"/>
        <v>0</v>
      </c>
      <c r="M1008" s="21">
        <f t="shared" si="792"/>
        <v>0</v>
      </c>
      <c r="N1008" s="21">
        <f t="shared" si="792"/>
        <v>0</v>
      </c>
      <c r="O1008" s="21">
        <f t="shared" si="792"/>
        <v>0</v>
      </c>
      <c r="P1008" s="21">
        <f t="shared" si="792"/>
        <v>0</v>
      </c>
      <c r="Q1008" s="21">
        <f t="shared" si="792"/>
        <v>0</v>
      </c>
      <c r="R1008" s="21">
        <f t="shared" si="792"/>
        <v>0</v>
      </c>
      <c r="S1008" s="21">
        <f t="shared" si="792"/>
        <v>0</v>
      </c>
      <c r="T1008" s="21">
        <f t="shared" si="792"/>
        <v>0</v>
      </c>
      <c r="U1008" s="21">
        <f t="shared" si="792"/>
        <v>0</v>
      </c>
      <c r="V1008" s="21">
        <f t="shared" si="792"/>
        <v>0</v>
      </c>
      <c r="W1008" s="21">
        <f t="shared" si="792"/>
        <v>0</v>
      </c>
      <c r="X1008" s="21">
        <f t="shared" si="792"/>
        <v>0</v>
      </c>
      <c r="Y1008" s="21">
        <f t="shared" si="792"/>
        <v>0</v>
      </c>
      <c r="Z1008" s="21">
        <f t="shared" si="792"/>
        <v>0</v>
      </c>
      <c r="AA1008" s="21">
        <f t="shared" si="792"/>
        <v>0</v>
      </c>
      <c r="AB1008" s="21">
        <f t="shared" si="792"/>
        <v>0</v>
      </c>
      <c r="AC1008" s="21">
        <f t="shared" si="792"/>
        <v>0</v>
      </c>
      <c r="AD1008" s="21">
        <f t="shared" si="792"/>
        <v>0</v>
      </c>
      <c r="AE1008" s="21">
        <f t="shared" si="792"/>
        <v>0</v>
      </c>
      <c r="AF1008" s="1"/>
    </row>
    <row r="1009" spans="2:32" x14ac:dyDescent="0.2">
      <c r="C1009" s="5"/>
      <c r="D1009" s="5"/>
      <c r="AF1009" s="1"/>
    </row>
    <row r="1010" spans="2:32" x14ac:dyDescent="0.2">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78"/>
      <c r="AE1010" s="278"/>
      <c r="AF1010" s="1"/>
    </row>
    <row r="1011" spans="2:32" x14ac:dyDescent="0.2">
      <c r="C1011" s="5"/>
      <c r="D1011" s="5"/>
      <c r="AF1011" s="1"/>
    </row>
    <row r="1012" spans="2:32" x14ac:dyDescent="0.2">
      <c r="B1012" s="10">
        <f>B1006+0.1</f>
        <v>9.2999999999999989</v>
      </c>
      <c r="C1012" s="20" t="s">
        <v>255</v>
      </c>
      <c r="D1012" s="5"/>
      <c r="AF1012" s="1"/>
    </row>
    <row r="1013" spans="2:32" x14ac:dyDescent="0.2">
      <c r="B1013" s="24"/>
      <c r="C1013" s="20"/>
      <c r="D1013" s="5"/>
      <c r="AE1013" s="21"/>
      <c r="AF1013" s="1"/>
    </row>
    <row r="1014" spans="2:32" x14ac:dyDescent="0.2">
      <c r="C1014" s="5" t="s">
        <v>104</v>
      </c>
      <c r="D1014" s="5"/>
      <c r="F1014" s="1" t="s">
        <v>55</v>
      </c>
      <c r="G1014" s="21">
        <f t="shared" ref="G1014:G1021" si="793">SUM(I1014:AE1014)</f>
        <v>5808.2909072500015</v>
      </c>
      <c r="I1014" s="21">
        <f t="shared" ref="I1014:AE1014" si="794">I137</f>
        <v>0</v>
      </c>
      <c r="J1014" s="21">
        <f t="shared" si="794"/>
        <v>0</v>
      </c>
      <c r="K1014" s="21">
        <f t="shared" si="794"/>
        <v>91.613421249999988</v>
      </c>
      <c r="L1014" s="21">
        <f t="shared" si="794"/>
        <v>146.58147399999999</v>
      </c>
      <c r="M1014" s="21">
        <f t="shared" si="794"/>
        <v>293.16294799999997</v>
      </c>
      <c r="N1014" s="21">
        <f t="shared" si="794"/>
        <v>293.16294799999997</v>
      </c>
      <c r="O1014" s="21">
        <f t="shared" si="794"/>
        <v>293.16294799999997</v>
      </c>
      <c r="P1014" s="21">
        <f t="shared" si="794"/>
        <v>293.16294799999997</v>
      </c>
      <c r="Q1014" s="21">
        <f t="shared" si="794"/>
        <v>293.16294799999997</v>
      </c>
      <c r="R1014" s="21">
        <f t="shared" si="794"/>
        <v>293.16294799999997</v>
      </c>
      <c r="S1014" s="21">
        <f t="shared" si="794"/>
        <v>293.16294799999997</v>
      </c>
      <c r="T1014" s="21">
        <f t="shared" si="794"/>
        <v>293.16294799999997</v>
      </c>
      <c r="U1014" s="21">
        <f t="shared" si="794"/>
        <v>293.16294799999997</v>
      </c>
      <c r="V1014" s="21">
        <f t="shared" si="794"/>
        <v>293.16294799999997</v>
      </c>
      <c r="W1014" s="21">
        <f t="shared" si="794"/>
        <v>293.16294799999997</v>
      </c>
      <c r="X1014" s="21">
        <f t="shared" si="794"/>
        <v>293.16294799999997</v>
      </c>
      <c r="Y1014" s="21">
        <f t="shared" si="794"/>
        <v>293.16294799999997</v>
      </c>
      <c r="Z1014" s="21">
        <f t="shared" si="794"/>
        <v>293.16294799999997</v>
      </c>
      <c r="AA1014" s="21">
        <f t="shared" si="794"/>
        <v>293.16294799999997</v>
      </c>
      <c r="AB1014" s="21">
        <f t="shared" si="794"/>
        <v>293.16294799999997</v>
      </c>
      <c r="AC1014" s="21">
        <f t="shared" si="794"/>
        <v>293.16294799999997</v>
      </c>
      <c r="AD1014" s="21">
        <f t="shared" si="794"/>
        <v>293.16294799999997</v>
      </c>
      <c r="AE1014" s="21">
        <f t="shared" si="794"/>
        <v>293.16294799999997</v>
      </c>
      <c r="AF1014" s="1"/>
    </row>
    <row r="1015" spans="2:32" x14ac:dyDescent="0.2">
      <c r="C1015" s="5" t="s">
        <v>120</v>
      </c>
      <c r="D1015" s="5"/>
      <c r="F1015" s="1" t="s">
        <v>55</v>
      </c>
      <c r="G1015" s="21">
        <f t="shared" si="793"/>
        <v>3011.2789445794592</v>
      </c>
      <c r="I1015" s="21">
        <f t="shared" ref="I1015:AE1015" si="795">I791</f>
        <v>0</v>
      </c>
      <c r="J1015" s="21">
        <f t="shared" si="795"/>
        <v>0</v>
      </c>
      <c r="K1015" s="21">
        <f t="shared" si="795"/>
        <v>47.852836965524475</v>
      </c>
      <c r="L1015" s="21">
        <f t="shared" si="795"/>
        <v>73.395648131607246</v>
      </c>
      <c r="M1015" s="21">
        <f t="shared" si="795"/>
        <v>148.94539245333979</v>
      </c>
      <c r="N1015" s="21">
        <f t="shared" si="795"/>
        <v>148.94539245333979</v>
      </c>
      <c r="O1015" s="21">
        <f t="shared" si="795"/>
        <v>148.94539245333982</v>
      </c>
      <c r="P1015" s="21">
        <f t="shared" si="795"/>
        <v>148.94539245333982</v>
      </c>
      <c r="Q1015" s="21">
        <f t="shared" si="795"/>
        <v>149.43903092107712</v>
      </c>
      <c r="R1015" s="21">
        <f t="shared" si="795"/>
        <v>149.93266938881439</v>
      </c>
      <c r="S1015" s="21">
        <f t="shared" si="795"/>
        <v>150.42630785655166</v>
      </c>
      <c r="T1015" s="21">
        <f t="shared" si="795"/>
        <v>150.91994632428899</v>
      </c>
      <c r="U1015" s="21">
        <f t="shared" si="795"/>
        <v>150.91994632428899</v>
      </c>
      <c r="V1015" s="21">
        <f t="shared" si="795"/>
        <v>151.65736893002781</v>
      </c>
      <c r="W1015" s="21">
        <f t="shared" si="795"/>
        <v>153.21047100866781</v>
      </c>
      <c r="X1015" s="21">
        <f t="shared" si="795"/>
        <v>154.71789361440662</v>
      </c>
      <c r="Y1015" s="21">
        <f t="shared" si="795"/>
        <v>154.71789361440662</v>
      </c>
      <c r="Z1015" s="21">
        <f t="shared" si="795"/>
        <v>154.71789361440662</v>
      </c>
      <c r="AA1015" s="21">
        <f t="shared" si="795"/>
        <v>154.71789361440662</v>
      </c>
      <c r="AB1015" s="21">
        <f t="shared" si="795"/>
        <v>154.71789361440662</v>
      </c>
      <c r="AC1015" s="21">
        <f t="shared" si="795"/>
        <v>154.71789361440662</v>
      </c>
      <c r="AD1015" s="21">
        <f t="shared" si="795"/>
        <v>154.71789361440662</v>
      </c>
      <c r="AE1015" s="21">
        <f t="shared" si="795"/>
        <v>154.71789361440662</v>
      </c>
      <c r="AF1015" s="1"/>
    </row>
    <row r="1016" spans="2:32" x14ac:dyDescent="0.2">
      <c r="C1016" s="5" t="s">
        <v>444</v>
      </c>
      <c r="D1016" s="5"/>
      <c r="F1016" s="1" t="s">
        <v>55</v>
      </c>
      <c r="G1016" s="21">
        <f t="shared" si="793"/>
        <v>123.85824548003839</v>
      </c>
      <c r="I1016" s="21">
        <f t="shared" ref="I1016:AE1016" si="796">I804</f>
        <v>0</v>
      </c>
      <c r="J1016" s="21">
        <f t="shared" si="796"/>
        <v>0</v>
      </c>
      <c r="K1016" s="21">
        <f t="shared" si="796"/>
        <v>2.2925483655322108</v>
      </c>
      <c r="L1016" s="21">
        <f t="shared" si="796"/>
        <v>3.1170691567822111</v>
      </c>
      <c r="M1016" s="21">
        <f t="shared" si="796"/>
        <v>6.2341383135644222</v>
      </c>
      <c r="N1016" s="21">
        <f t="shared" si="796"/>
        <v>6.2341383135644222</v>
      </c>
      <c r="O1016" s="21">
        <f t="shared" si="796"/>
        <v>6.2341383135644222</v>
      </c>
      <c r="P1016" s="21">
        <f t="shared" si="796"/>
        <v>6.2341383135644222</v>
      </c>
      <c r="Q1016" s="21">
        <f t="shared" si="796"/>
        <v>6.2341383135644222</v>
      </c>
      <c r="R1016" s="21">
        <f t="shared" si="796"/>
        <v>6.2341383135644222</v>
      </c>
      <c r="S1016" s="21">
        <f t="shared" si="796"/>
        <v>6.2341383135644222</v>
      </c>
      <c r="T1016" s="21">
        <f t="shared" si="796"/>
        <v>6.2341383135644222</v>
      </c>
      <c r="U1016" s="21">
        <f t="shared" si="796"/>
        <v>6.2341383135644222</v>
      </c>
      <c r="V1016" s="21">
        <f t="shared" si="796"/>
        <v>6.2341383135644222</v>
      </c>
      <c r="W1016" s="21">
        <f t="shared" si="796"/>
        <v>6.2341383135644222</v>
      </c>
      <c r="X1016" s="21">
        <f t="shared" si="796"/>
        <v>6.2341383135644222</v>
      </c>
      <c r="Y1016" s="21">
        <f t="shared" si="796"/>
        <v>6.2341383135644222</v>
      </c>
      <c r="Z1016" s="21">
        <f t="shared" si="796"/>
        <v>6.2341383135644222</v>
      </c>
      <c r="AA1016" s="21">
        <f t="shared" si="796"/>
        <v>6.2341383135644222</v>
      </c>
      <c r="AB1016" s="21">
        <f t="shared" si="796"/>
        <v>6.2341383135644222</v>
      </c>
      <c r="AC1016" s="21">
        <f t="shared" si="796"/>
        <v>6.2341383135644222</v>
      </c>
      <c r="AD1016" s="21">
        <f t="shared" si="796"/>
        <v>6.2341383135644222</v>
      </c>
      <c r="AE1016" s="21">
        <f t="shared" si="796"/>
        <v>6.2341383135644222</v>
      </c>
      <c r="AF1016" s="1"/>
    </row>
    <row r="1017" spans="2:32" x14ac:dyDescent="0.2">
      <c r="C1017" s="5" t="s">
        <v>473</v>
      </c>
      <c r="D1017" s="5"/>
      <c r="F1017" s="1" t="s">
        <v>55</v>
      </c>
      <c r="G1017" s="21">
        <f t="shared" si="793"/>
        <v>0</v>
      </c>
      <c r="I1017" s="45">
        <f>I1560</f>
        <v>0</v>
      </c>
      <c r="J1017" s="45">
        <f t="shared" ref="J1017:AE1017" si="797">J1560</f>
        <v>0</v>
      </c>
      <c r="K1017" s="45">
        <f>K1560</f>
        <v>0</v>
      </c>
      <c r="L1017" s="45">
        <f t="shared" si="797"/>
        <v>0</v>
      </c>
      <c r="M1017" s="45">
        <f t="shared" si="797"/>
        <v>0</v>
      </c>
      <c r="N1017" s="45">
        <f t="shared" si="797"/>
        <v>0</v>
      </c>
      <c r="O1017" s="45">
        <f t="shared" si="797"/>
        <v>0</v>
      </c>
      <c r="P1017" s="45">
        <f t="shared" si="797"/>
        <v>0</v>
      </c>
      <c r="Q1017" s="45">
        <f t="shared" si="797"/>
        <v>0</v>
      </c>
      <c r="R1017" s="45">
        <f t="shared" si="797"/>
        <v>0</v>
      </c>
      <c r="S1017" s="45">
        <f t="shared" si="797"/>
        <v>0</v>
      </c>
      <c r="T1017" s="45">
        <f t="shared" si="797"/>
        <v>0</v>
      </c>
      <c r="U1017" s="45">
        <f t="shared" si="797"/>
        <v>0</v>
      </c>
      <c r="V1017" s="45">
        <f t="shared" si="797"/>
        <v>0</v>
      </c>
      <c r="W1017" s="45">
        <f t="shared" si="797"/>
        <v>0</v>
      </c>
      <c r="X1017" s="45">
        <f t="shared" si="797"/>
        <v>0</v>
      </c>
      <c r="Y1017" s="45">
        <f t="shared" si="797"/>
        <v>0</v>
      </c>
      <c r="Z1017" s="45">
        <f t="shared" si="797"/>
        <v>0</v>
      </c>
      <c r="AA1017" s="45">
        <f t="shared" si="797"/>
        <v>0</v>
      </c>
      <c r="AB1017" s="45">
        <f t="shared" si="797"/>
        <v>0</v>
      </c>
      <c r="AC1017" s="45">
        <f t="shared" si="797"/>
        <v>0</v>
      </c>
      <c r="AD1017" s="45">
        <f t="shared" si="797"/>
        <v>0</v>
      </c>
      <c r="AE1017" s="45">
        <f t="shared" si="797"/>
        <v>0</v>
      </c>
      <c r="AF1017" s="1"/>
    </row>
    <row r="1018" spans="2:32" x14ac:dyDescent="0.2">
      <c r="C1018" s="5" t="s">
        <v>472</v>
      </c>
      <c r="D1018" s="5"/>
      <c r="F1018" s="1" t="s">
        <v>55</v>
      </c>
      <c r="G1018" s="21">
        <f>SUM(I1018:AE1018)</f>
        <v>71.537539464460735</v>
      </c>
      <c r="I1018" s="45">
        <f>I951</f>
        <v>0</v>
      </c>
      <c r="J1018" s="45">
        <f t="shared" ref="J1018:AE1018" si="798">J951</f>
        <v>0</v>
      </c>
      <c r="K1018" s="45">
        <f t="shared" si="798"/>
        <v>0.39824532786748684</v>
      </c>
      <c r="L1018" s="45">
        <f t="shared" si="798"/>
        <v>0.85338284543032894</v>
      </c>
      <c r="M1018" s="45">
        <f t="shared" si="798"/>
        <v>2.8114364516465162</v>
      </c>
      <c r="N1018" s="45">
        <f t="shared" si="798"/>
        <v>3.748581935528688</v>
      </c>
      <c r="O1018" s="45">
        <f t="shared" si="798"/>
        <v>3.748581935528688</v>
      </c>
      <c r="P1018" s="45">
        <f t="shared" si="798"/>
        <v>3.748581935528688</v>
      </c>
      <c r="Q1018" s="45">
        <f t="shared" si="798"/>
        <v>3.748581935528688</v>
      </c>
      <c r="R1018" s="45">
        <f t="shared" si="798"/>
        <v>3.748581935528688</v>
      </c>
      <c r="S1018" s="45">
        <f t="shared" si="798"/>
        <v>3.748581935528688</v>
      </c>
      <c r="T1018" s="45">
        <f t="shared" si="798"/>
        <v>3.748581935528688</v>
      </c>
      <c r="U1018" s="45">
        <f t="shared" si="798"/>
        <v>3.748581935528688</v>
      </c>
      <c r="V1018" s="45">
        <f t="shared" si="798"/>
        <v>3.748581935528688</v>
      </c>
      <c r="W1018" s="45">
        <f t="shared" si="798"/>
        <v>3.748581935528688</v>
      </c>
      <c r="X1018" s="45">
        <f t="shared" si="798"/>
        <v>3.748581935528688</v>
      </c>
      <c r="Y1018" s="45">
        <f t="shared" si="798"/>
        <v>3.748581935528688</v>
      </c>
      <c r="Z1018" s="45">
        <f t="shared" si="798"/>
        <v>3.748581935528688</v>
      </c>
      <c r="AA1018" s="45">
        <f t="shared" si="798"/>
        <v>3.748581935528688</v>
      </c>
      <c r="AB1018" s="45">
        <f t="shared" si="798"/>
        <v>3.748581935528688</v>
      </c>
      <c r="AC1018" s="45">
        <f t="shared" si="798"/>
        <v>3.748581935528688</v>
      </c>
      <c r="AD1018" s="45">
        <f t="shared" si="798"/>
        <v>3.748581935528688</v>
      </c>
      <c r="AE1018" s="45">
        <f t="shared" si="798"/>
        <v>3.748581935528688</v>
      </c>
      <c r="AF1018" s="1"/>
    </row>
    <row r="1019" spans="2:32" x14ac:dyDescent="0.2">
      <c r="C1019" s="5" t="s">
        <v>775</v>
      </c>
      <c r="D1019" s="5"/>
      <c r="F1019" s="1" t="s">
        <v>55</v>
      </c>
      <c r="G1019" s="21">
        <f>SUM(I1019:AE1019)</f>
        <v>0</v>
      </c>
      <c r="I1019" s="45">
        <f>I1643</f>
        <v>0</v>
      </c>
      <c r="J1019" s="45">
        <f t="shared" ref="J1019:AE1019" si="799">J1643</f>
        <v>0</v>
      </c>
      <c r="K1019" s="45">
        <f t="shared" si="799"/>
        <v>0</v>
      </c>
      <c r="L1019" s="45">
        <f t="shared" si="799"/>
        <v>0</v>
      </c>
      <c r="M1019" s="45">
        <f t="shared" si="799"/>
        <v>0</v>
      </c>
      <c r="N1019" s="45">
        <f t="shared" si="799"/>
        <v>0</v>
      </c>
      <c r="O1019" s="45">
        <f t="shared" si="799"/>
        <v>0</v>
      </c>
      <c r="P1019" s="45">
        <f t="shared" si="799"/>
        <v>0</v>
      </c>
      <c r="Q1019" s="45">
        <f t="shared" si="799"/>
        <v>0</v>
      </c>
      <c r="R1019" s="45">
        <f t="shared" si="799"/>
        <v>0</v>
      </c>
      <c r="S1019" s="45">
        <f t="shared" si="799"/>
        <v>0</v>
      </c>
      <c r="T1019" s="45">
        <f t="shared" si="799"/>
        <v>0</v>
      </c>
      <c r="U1019" s="45">
        <f t="shared" si="799"/>
        <v>0</v>
      </c>
      <c r="V1019" s="45">
        <f t="shared" si="799"/>
        <v>0</v>
      </c>
      <c r="W1019" s="45">
        <f t="shared" si="799"/>
        <v>0</v>
      </c>
      <c r="X1019" s="45">
        <f t="shared" si="799"/>
        <v>0</v>
      </c>
      <c r="Y1019" s="45">
        <f t="shared" si="799"/>
        <v>0</v>
      </c>
      <c r="Z1019" s="45">
        <f t="shared" si="799"/>
        <v>0</v>
      </c>
      <c r="AA1019" s="45">
        <f t="shared" si="799"/>
        <v>0</v>
      </c>
      <c r="AB1019" s="45">
        <f t="shared" si="799"/>
        <v>0</v>
      </c>
      <c r="AC1019" s="45">
        <f t="shared" si="799"/>
        <v>0</v>
      </c>
      <c r="AD1019" s="45">
        <f t="shared" si="799"/>
        <v>0</v>
      </c>
      <c r="AE1019" s="45">
        <f t="shared" si="799"/>
        <v>0</v>
      </c>
      <c r="AF1019" s="1"/>
    </row>
    <row r="1020" spans="2:32" x14ac:dyDescent="0.2">
      <c r="C1020" s="5" t="s">
        <v>256</v>
      </c>
      <c r="D1020" s="5"/>
      <c r="F1020" s="1" t="s">
        <v>55</v>
      </c>
      <c r="G1020" s="21">
        <f t="shared" si="793"/>
        <v>225.02530259730761</v>
      </c>
      <c r="I1020" s="45">
        <f>I1172</f>
        <v>0</v>
      </c>
      <c r="J1020" s="45">
        <f t="shared" ref="J1020:AE1020" si="800">J1172</f>
        <v>0</v>
      </c>
      <c r="K1020" s="45">
        <f>K1172</f>
        <v>0</v>
      </c>
      <c r="L1020" s="45">
        <f t="shared" si="800"/>
        <v>0</v>
      </c>
      <c r="M1020" s="45">
        <f t="shared" si="800"/>
        <v>0</v>
      </c>
      <c r="N1020" s="45">
        <f t="shared" si="800"/>
        <v>0</v>
      </c>
      <c r="O1020" s="45">
        <f t="shared" si="800"/>
        <v>0</v>
      </c>
      <c r="P1020" s="45">
        <f t="shared" si="800"/>
        <v>2.9517146541198098</v>
      </c>
      <c r="Q1020" s="45">
        <f t="shared" si="800"/>
        <v>12.784087043419555</v>
      </c>
      <c r="R1020" s="45">
        <f t="shared" si="800"/>
        <v>13.664678679557877</v>
      </c>
      <c r="S1020" s="45">
        <f t="shared" si="800"/>
        <v>14.263469931556479</v>
      </c>
      <c r="T1020" s="45">
        <f t="shared" si="800"/>
        <v>14.665000914657275</v>
      </c>
      <c r="U1020" s="45">
        <f t="shared" si="800"/>
        <v>14.987192687190351</v>
      </c>
      <c r="V1020" s="45">
        <f t="shared" si="800"/>
        <v>15.124973637880583</v>
      </c>
      <c r="W1020" s="45">
        <f t="shared" si="800"/>
        <v>15.098028459063631</v>
      </c>
      <c r="X1020" s="45">
        <f t="shared" si="800"/>
        <v>15.029156946959558</v>
      </c>
      <c r="Y1020" s="45">
        <f t="shared" si="800"/>
        <v>15.10651519154475</v>
      </c>
      <c r="Z1020" s="45">
        <f t="shared" si="800"/>
        <v>15.160665962754384</v>
      </c>
      <c r="AA1020" s="45">
        <f t="shared" si="800"/>
        <v>15.198571502601128</v>
      </c>
      <c r="AB1020" s="45">
        <f t="shared" si="800"/>
        <v>15.225105380493847</v>
      </c>
      <c r="AC1020" s="45">
        <f t="shared" si="800"/>
        <v>15.243679095018754</v>
      </c>
      <c r="AD1020" s="45">
        <f t="shared" si="800"/>
        <v>15.256680695186185</v>
      </c>
      <c r="AE1020" s="45">
        <f t="shared" si="800"/>
        <v>15.265781815303388</v>
      </c>
      <c r="AF1020" s="1"/>
    </row>
    <row r="1021" spans="2:32" x14ac:dyDescent="0.2">
      <c r="C1021" s="9" t="s">
        <v>121</v>
      </c>
      <c r="D1021" s="9"/>
      <c r="E1021" s="2"/>
      <c r="F1021" s="9" t="s">
        <v>55</v>
      </c>
      <c r="G1021" s="44">
        <f t="shared" si="793"/>
        <v>2376.590875128732</v>
      </c>
      <c r="I1021" s="21">
        <f>I1014-SUM(I1015:I1020)</f>
        <v>0</v>
      </c>
      <c r="J1021" s="21">
        <f t="shared" ref="J1021:AE1021" si="801">J1014-SUM(J1015:J1020)</f>
        <v>0</v>
      </c>
      <c r="K1021" s="21">
        <f t="shared" si="801"/>
        <v>41.069790591075815</v>
      </c>
      <c r="L1021" s="21">
        <f t="shared" si="801"/>
        <v>69.215373866180201</v>
      </c>
      <c r="M1021" s="21">
        <f t="shared" si="801"/>
        <v>135.17198078144924</v>
      </c>
      <c r="N1021" s="21">
        <f t="shared" si="801"/>
        <v>134.23483529756709</v>
      </c>
      <c r="O1021" s="21">
        <f t="shared" si="801"/>
        <v>134.23483529756706</v>
      </c>
      <c r="P1021" s="21">
        <f t="shared" si="801"/>
        <v>131.28312064344726</v>
      </c>
      <c r="Q1021" s="21">
        <f t="shared" si="801"/>
        <v>120.9571097864102</v>
      </c>
      <c r="R1021" s="21">
        <f t="shared" si="801"/>
        <v>119.58287968253461</v>
      </c>
      <c r="S1021" s="21">
        <f t="shared" si="801"/>
        <v>118.49044996279875</v>
      </c>
      <c r="T1021" s="21">
        <f t="shared" si="801"/>
        <v>117.59528051196062</v>
      </c>
      <c r="U1021" s="21">
        <f t="shared" si="801"/>
        <v>117.27308873942755</v>
      </c>
      <c r="V1021" s="21">
        <f t="shared" si="801"/>
        <v>116.39788518299849</v>
      </c>
      <c r="W1021" s="21">
        <f t="shared" si="801"/>
        <v>114.87172828317543</v>
      </c>
      <c r="X1021" s="21">
        <f t="shared" si="801"/>
        <v>113.43317718954071</v>
      </c>
      <c r="Y1021" s="21">
        <f t="shared" si="801"/>
        <v>113.3558189449555</v>
      </c>
      <c r="Z1021" s="21">
        <f t="shared" si="801"/>
        <v>113.30166817374587</v>
      </c>
      <c r="AA1021" s="21">
        <f t="shared" si="801"/>
        <v>113.26376263389912</v>
      </c>
      <c r="AB1021" s="21">
        <f t="shared" si="801"/>
        <v>113.2372287560064</v>
      </c>
      <c r="AC1021" s="21">
        <f t="shared" si="801"/>
        <v>113.2186550414815</v>
      </c>
      <c r="AD1021" s="21">
        <f t="shared" si="801"/>
        <v>113.20565344131407</v>
      </c>
      <c r="AE1021" s="21">
        <f t="shared" si="801"/>
        <v>113.19655232119686</v>
      </c>
      <c r="AF1021" s="1"/>
    </row>
    <row r="1022" spans="2:32" x14ac:dyDescent="0.2">
      <c r="C1022" s="5"/>
      <c r="D1022" s="5"/>
      <c r="AF1022" s="1"/>
    </row>
    <row r="1023" spans="2:32" x14ac:dyDescent="0.2">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78"/>
      <c r="AE1023" s="278"/>
      <c r="AF1023" s="1"/>
    </row>
    <row r="1024" spans="2:32" x14ac:dyDescent="0.2">
      <c r="C1024" s="5"/>
      <c r="D1024" s="5"/>
      <c r="AF1024" s="1"/>
    </row>
    <row r="1025" spans="2:32" x14ac:dyDescent="0.2">
      <c r="B1025" s="10">
        <f>B1012+0.1</f>
        <v>9.3999999999999986</v>
      </c>
      <c r="C1025" s="20" t="s">
        <v>257</v>
      </c>
      <c r="D1025" s="5"/>
      <c r="AF1025" s="1"/>
    </row>
    <row r="1026" spans="2:32" x14ac:dyDescent="0.2">
      <c r="B1026" s="24"/>
      <c r="C1026" s="20"/>
      <c r="D1026" s="5"/>
      <c r="AF1026" s="1"/>
    </row>
    <row r="1027" spans="2:32" x14ac:dyDescent="0.2">
      <c r="C1027" s="5" t="s">
        <v>104</v>
      </c>
      <c r="D1027" s="5"/>
      <c r="F1027" s="1" t="s">
        <v>55</v>
      </c>
      <c r="G1027" s="21">
        <f t="shared" ref="G1027:G1033" si="802">SUM(I1027:AE1027)</f>
        <v>5808.2909072500015</v>
      </c>
      <c r="I1027" s="21">
        <f>I1014</f>
        <v>0</v>
      </c>
      <c r="J1027" s="21">
        <f t="shared" ref="J1027:AE1027" si="803">J1014</f>
        <v>0</v>
      </c>
      <c r="K1027" s="21">
        <f>K1014</f>
        <v>91.613421249999988</v>
      </c>
      <c r="L1027" s="21">
        <f t="shared" si="803"/>
        <v>146.58147399999999</v>
      </c>
      <c r="M1027" s="21">
        <f t="shared" si="803"/>
        <v>293.16294799999997</v>
      </c>
      <c r="N1027" s="21">
        <f t="shared" si="803"/>
        <v>293.16294799999997</v>
      </c>
      <c r="O1027" s="21">
        <f t="shared" si="803"/>
        <v>293.16294799999997</v>
      </c>
      <c r="P1027" s="21">
        <f t="shared" si="803"/>
        <v>293.16294799999997</v>
      </c>
      <c r="Q1027" s="21">
        <f t="shared" si="803"/>
        <v>293.16294799999997</v>
      </c>
      <c r="R1027" s="21">
        <f t="shared" si="803"/>
        <v>293.16294799999997</v>
      </c>
      <c r="S1027" s="21">
        <f t="shared" si="803"/>
        <v>293.16294799999997</v>
      </c>
      <c r="T1027" s="21">
        <f t="shared" si="803"/>
        <v>293.16294799999997</v>
      </c>
      <c r="U1027" s="21">
        <f t="shared" si="803"/>
        <v>293.16294799999997</v>
      </c>
      <c r="V1027" s="21">
        <f t="shared" si="803"/>
        <v>293.16294799999997</v>
      </c>
      <c r="W1027" s="21">
        <f t="shared" si="803"/>
        <v>293.16294799999997</v>
      </c>
      <c r="X1027" s="21">
        <f t="shared" si="803"/>
        <v>293.16294799999997</v>
      </c>
      <c r="Y1027" s="21">
        <f t="shared" si="803"/>
        <v>293.16294799999997</v>
      </c>
      <c r="Z1027" s="21">
        <f t="shared" si="803"/>
        <v>293.16294799999997</v>
      </c>
      <c r="AA1027" s="21">
        <f t="shared" si="803"/>
        <v>293.16294799999997</v>
      </c>
      <c r="AB1027" s="21">
        <f t="shared" si="803"/>
        <v>293.16294799999997</v>
      </c>
      <c r="AC1027" s="21">
        <f t="shared" si="803"/>
        <v>293.16294799999997</v>
      </c>
      <c r="AD1027" s="21">
        <f t="shared" si="803"/>
        <v>293.16294799999997</v>
      </c>
      <c r="AE1027" s="21">
        <f t="shared" si="803"/>
        <v>293.16294799999997</v>
      </c>
      <c r="AF1027" s="1"/>
    </row>
    <row r="1028" spans="2:32" x14ac:dyDescent="0.2">
      <c r="C1028" s="5" t="s">
        <v>120</v>
      </c>
      <c r="D1028" s="5"/>
      <c r="F1028" s="1" t="s">
        <v>55</v>
      </c>
      <c r="G1028" s="21">
        <f t="shared" si="802"/>
        <v>3011.2789445794592</v>
      </c>
      <c r="I1028" s="21">
        <f t="shared" ref="I1028:AE1028" si="804">I1015</f>
        <v>0</v>
      </c>
      <c r="J1028" s="21">
        <f t="shared" si="804"/>
        <v>0</v>
      </c>
      <c r="K1028" s="21">
        <f>K1015</f>
        <v>47.852836965524475</v>
      </c>
      <c r="L1028" s="21">
        <f t="shared" si="804"/>
        <v>73.395648131607246</v>
      </c>
      <c r="M1028" s="21">
        <f t="shared" si="804"/>
        <v>148.94539245333979</v>
      </c>
      <c r="N1028" s="21">
        <f t="shared" si="804"/>
        <v>148.94539245333979</v>
      </c>
      <c r="O1028" s="21">
        <f t="shared" si="804"/>
        <v>148.94539245333982</v>
      </c>
      <c r="P1028" s="21">
        <f t="shared" si="804"/>
        <v>148.94539245333982</v>
      </c>
      <c r="Q1028" s="21">
        <f t="shared" si="804"/>
        <v>149.43903092107712</v>
      </c>
      <c r="R1028" s="21">
        <f t="shared" si="804"/>
        <v>149.93266938881439</v>
      </c>
      <c r="S1028" s="21">
        <f t="shared" si="804"/>
        <v>150.42630785655166</v>
      </c>
      <c r="T1028" s="21">
        <f t="shared" si="804"/>
        <v>150.91994632428899</v>
      </c>
      <c r="U1028" s="21">
        <f t="shared" si="804"/>
        <v>150.91994632428899</v>
      </c>
      <c r="V1028" s="21">
        <f t="shared" si="804"/>
        <v>151.65736893002781</v>
      </c>
      <c r="W1028" s="21">
        <f t="shared" si="804"/>
        <v>153.21047100866781</v>
      </c>
      <c r="X1028" s="21">
        <f t="shared" si="804"/>
        <v>154.71789361440662</v>
      </c>
      <c r="Y1028" s="21">
        <f t="shared" si="804"/>
        <v>154.71789361440662</v>
      </c>
      <c r="Z1028" s="21">
        <f t="shared" si="804"/>
        <v>154.71789361440662</v>
      </c>
      <c r="AA1028" s="21">
        <f t="shared" si="804"/>
        <v>154.71789361440662</v>
      </c>
      <c r="AB1028" s="21">
        <f t="shared" si="804"/>
        <v>154.71789361440662</v>
      </c>
      <c r="AC1028" s="21">
        <f t="shared" si="804"/>
        <v>154.71789361440662</v>
      </c>
      <c r="AD1028" s="21">
        <f t="shared" si="804"/>
        <v>154.71789361440662</v>
      </c>
      <c r="AE1028" s="21">
        <f t="shared" si="804"/>
        <v>154.71789361440662</v>
      </c>
      <c r="AF1028" s="1"/>
    </row>
    <row r="1029" spans="2:32" x14ac:dyDescent="0.2">
      <c r="C1029" s="5" t="s">
        <v>444</v>
      </c>
      <c r="D1029" s="5"/>
      <c r="F1029" s="1" t="s">
        <v>55</v>
      </c>
      <c r="G1029" s="21">
        <f t="shared" si="802"/>
        <v>123.85824548003839</v>
      </c>
      <c r="I1029" s="21">
        <f t="shared" ref="I1029:AE1029" si="805">I804</f>
        <v>0</v>
      </c>
      <c r="J1029" s="21">
        <f t="shared" si="805"/>
        <v>0</v>
      </c>
      <c r="K1029" s="21">
        <f t="shared" si="805"/>
        <v>2.2925483655322108</v>
      </c>
      <c r="L1029" s="21">
        <f t="shared" si="805"/>
        <v>3.1170691567822111</v>
      </c>
      <c r="M1029" s="21">
        <f t="shared" si="805"/>
        <v>6.2341383135644222</v>
      </c>
      <c r="N1029" s="21">
        <f t="shared" si="805"/>
        <v>6.2341383135644222</v>
      </c>
      <c r="O1029" s="21">
        <f t="shared" si="805"/>
        <v>6.2341383135644222</v>
      </c>
      <c r="P1029" s="21">
        <f t="shared" si="805"/>
        <v>6.2341383135644222</v>
      </c>
      <c r="Q1029" s="21">
        <f t="shared" si="805"/>
        <v>6.2341383135644222</v>
      </c>
      <c r="R1029" s="21">
        <f t="shared" si="805"/>
        <v>6.2341383135644222</v>
      </c>
      <c r="S1029" s="21">
        <f t="shared" si="805"/>
        <v>6.2341383135644222</v>
      </c>
      <c r="T1029" s="21">
        <f t="shared" si="805"/>
        <v>6.2341383135644222</v>
      </c>
      <c r="U1029" s="21">
        <f t="shared" si="805"/>
        <v>6.2341383135644222</v>
      </c>
      <c r="V1029" s="21">
        <f t="shared" si="805"/>
        <v>6.2341383135644222</v>
      </c>
      <c r="W1029" s="21">
        <f t="shared" si="805"/>
        <v>6.2341383135644222</v>
      </c>
      <c r="X1029" s="21">
        <f t="shared" si="805"/>
        <v>6.2341383135644222</v>
      </c>
      <c r="Y1029" s="21">
        <f t="shared" si="805"/>
        <v>6.2341383135644222</v>
      </c>
      <c r="Z1029" s="21">
        <f t="shared" si="805"/>
        <v>6.2341383135644222</v>
      </c>
      <c r="AA1029" s="21">
        <f t="shared" si="805"/>
        <v>6.2341383135644222</v>
      </c>
      <c r="AB1029" s="21">
        <f t="shared" si="805"/>
        <v>6.2341383135644222</v>
      </c>
      <c r="AC1029" s="21">
        <f t="shared" si="805"/>
        <v>6.2341383135644222</v>
      </c>
      <c r="AD1029" s="21">
        <f t="shared" si="805"/>
        <v>6.2341383135644222</v>
      </c>
      <c r="AE1029" s="21">
        <f t="shared" si="805"/>
        <v>6.2341383135644222</v>
      </c>
      <c r="AF1029" s="1"/>
    </row>
    <row r="1030" spans="2:32" x14ac:dyDescent="0.2">
      <c r="C1030" s="5" t="s">
        <v>471</v>
      </c>
      <c r="D1030" s="5"/>
      <c r="F1030" s="1" t="s">
        <v>55</v>
      </c>
      <c r="G1030" s="21">
        <f t="shared" si="802"/>
        <v>0</v>
      </c>
      <c r="I1030" s="52">
        <f>I1017</f>
        <v>0</v>
      </c>
      <c r="J1030" s="52">
        <f t="shared" ref="J1030:AE1030" si="806">J1017</f>
        <v>0</v>
      </c>
      <c r="K1030" s="52">
        <f>K1017</f>
        <v>0</v>
      </c>
      <c r="L1030" s="52">
        <f t="shared" si="806"/>
        <v>0</v>
      </c>
      <c r="M1030" s="52">
        <f t="shared" si="806"/>
        <v>0</v>
      </c>
      <c r="N1030" s="52">
        <f t="shared" si="806"/>
        <v>0</v>
      </c>
      <c r="O1030" s="52">
        <f t="shared" si="806"/>
        <v>0</v>
      </c>
      <c r="P1030" s="52">
        <f t="shared" si="806"/>
        <v>0</v>
      </c>
      <c r="Q1030" s="52">
        <f t="shared" si="806"/>
        <v>0</v>
      </c>
      <c r="R1030" s="52">
        <f t="shared" si="806"/>
        <v>0</v>
      </c>
      <c r="S1030" s="52">
        <f t="shared" si="806"/>
        <v>0</v>
      </c>
      <c r="T1030" s="52">
        <f t="shared" si="806"/>
        <v>0</v>
      </c>
      <c r="U1030" s="52">
        <f t="shared" si="806"/>
        <v>0</v>
      </c>
      <c r="V1030" s="52">
        <f t="shared" si="806"/>
        <v>0</v>
      </c>
      <c r="W1030" s="52">
        <f t="shared" si="806"/>
        <v>0</v>
      </c>
      <c r="X1030" s="52">
        <f t="shared" si="806"/>
        <v>0</v>
      </c>
      <c r="Y1030" s="52">
        <f t="shared" si="806"/>
        <v>0</v>
      </c>
      <c r="Z1030" s="52">
        <f t="shared" si="806"/>
        <v>0</v>
      </c>
      <c r="AA1030" s="52">
        <f t="shared" si="806"/>
        <v>0</v>
      </c>
      <c r="AB1030" s="52">
        <f t="shared" si="806"/>
        <v>0</v>
      </c>
      <c r="AC1030" s="52">
        <f t="shared" si="806"/>
        <v>0</v>
      </c>
      <c r="AD1030" s="52">
        <f t="shared" si="806"/>
        <v>0</v>
      </c>
      <c r="AE1030" s="52">
        <f t="shared" si="806"/>
        <v>0</v>
      </c>
      <c r="AF1030" s="1"/>
    </row>
    <row r="1031" spans="2:32" x14ac:dyDescent="0.2">
      <c r="C1031" s="5" t="s">
        <v>472</v>
      </c>
      <c r="D1031" s="5"/>
      <c r="F1031" s="1" t="s">
        <v>55</v>
      </c>
      <c r="G1031" s="21">
        <f t="shared" si="802"/>
        <v>71.537539464460735</v>
      </c>
      <c r="I1031" s="52">
        <f>I951</f>
        <v>0</v>
      </c>
      <c r="J1031" s="52">
        <f t="shared" ref="J1031:AE1031" si="807">J951</f>
        <v>0</v>
      </c>
      <c r="K1031" s="52">
        <f t="shared" si="807"/>
        <v>0.39824532786748684</v>
      </c>
      <c r="L1031" s="52">
        <f t="shared" si="807"/>
        <v>0.85338284543032894</v>
      </c>
      <c r="M1031" s="52">
        <f t="shared" si="807"/>
        <v>2.8114364516465162</v>
      </c>
      <c r="N1031" s="52">
        <f t="shared" si="807"/>
        <v>3.748581935528688</v>
      </c>
      <c r="O1031" s="52">
        <f t="shared" si="807"/>
        <v>3.748581935528688</v>
      </c>
      <c r="P1031" s="52">
        <f t="shared" si="807"/>
        <v>3.748581935528688</v>
      </c>
      <c r="Q1031" s="52">
        <f t="shared" si="807"/>
        <v>3.748581935528688</v>
      </c>
      <c r="R1031" s="52">
        <f t="shared" si="807"/>
        <v>3.748581935528688</v>
      </c>
      <c r="S1031" s="52">
        <f t="shared" si="807"/>
        <v>3.748581935528688</v>
      </c>
      <c r="T1031" s="52">
        <f t="shared" si="807"/>
        <v>3.748581935528688</v>
      </c>
      <c r="U1031" s="52">
        <f t="shared" si="807"/>
        <v>3.748581935528688</v>
      </c>
      <c r="V1031" s="52">
        <f t="shared" si="807"/>
        <v>3.748581935528688</v>
      </c>
      <c r="W1031" s="52">
        <f t="shared" si="807"/>
        <v>3.748581935528688</v>
      </c>
      <c r="X1031" s="52">
        <f t="shared" si="807"/>
        <v>3.748581935528688</v>
      </c>
      <c r="Y1031" s="52">
        <f t="shared" si="807"/>
        <v>3.748581935528688</v>
      </c>
      <c r="Z1031" s="52">
        <f t="shared" si="807"/>
        <v>3.748581935528688</v>
      </c>
      <c r="AA1031" s="52">
        <f t="shared" si="807"/>
        <v>3.748581935528688</v>
      </c>
      <c r="AB1031" s="52">
        <f t="shared" si="807"/>
        <v>3.748581935528688</v>
      </c>
      <c r="AC1031" s="52">
        <f t="shared" si="807"/>
        <v>3.748581935528688</v>
      </c>
      <c r="AD1031" s="52">
        <f t="shared" si="807"/>
        <v>3.748581935528688</v>
      </c>
      <c r="AE1031" s="52">
        <f t="shared" si="807"/>
        <v>3.748581935528688</v>
      </c>
      <c r="AF1031" s="1"/>
    </row>
    <row r="1032" spans="2:32" x14ac:dyDescent="0.2">
      <c r="C1032" s="5" t="s">
        <v>775</v>
      </c>
      <c r="D1032" s="5"/>
      <c r="F1032" s="1" t="s">
        <v>55</v>
      </c>
      <c r="G1032" s="21">
        <f t="shared" si="802"/>
        <v>0</v>
      </c>
      <c r="I1032" s="52">
        <f>I1643</f>
        <v>0</v>
      </c>
      <c r="J1032" s="52">
        <f t="shared" ref="J1032:AE1032" si="808">J1643</f>
        <v>0</v>
      </c>
      <c r="K1032" s="52">
        <f t="shared" si="808"/>
        <v>0</v>
      </c>
      <c r="L1032" s="52">
        <f t="shared" si="808"/>
        <v>0</v>
      </c>
      <c r="M1032" s="52">
        <f t="shared" si="808"/>
        <v>0</v>
      </c>
      <c r="N1032" s="52">
        <f t="shared" si="808"/>
        <v>0</v>
      </c>
      <c r="O1032" s="52">
        <f t="shared" si="808"/>
        <v>0</v>
      </c>
      <c r="P1032" s="52">
        <f t="shared" si="808"/>
        <v>0</v>
      </c>
      <c r="Q1032" s="52">
        <f t="shared" si="808"/>
        <v>0</v>
      </c>
      <c r="R1032" s="52">
        <f t="shared" si="808"/>
        <v>0</v>
      </c>
      <c r="S1032" s="52">
        <f t="shared" si="808"/>
        <v>0</v>
      </c>
      <c r="T1032" s="52">
        <f t="shared" si="808"/>
        <v>0</v>
      </c>
      <c r="U1032" s="52">
        <f t="shared" si="808"/>
        <v>0</v>
      </c>
      <c r="V1032" s="52">
        <f t="shared" si="808"/>
        <v>0</v>
      </c>
      <c r="W1032" s="52">
        <f t="shared" si="808"/>
        <v>0</v>
      </c>
      <c r="X1032" s="52">
        <f t="shared" si="808"/>
        <v>0</v>
      </c>
      <c r="Y1032" s="52">
        <f t="shared" si="808"/>
        <v>0</v>
      </c>
      <c r="Z1032" s="52">
        <f t="shared" si="808"/>
        <v>0</v>
      </c>
      <c r="AA1032" s="52">
        <f t="shared" si="808"/>
        <v>0</v>
      </c>
      <c r="AB1032" s="52">
        <f t="shared" si="808"/>
        <v>0</v>
      </c>
      <c r="AC1032" s="52">
        <f t="shared" si="808"/>
        <v>0</v>
      </c>
      <c r="AD1032" s="52">
        <f t="shared" si="808"/>
        <v>0</v>
      </c>
      <c r="AE1032" s="52">
        <f t="shared" si="808"/>
        <v>0</v>
      </c>
      <c r="AF1032" s="1"/>
    </row>
    <row r="1033" spans="2:32" x14ac:dyDescent="0.2">
      <c r="C1033" s="9" t="s">
        <v>121</v>
      </c>
      <c r="D1033" s="5"/>
      <c r="F1033" s="9" t="s">
        <v>55</v>
      </c>
      <c r="G1033" s="44">
        <f t="shared" si="802"/>
        <v>2601.6161777260404</v>
      </c>
      <c r="I1033" s="44">
        <f>I1027-SUM(I1028:I1032)</f>
        <v>0</v>
      </c>
      <c r="J1033" s="44">
        <f t="shared" ref="J1033:AE1033" si="809">J1027-SUM(J1028:J1032)</f>
        <v>0</v>
      </c>
      <c r="K1033" s="44">
        <f t="shared" si="809"/>
        <v>41.069790591075815</v>
      </c>
      <c r="L1033" s="44">
        <f t="shared" si="809"/>
        <v>69.215373866180201</v>
      </c>
      <c r="M1033" s="44">
        <f t="shared" si="809"/>
        <v>135.17198078144924</v>
      </c>
      <c r="N1033" s="44">
        <f t="shared" si="809"/>
        <v>134.23483529756709</v>
      </c>
      <c r="O1033" s="44">
        <f t="shared" si="809"/>
        <v>134.23483529756706</v>
      </c>
      <c r="P1033" s="44">
        <f t="shared" si="809"/>
        <v>134.23483529756706</v>
      </c>
      <c r="Q1033" s="44">
        <f t="shared" si="809"/>
        <v>133.74119682982976</v>
      </c>
      <c r="R1033" s="44">
        <f t="shared" si="809"/>
        <v>133.24755836209249</v>
      </c>
      <c r="S1033" s="44">
        <f t="shared" si="809"/>
        <v>132.75391989435522</v>
      </c>
      <c r="T1033" s="44">
        <f t="shared" si="809"/>
        <v>132.26028142661789</v>
      </c>
      <c r="U1033" s="44">
        <f t="shared" si="809"/>
        <v>132.26028142661789</v>
      </c>
      <c r="V1033" s="44">
        <f t="shared" si="809"/>
        <v>131.52285882087907</v>
      </c>
      <c r="W1033" s="44">
        <f t="shared" si="809"/>
        <v>129.96975674223907</v>
      </c>
      <c r="X1033" s="44">
        <f t="shared" si="809"/>
        <v>128.46233413650026</v>
      </c>
      <c r="Y1033" s="44">
        <f t="shared" si="809"/>
        <v>128.46233413650026</v>
      </c>
      <c r="Z1033" s="44">
        <f t="shared" si="809"/>
        <v>128.46233413650026</v>
      </c>
      <c r="AA1033" s="44">
        <f t="shared" si="809"/>
        <v>128.46233413650026</v>
      </c>
      <c r="AB1033" s="44">
        <f t="shared" si="809"/>
        <v>128.46233413650026</v>
      </c>
      <c r="AC1033" s="44">
        <f t="shared" si="809"/>
        <v>128.46233413650026</v>
      </c>
      <c r="AD1033" s="44">
        <f t="shared" si="809"/>
        <v>128.46233413650026</v>
      </c>
      <c r="AE1033" s="44">
        <f t="shared" si="809"/>
        <v>128.46233413650026</v>
      </c>
      <c r="AF1033" s="1"/>
    </row>
    <row r="1034" spans="2:32" x14ac:dyDescent="0.2">
      <c r="C1034" s="5"/>
      <c r="D1034" s="5"/>
      <c r="AF1034" s="1"/>
    </row>
    <row r="1035" spans="2:32" x14ac:dyDescent="0.2">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78"/>
      <c r="AE1035" s="278"/>
      <c r="AF1035" s="1"/>
    </row>
    <row r="1036" spans="2:32" x14ac:dyDescent="0.2">
      <c r="C1036" s="5"/>
      <c r="D1036" s="5"/>
      <c r="AF1036" s="1"/>
    </row>
    <row r="1037" spans="2:32" x14ac:dyDescent="0.2">
      <c r="B1037" s="10">
        <f>B1025+0.1</f>
        <v>9.4999999999999982</v>
      </c>
      <c r="C1037" s="9" t="s">
        <v>259</v>
      </c>
      <c r="D1037" s="5"/>
      <c r="AF1037" s="1"/>
    </row>
    <row r="1038" spans="2:32" x14ac:dyDescent="0.2">
      <c r="C1038" s="5"/>
      <c r="D1038" s="5"/>
      <c r="AF1038" s="1"/>
    </row>
    <row r="1039" spans="2:32" x14ac:dyDescent="0.2">
      <c r="C1039" s="5" t="str">
        <f>"Deduction methodology - "&amp;IF($E$980=0,C1044,C1080)</f>
        <v>Deduction methodology - Declining Balance</v>
      </c>
      <c r="D1039" s="5"/>
      <c r="F1039" s="1" t="s">
        <v>55</v>
      </c>
      <c r="G1039" s="21">
        <f>SUM(I1039:AE1039)</f>
        <v>-475.1595402983159</v>
      </c>
      <c r="I1039" s="21">
        <f t="shared" ref="I1039:AE1039" si="810">($E$965=0)*I1047+($E$965=1)*I1083</f>
        <v>0</v>
      </c>
      <c r="J1039" s="21">
        <f t="shared" si="810"/>
        <v>0</v>
      </c>
      <c r="K1039" s="21">
        <f t="shared" si="810"/>
        <v>-41.069790591075815</v>
      </c>
      <c r="L1039" s="21">
        <f t="shared" si="810"/>
        <v>-69.215373866180201</v>
      </c>
      <c r="M1039" s="21">
        <f t="shared" si="810"/>
        <v>-109.58723008726</v>
      </c>
      <c r="N1039" s="21">
        <f t="shared" si="810"/>
        <v>-76.711061061081992</v>
      </c>
      <c r="O1039" s="21">
        <f t="shared" si="810"/>
        <v>-53.697742742757391</v>
      </c>
      <c r="P1039" s="21">
        <f t="shared" si="810"/>
        <v>-37.588419919930182</v>
      </c>
      <c r="Q1039" s="21">
        <f t="shared" si="810"/>
        <v>-26.311893943951127</v>
      </c>
      <c r="R1039" s="21">
        <f t="shared" si="810"/>
        <v>-18.418325760765789</v>
      </c>
      <c r="S1039" s="21">
        <f t="shared" si="810"/>
        <v>-12.892828032536054</v>
      </c>
      <c r="T1039" s="21">
        <f t="shared" si="810"/>
        <v>-9.0249796227752377</v>
      </c>
      <c r="U1039" s="21">
        <f t="shared" si="810"/>
        <v>-6.3174857359426664</v>
      </c>
      <c r="V1039" s="21">
        <f t="shared" si="810"/>
        <v>-4.4222400151598666</v>
      </c>
      <c r="W1039" s="21">
        <f t="shared" si="810"/>
        <v>-3.0955680106119066</v>
      </c>
      <c r="X1039" s="21">
        <f t="shared" si="810"/>
        <v>-2.1668976074283344</v>
      </c>
      <c r="Y1039" s="21">
        <f t="shared" si="810"/>
        <v>-1.5168283251998345</v>
      </c>
      <c r="Z1039" s="21">
        <f t="shared" si="810"/>
        <v>-1.061779827639884</v>
      </c>
      <c r="AA1039" s="21">
        <f t="shared" si="810"/>
        <v>-0.74324587934791886</v>
      </c>
      <c r="AB1039" s="21">
        <f t="shared" si="810"/>
        <v>-0.52027211554354313</v>
      </c>
      <c r="AC1039" s="21">
        <f t="shared" si="810"/>
        <v>-0.36419048088048028</v>
      </c>
      <c r="AD1039" s="21">
        <f t="shared" si="810"/>
        <v>-0.25493333661633616</v>
      </c>
      <c r="AE1039" s="21">
        <f t="shared" si="810"/>
        <v>-0.17845333563143531</v>
      </c>
      <c r="AF1039" s="1"/>
    </row>
    <row r="1040" spans="2:32" x14ac:dyDescent="0.2">
      <c r="C1040" s="5"/>
      <c r="D1040" s="5"/>
      <c r="AF1040" s="1"/>
    </row>
    <row r="1041" spans="3:32" x14ac:dyDescent="0.2">
      <c r="C1041" s="1" t="s">
        <v>121</v>
      </c>
      <c r="D1041" s="5"/>
      <c r="F1041" s="1" t="s">
        <v>55</v>
      </c>
      <c r="G1041" s="21">
        <f>SUM(I1041:AE1041)</f>
        <v>2376.590875128732</v>
      </c>
      <c r="I1041" s="21">
        <f>I1021</f>
        <v>0</v>
      </c>
      <c r="J1041" s="21">
        <f t="shared" ref="J1041:AE1041" si="811">J1021</f>
        <v>0</v>
      </c>
      <c r="K1041" s="21">
        <f>K1021</f>
        <v>41.069790591075815</v>
      </c>
      <c r="L1041" s="21">
        <f t="shared" si="811"/>
        <v>69.215373866180201</v>
      </c>
      <c r="M1041" s="21">
        <f t="shared" si="811"/>
        <v>135.17198078144924</v>
      </c>
      <c r="N1041" s="21">
        <f t="shared" si="811"/>
        <v>134.23483529756709</v>
      </c>
      <c r="O1041" s="21">
        <f t="shared" si="811"/>
        <v>134.23483529756706</v>
      </c>
      <c r="P1041" s="21">
        <f t="shared" si="811"/>
        <v>131.28312064344726</v>
      </c>
      <c r="Q1041" s="21">
        <f t="shared" si="811"/>
        <v>120.9571097864102</v>
      </c>
      <c r="R1041" s="21">
        <f t="shared" si="811"/>
        <v>119.58287968253461</v>
      </c>
      <c r="S1041" s="21">
        <f t="shared" si="811"/>
        <v>118.49044996279875</v>
      </c>
      <c r="T1041" s="21">
        <f t="shared" si="811"/>
        <v>117.59528051196062</v>
      </c>
      <c r="U1041" s="21">
        <f t="shared" si="811"/>
        <v>117.27308873942755</v>
      </c>
      <c r="V1041" s="21">
        <f t="shared" si="811"/>
        <v>116.39788518299849</v>
      </c>
      <c r="W1041" s="21">
        <f t="shared" si="811"/>
        <v>114.87172828317543</v>
      </c>
      <c r="X1041" s="21">
        <f t="shared" si="811"/>
        <v>113.43317718954071</v>
      </c>
      <c r="Y1041" s="21">
        <f t="shared" si="811"/>
        <v>113.3558189449555</v>
      </c>
      <c r="Z1041" s="21">
        <f t="shared" si="811"/>
        <v>113.30166817374587</v>
      </c>
      <c r="AA1041" s="21">
        <f t="shared" si="811"/>
        <v>113.26376263389912</v>
      </c>
      <c r="AB1041" s="21">
        <f t="shared" si="811"/>
        <v>113.2372287560064</v>
      </c>
      <c r="AC1041" s="21">
        <f t="shared" si="811"/>
        <v>113.2186550414815</v>
      </c>
      <c r="AD1041" s="21">
        <f t="shared" si="811"/>
        <v>113.20565344131407</v>
      </c>
      <c r="AE1041" s="21">
        <f t="shared" si="811"/>
        <v>113.19655232119686</v>
      </c>
      <c r="AF1041" s="1"/>
    </row>
    <row r="1042" spans="3:32" x14ac:dyDescent="0.2">
      <c r="C1042" s="5" t="s">
        <v>258</v>
      </c>
      <c r="D1042" s="5"/>
      <c r="F1042" s="1" t="s">
        <v>55</v>
      </c>
      <c r="G1042" s="21">
        <f>SUM(I1042:AE1042)</f>
        <v>475.57593141478935</v>
      </c>
      <c r="I1042" s="21">
        <f>I1008</f>
        <v>56.557541166478941</v>
      </c>
      <c r="J1042" s="21">
        <f t="shared" ref="J1042:AE1042" si="812">J1008</f>
        <v>267.7061937697539</v>
      </c>
      <c r="K1042" s="21">
        <f>K1008</f>
        <v>151.31219647855653</v>
      </c>
      <c r="L1042" s="21">
        <f t="shared" si="812"/>
        <v>0</v>
      </c>
      <c r="M1042" s="21">
        <f t="shared" si="812"/>
        <v>0</v>
      </c>
      <c r="N1042" s="21">
        <f t="shared" si="812"/>
        <v>0</v>
      </c>
      <c r="O1042" s="21">
        <f t="shared" si="812"/>
        <v>0</v>
      </c>
      <c r="P1042" s="21">
        <f t="shared" si="812"/>
        <v>0</v>
      </c>
      <c r="Q1042" s="21">
        <f t="shared" si="812"/>
        <v>0</v>
      </c>
      <c r="R1042" s="21">
        <f t="shared" si="812"/>
        <v>0</v>
      </c>
      <c r="S1042" s="21">
        <f t="shared" si="812"/>
        <v>0</v>
      </c>
      <c r="T1042" s="21">
        <f t="shared" si="812"/>
        <v>0</v>
      </c>
      <c r="U1042" s="21">
        <f t="shared" si="812"/>
        <v>0</v>
      </c>
      <c r="V1042" s="21">
        <f t="shared" si="812"/>
        <v>0</v>
      </c>
      <c r="W1042" s="21">
        <f t="shared" si="812"/>
        <v>0</v>
      </c>
      <c r="X1042" s="21">
        <f t="shared" si="812"/>
        <v>0</v>
      </c>
      <c r="Y1042" s="21">
        <f t="shared" si="812"/>
        <v>0</v>
      </c>
      <c r="Z1042" s="21">
        <f t="shared" si="812"/>
        <v>0</v>
      </c>
      <c r="AA1042" s="21">
        <f t="shared" si="812"/>
        <v>0</v>
      </c>
      <c r="AB1042" s="21">
        <f t="shared" si="812"/>
        <v>0</v>
      </c>
      <c r="AC1042" s="21">
        <f t="shared" si="812"/>
        <v>0</v>
      </c>
      <c r="AD1042" s="21">
        <f t="shared" si="812"/>
        <v>0</v>
      </c>
      <c r="AE1042" s="21">
        <f t="shared" si="812"/>
        <v>0</v>
      </c>
      <c r="AF1042" s="1"/>
    </row>
    <row r="1043" spans="3:32" x14ac:dyDescent="0.2">
      <c r="C1043" s="5"/>
      <c r="D1043" s="5"/>
      <c r="AF1043" s="1"/>
    </row>
    <row r="1044" spans="3:32" x14ac:dyDescent="0.2">
      <c r="C1044" s="90" t="s">
        <v>262</v>
      </c>
      <c r="D1044" s="5"/>
      <c r="AF1044" s="1"/>
    </row>
    <row r="1045" spans="3:32" x14ac:dyDescent="0.2">
      <c r="C1045" s="5" t="s">
        <v>260</v>
      </c>
      <c r="D1045" s="5"/>
      <c r="F1045" s="1" t="s">
        <v>55</v>
      </c>
      <c r="G1045" s="21"/>
      <c r="I1045" s="46">
        <f>E970</f>
        <v>0</v>
      </c>
      <c r="J1045" s="21">
        <f>I1048</f>
        <v>56.557541166478941</v>
      </c>
      <c r="K1045" s="21">
        <f t="shared" ref="K1045:AE1045" si="813">J1048</f>
        <v>324.26373493623282</v>
      </c>
      <c r="L1045" s="21">
        <f t="shared" si="813"/>
        <v>434.50614082371351</v>
      </c>
      <c r="M1045" s="21">
        <f t="shared" si="813"/>
        <v>365.29076695753332</v>
      </c>
      <c r="N1045" s="21">
        <f t="shared" si="813"/>
        <v>230.11878617608409</v>
      </c>
      <c r="O1045" s="21">
        <f t="shared" si="813"/>
        <v>95.883950878516998</v>
      </c>
      <c r="P1045" s="21">
        <f t="shared" si="813"/>
        <v>0</v>
      </c>
      <c r="Q1045" s="21">
        <f t="shared" si="813"/>
        <v>0</v>
      </c>
      <c r="R1045" s="21">
        <f t="shared" si="813"/>
        <v>0</v>
      </c>
      <c r="S1045" s="21">
        <f t="shared" si="813"/>
        <v>0</v>
      </c>
      <c r="T1045" s="21">
        <f t="shared" si="813"/>
        <v>0</v>
      </c>
      <c r="U1045" s="21">
        <f t="shared" si="813"/>
        <v>0</v>
      </c>
      <c r="V1045" s="21">
        <f t="shared" si="813"/>
        <v>0</v>
      </c>
      <c r="W1045" s="21">
        <f t="shared" si="813"/>
        <v>0</v>
      </c>
      <c r="X1045" s="21">
        <f t="shared" si="813"/>
        <v>0</v>
      </c>
      <c r="Y1045" s="21">
        <f t="shared" si="813"/>
        <v>0</v>
      </c>
      <c r="Z1045" s="21">
        <f t="shared" si="813"/>
        <v>0</v>
      </c>
      <c r="AA1045" s="21">
        <f t="shared" si="813"/>
        <v>0</v>
      </c>
      <c r="AB1045" s="21">
        <f t="shared" si="813"/>
        <v>0</v>
      </c>
      <c r="AC1045" s="21">
        <f t="shared" si="813"/>
        <v>0</v>
      </c>
      <c r="AD1045" s="21">
        <f t="shared" si="813"/>
        <v>0</v>
      </c>
      <c r="AE1045" s="21">
        <f t="shared" si="813"/>
        <v>0</v>
      </c>
      <c r="AF1045" s="1"/>
    </row>
    <row r="1046" spans="3:32" x14ac:dyDescent="0.2">
      <c r="C1046" s="5" t="s">
        <v>126</v>
      </c>
      <c r="D1046" s="5"/>
      <c r="F1046" s="1" t="s">
        <v>55</v>
      </c>
      <c r="G1046" s="21">
        <f>SUM(I1046:AE1046)</f>
        <v>475.57593141478935</v>
      </c>
      <c r="I1046" s="21">
        <f t="shared" ref="I1046:AE1046" si="814">I1008</f>
        <v>56.557541166478941</v>
      </c>
      <c r="J1046" s="21">
        <f t="shared" si="814"/>
        <v>267.7061937697539</v>
      </c>
      <c r="K1046" s="21">
        <f>K1008</f>
        <v>151.31219647855653</v>
      </c>
      <c r="L1046" s="21">
        <f t="shared" si="814"/>
        <v>0</v>
      </c>
      <c r="M1046" s="21">
        <f t="shared" si="814"/>
        <v>0</v>
      </c>
      <c r="N1046" s="21">
        <f t="shared" si="814"/>
        <v>0</v>
      </c>
      <c r="O1046" s="21">
        <f t="shared" si="814"/>
        <v>0</v>
      </c>
      <c r="P1046" s="21">
        <f t="shared" si="814"/>
        <v>0</v>
      </c>
      <c r="Q1046" s="21">
        <f t="shared" si="814"/>
        <v>0</v>
      </c>
      <c r="R1046" s="21">
        <f t="shared" si="814"/>
        <v>0</v>
      </c>
      <c r="S1046" s="21">
        <f t="shared" si="814"/>
        <v>0</v>
      </c>
      <c r="T1046" s="21">
        <f t="shared" si="814"/>
        <v>0</v>
      </c>
      <c r="U1046" s="21">
        <f t="shared" si="814"/>
        <v>0</v>
      </c>
      <c r="V1046" s="21">
        <f t="shared" si="814"/>
        <v>0</v>
      </c>
      <c r="W1046" s="21">
        <f t="shared" si="814"/>
        <v>0</v>
      </c>
      <c r="X1046" s="21">
        <f t="shared" si="814"/>
        <v>0</v>
      </c>
      <c r="Y1046" s="21">
        <f t="shared" si="814"/>
        <v>0</v>
      </c>
      <c r="Z1046" s="21">
        <f t="shared" si="814"/>
        <v>0</v>
      </c>
      <c r="AA1046" s="21">
        <f t="shared" si="814"/>
        <v>0</v>
      </c>
      <c r="AB1046" s="21">
        <f t="shared" si="814"/>
        <v>0</v>
      </c>
      <c r="AC1046" s="21">
        <f t="shared" si="814"/>
        <v>0</v>
      </c>
      <c r="AD1046" s="21">
        <f t="shared" si="814"/>
        <v>0</v>
      </c>
      <c r="AE1046" s="21">
        <f t="shared" si="814"/>
        <v>0</v>
      </c>
      <c r="AF1046" s="1"/>
    </row>
    <row r="1047" spans="3:32" x14ac:dyDescent="0.2">
      <c r="C1047" s="5" t="s">
        <v>261</v>
      </c>
      <c r="D1047" s="5"/>
      <c r="F1047" s="1" t="s">
        <v>55</v>
      </c>
      <c r="G1047" s="21">
        <f>SUM(I1047:AE1047)</f>
        <v>-475.57593141478935</v>
      </c>
      <c r="I1047" s="21">
        <f>-MIN(I1078,MAX(I1021,0),I1045)</f>
        <v>0</v>
      </c>
      <c r="J1047" s="21">
        <f t="shared" ref="J1047:AE1047" si="815">-MIN(J1078,MAX(J1021,0),J1045)</f>
        <v>0</v>
      </c>
      <c r="K1047" s="21">
        <f t="shared" si="815"/>
        <v>-41.069790591075815</v>
      </c>
      <c r="L1047" s="21">
        <f t="shared" si="815"/>
        <v>-69.215373866180201</v>
      </c>
      <c r="M1047" s="21">
        <f t="shared" si="815"/>
        <v>-135.17198078144924</v>
      </c>
      <c r="N1047" s="21">
        <f t="shared" si="815"/>
        <v>-134.23483529756709</v>
      </c>
      <c r="O1047" s="21">
        <f t="shared" si="815"/>
        <v>-95.883950878516998</v>
      </c>
      <c r="P1047" s="21">
        <f t="shared" si="815"/>
        <v>0</v>
      </c>
      <c r="Q1047" s="21">
        <f t="shared" si="815"/>
        <v>0</v>
      </c>
      <c r="R1047" s="21">
        <f t="shared" si="815"/>
        <v>0</v>
      </c>
      <c r="S1047" s="21">
        <f t="shared" si="815"/>
        <v>0</v>
      </c>
      <c r="T1047" s="21">
        <f t="shared" si="815"/>
        <v>0</v>
      </c>
      <c r="U1047" s="21">
        <f t="shared" si="815"/>
        <v>0</v>
      </c>
      <c r="V1047" s="21">
        <f t="shared" si="815"/>
        <v>0</v>
      </c>
      <c r="W1047" s="21">
        <f t="shared" si="815"/>
        <v>0</v>
      </c>
      <c r="X1047" s="21">
        <f t="shared" si="815"/>
        <v>0</v>
      </c>
      <c r="Y1047" s="21">
        <f t="shared" si="815"/>
        <v>0</v>
      </c>
      <c r="Z1047" s="21">
        <f t="shared" si="815"/>
        <v>0</v>
      </c>
      <c r="AA1047" s="21">
        <f t="shared" si="815"/>
        <v>0</v>
      </c>
      <c r="AB1047" s="21">
        <f t="shared" si="815"/>
        <v>0</v>
      </c>
      <c r="AC1047" s="21">
        <f t="shared" si="815"/>
        <v>0</v>
      </c>
      <c r="AD1047" s="21">
        <f t="shared" si="815"/>
        <v>0</v>
      </c>
      <c r="AE1047" s="21">
        <f t="shared" si="815"/>
        <v>0</v>
      </c>
      <c r="AF1047" s="1"/>
    </row>
    <row r="1048" spans="3:32" x14ac:dyDescent="0.2">
      <c r="C1048" s="5" t="s">
        <v>127</v>
      </c>
      <c r="D1048" s="5"/>
      <c r="F1048" s="1" t="s">
        <v>55</v>
      </c>
      <c r="G1048" s="21"/>
      <c r="I1048" s="21">
        <f>SUM(I1045:I1047)</f>
        <v>56.557541166478941</v>
      </c>
      <c r="J1048" s="21">
        <f t="shared" ref="J1048:AE1048" si="816">SUM(J1045:J1047)</f>
        <v>324.26373493623282</v>
      </c>
      <c r="K1048" s="21">
        <f>SUM(K1045:K1047)</f>
        <v>434.50614082371351</v>
      </c>
      <c r="L1048" s="21">
        <f t="shared" si="816"/>
        <v>365.29076695753332</v>
      </c>
      <c r="M1048" s="21">
        <f t="shared" si="816"/>
        <v>230.11878617608409</v>
      </c>
      <c r="N1048" s="21">
        <f t="shared" si="816"/>
        <v>95.883950878516998</v>
      </c>
      <c r="O1048" s="21">
        <f t="shared" si="816"/>
        <v>0</v>
      </c>
      <c r="P1048" s="21">
        <f t="shared" si="816"/>
        <v>0</v>
      </c>
      <c r="Q1048" s="21">
        <f t="shared" si="816"/>
        <v>0</v>
      </c>
      <c r="R1048" s="21">
        <f t="shared" si="816"/>
        <v>0</v>
      </c>
      <c r="S1048" s="21">
        <f t="shared" si="816"/>
        <v>0</v>
      </c>
      <c r="T1048" s="21">
        <f t="shared" si="816"/>
        <v>0</v>
      </c>
      <c r="U1048" s="21">
        <f t="shared" si="816"/>
        <v>0</v>
      </c>
      <c r="V1048" s="21">
        <f t="shared" si="816"/>
        <v>0</v>
      </c>
      <c r="W1048" s="21">
        <f t="shared" si="816"/>
        <v>0</v>
      </c>
      <c r="X1048" s="21">
        <f t="shared" si="816"/>
        <v>0</v>
      </c>
      <c r="Y1048" s="21">
        <f t="shared" si="816"/>
        <v>0</v>
      </c>
      <c r="Z1048" s="21">
        <f t="shared" si="816"/>
        <v>0</v>
      </c>
      <c r="AA1048" s="21">
        <f t="shared" si="816"/>
        <v>0</v>
      </c>
      <c r="AB1048" s="21">
        <f t="shared" si="816"/>
        <v>0</v>
      </c>
      <c r="AC1048" s="21">
        <f t="shared" si="816"/>
        <v>0</v>
      </c>
      <c r="AD1048" s="21">
        <f t="shared" si="816"/>
        <v>0</v>
      </c>
      <c r="AE1048" s="21">
        <f t="shared" si="816"/>
        <v>0</v>
      </c>
      <c r="AF1048" s="1"/>
    </row>
    <row r="1049" spans="3:32" x14ac:dyDescent="0.2">
      <c r="C1049" s="5"/>
      <c r="D1049" s="5"/>
      <c r="AF1049" s="1"/>
    </row>
    <row r="1050" spans="3:32" x14ac:dyDescent="0.2">
      <c r="C1050" s="5"/>
      <c r="D1050" s="5"/>
      <c r="H1050" s="1" t="s">
        <v>371</v>
      </c>
      <c r="L1050" s="1">
        <v>1</v>
      </c>
      <c r="M1050" s="1">
        <v>2</v>
      </c>
      <c r="N1050" s="1">
        <v>3</v>
      </c>
      <c r="AF1050" s="1"/>
    </row>
    <row r="1051" spans="3:32" x14ac:dyDescent="0.2">
      <c r="C1051" s="5"/>
      <c r="D1051" s="5"/>
      <c r="H1051" s="1" t="s">
        <v>122</v>
      </c>
      <c r="L1051" s="36">
        <f>E963*E966</f>
        <v>0.25</v>
      </c>
      <c r="M1051" s="35">
        <f>E963</f>
        <v>0.5</v>
      </c>
      <c r="N1051" s="36">
        <f>1-L1051-M1051</f>
        <v>0.25</v>
      </c>
      <c r="AF1051" s="1"/>
    </row>
    <row r="1052" spans="3:32" x14ac:dyDescent="0.2">
      <c r="C1052" s="89" t="s">
        <v>123</v>
      </c>
      <c r="D1052" s="47"/>
      <c r="E1052" s="1" t="s">
        <v>111</v>
      </c>
      <c r="F1052" s="1" t="s">
        <v>124</v>
      </c>
      <c r="AF1052" s="1"/>
    </row>
    <row r="1053" spans="3:32" x14ac:dyDescent="0.2">
      <c r="C1053" s="60">
        <f t="array" ref="C1053:C1075">TRANSPOSE(I2:AE2)</f>
        <v>-2</v>
      </c>
      <c r="D1053" s="60"/>
      <c r="E1053" s="21">
        <f t="array" ref="E1053:E1075">TRANSPOSE(I1008:AE1008)</f>
        <v>56.557541166478941</v>
      </c>
      <c r="F1053" s="21">
        <f>($C1053=$L$2)*SUM($E$1053:E1053)+($C1053&gt;$L$2)*$E1053</f>
        <v>0</v>
      </c>
      <c r="G1053" s="21">
        <f>SUM(I1053:AE1053)</f>
        <v>56.557541166478941</v>
      </c>
      <c r="I1053" s="21">
        <f>$E1053*$L$1051</f>
        <v>14.139385291619735</v>
      </c>
      <c r="J1053" s="21">
        <f>$E1053*$M$1051</f>
        <v>28.278770583239471</v>
      </c>
      <c r="K1053" s="21">
        <f>$E1053*$N$1051</f>
        <v>14.139385291619735</v>
      </c>
      <c r="AF1053" s="1"/>
    </row>
    <row r="1054" spans="3:32" x14ac:dyDescent="0.2">
      <c r="C1054" s="60">
        <v>-1</v>
      </c>
      <c r="D1054" s="60"/>
      <c r="E1054" s="21">
        <v>267.7061937697539</v>
      </c>
      <c r="F1054" s="21">
        <f>($C1054=$L$2)*SUM($E$1053:E1054)+($C1054&gt;$L$2)*$E1054</f>
        <v>0</v>
      </c>
      <c r="G1054" s="21">
        <f t="shared" ref="G1054:G1075" si="817">SUM(I1054:AE1054)</f>
        <v>267.7061937697539</v>
      </c>
      <c r="J1054" s="21">
        <f>$E1054*$L$1051</f>
        <v>66.926548442438474</v>
      </c>
      <c r="K1054" s="21">
        <f>$E1054*$M$1051</f>
        <v>133.85309688487695</v>
      </c>
      <c r="L1054" s="21">
        <f>$E1054*$N$1051</f>
        <v>66.926548442438474</v>
      </c>
      <c r="AF1054" s="1"/>
    </row>
    <row r="1055" spans="3:32" x14ac:dyDescent="0.2">
      <c r="C1055" s="60">
        <v>0</v>
      </c>
      <c r="D1055" s="60"/>
      <c r="E1055" s="21">
        <v>151.31219647855653</v>
      </c>
      <c r="F1055" s="21">
        <f>($C1055=$L$2)*SUM($E$1053:E1055)+($C1055&gt;$L$2)*$E1055</f>
        <v>0</v>
      </c>
      <c r="G1055" s="21">
        <f t="shared" si="817"/>
        <v>151.31219647855653</v>
      </c>
      <c r="K1055" s="21">
        <f>$E1055*$L$1051</f>
        <v>37.828049119639132</v>
      </c>
      <c r="L1055" s="21">
        <f>$E1055*$M$1051</f>
        <v>75.656098239278265</v>
      </c>
      <c r="M1055" s="21">
        <f>$E1055*$N$1051</f>
        <v>37.828049119639132</v>
      </c>
      <c r="AF1055" s="1"/>
    </row>
    <row r="1056" spans="3:32" x14ac:dyDescent="0.2">
      <c r="C1056" s="60">
        <v>1</v>
      </c>
      <c r="D1056" s="60"/>
      <c r="E1056" s="21">
        <v>0</v>
      </c>
      <c r="F1056" s="21">
        <f>($C1056=$L$2)*SUM($E$1053:E1056)+($C1056&gt;$L$2)*$E1056</f>
        <v>475.57593141478935</v>
      </c>
      <c r="G1056" s="21">
        <f t="shared" si="817"/>
        <v>0</v>
      </c>
      <c r="L1056" s="21">
        <f>$E1056*$L$1051</f>
        <v>0</v>
      </c>
      <c r="M1056" s="21">
        <f>$E1056*$M$1051</f>
        <v>0</v>
      </c>
      <c r="N1056" s="21">
        <f>$E1056*$N$1051</f>
        <v>0</v>
      </c>
      <c r="AF1056" s="1"/>
    </row>
    <row r="1057" spans="3:32" x14ac:dyDescent="0.2">
      <c r="C1057" s="60">
        <v>2</v>
      </c>
      <c r="D1057" s="60"/>
      <c r="E1057" s="21">
        <v>0</v>
      </c>
      <c r="F1057" s="21">
        <f>($C1057=$L$2)*SUM($E$1053:E1057)+($C1057&gt;$L$2)*$E1057</f>
        <v>0</v>
      </c>
      <c r="G1057" s="21">
        <f t="shared" si="817"/>
        <v>0</v>
      </c>
      <c r="M1057" s="21">
        <f>$E1057*$L$1051</f>
        <v>0</v>
      </c>
      <c r="N1057" s="21">
        <f>$E1057*$M$1051</f>
        <v>0</v>
      </c>
      <c r="O1057" s="21">
        <f>$E1057*$N$1051</f>
        <v>0</v>
      </c>
      <c r="AF1057" s="1"/>
    </row>
    <row r="1058" spans="3:32" x14ac:dyDescent="0.2">
      <c r="C1058" s="60">
        <v>3</v>
      </c>
      <c r="D1058" s="60"/>
      <c r="E1058" s="21">
        <v>0</v>
      </c>
      <c r="F1058" s="21">
        <f>($C1058=$L$2)*SUM($E$1053:E1058)+($C1058&gt;$L$2)*$E1058</f>
        <v>0</v>
      </c>
      <c r="G1058" s="21">
        <f t="shared" si="817"/>
        <v>0</v>
      </c>
      <c r="N1058" s="21">
        <f>$E1058*$L$1051</f>
        <v>0</v>
      </c>
      <c r="O1058" s="21">
        <f>$E1058*$M$1051</f>
        <v>0</v>
      </c>
      <c r="P1058" s="21">
        <f>$E1058*$N$1051</f>
        <v>0</v>
      </c>
      <c r="AF1058" s="1"/>
    </row>
    <row r="1059" spans="3:32" x14ac:dyDescent="0.2">
      <c r="C1059" s="60">
        <v>4</v>
      </c>
      <c r="D1059" s="60"/>
      <c r="E1059" s="21">
        <v>0</v>
      </c>
      <c r="F1059" s="21">
        <f>($C1059=$L$2)*SUM($E$1053:E1059)+($C1059&gt;$L$2)*$E1059</f>
        <v>0</v>
      </c>
      <c r="G1059" s="21">
        <f t="shared" si="817"/>
        <v>0</v>
      </c>
      <c r="O1059" s="21">
        <f>$E1059*$L$1051</f>
        <v>0</v>
      </c>
      <c r="P1059" s="21">
        <f>$E1059*$M$1051</f>
        <v>0</v>
      </c>
      <c r="Q1059" s="21">
        <f>$E1059*$N$1051</f>
        <v>0</v>
      </c>
      <c r="AF1059" s="1"/>
    </row>
    <row r="1060" spans="3:32" x14ac:dyDescent="0.2">
      <c r="C1060" s="60">
        <v>5</v>
      </c>
      <c r="D1060" s="60"/>
      <c r="E1060" s="21">
        <v>0</v>
      </c>
      <c r="F1060" s="21">
        <f>($C1060=$L$2)*SUM($E$1053:E1060)+($C1060&gt;$L$2)*$E1060</f>
        <v>0</v>
      </c>
      <c r="G1060" s="21">
        <f t="shared" si="817"/>
        <v>0</v>
      </c>
      <c r="P1060" s="21">
        <f>$E1060*$L$1051</f>
        <v>0</v>
      </c>
      <c r="Q1060" s="21">
        <f>$E1060*$M$1051</f>
        <v>0</v>
      </c>
      <c r="R1060" s="21">
        <f>$E1060*$N$1051</f>
        <v>0</v>
      </c>
      <c r="AF1060" s="1"/>
    </row>
    <row r="1061" spans="3:32" x14ac:dyDescent="0.2">
      <c r="C1061" s="60">
        <v>6</v>
      </c>
      <c r="D1061" s="60"/>
      <c r="E1061" s="21">
        <v>0</v>
      </c>
      <c r="F1061" s="21">
        <f>($C1061=$L$2)*SUM($E$1053:E1061)+($C1061&gt;$L$2)*$E1061</f>
        <v>0</v>
      </c>
      <c r="G1061" s="21">
        <f t="shared" si="817"/>
        <v>0</v>
      </c>
      <c r="Q1061" s="21">
        <f>$E1061*$L$1051</f>
        <v>0</v>
      </c>
      <c r="R1061" s="21">
        <f>$E1061*$M$1051</f>
        <v>0</v>
      </c>
      <c r="S1061" s="21">
        <f>$E1061*$N$1051</f>
        <v>0</v>
      </c>
      <c r="AF1061" s="1"/>
    </row>
    <row r="1062" spans="3:32" x14ac:dyDescent="0.2">
      <c r="C1062" s="60">
        <v>7</v>
      </c>
      <c r="D1062" s="60"/>
      <c r="E1062" s="21">
        <v>0</v>
      </c>
      <c r="F1062" s="21">
        <f>($C1062=$L$2)*SUM($E$1053:E1062)+($C1062&gt;$L$2)*$E1062</f>
        <v>0</v>
      </c>
      <c r="G1062" s="21">
        <f t="shared" si="817"/>
        <v>0</v>
      </c>
      <c r="R1062" s="21">
        <f>$E1062*$L$1051</f>
        <v>0</v>
      </c>
      <c r="S1062" s="21">
        <f>$E1062*$M$1051</f>
        <v>0</v>
      </c>
      <c r="T1062" s="21">
        <f>$E1062*$N$1051</f>
        <v>0</v>
      </c>
      <c r="AF1062" s="1"/>
    </row>
    <row r="1063" spans="3:32" x14ac:dyDescent="0.2">
      <c r="C1063" s="60">
        <v>8</v>
      </c>
      <c r="D1063" s="60"/>
      <c r="E1063" s="21">
        <v>0</v>
      </c>
      <c r="F1063" s="21">
        <f>($C1063=$L$2)*SUM($E$1053:E1063)+($C1063&gt;$L$2)*$E1063</f>
        <v>0</v>
      </c>
      <c r="G1063" s="21">
        <f t="shared" si="817"/>
        <v>0</v>
      </c>
      <c r="S1063" s="21">
        <f>$E1063*$L$1051</f>
        <v>0</v>
      </c>
      <c r="T1063" s="21">
        <f>$E1063*$M$1051</f>
        <v>0</v>
      </c>
      <c r="U1063" s="21">
        <f>$E1063*$N$1051</f>
        <v>0</v>
      </c>
      <c r="AF1063" s="1"/>
    </row>
    <row r="1064" spans="3:32" x14ac:dyDescent="0.2">
      <c r="C1064" s="60">
        <v>9</v>
      </c>
      <c r="D1064" s="60"/>
      <c r="E1064" s="21">
        <v>0</v>
      </c>
      <c r="F1064" s="21">
        <f>($C1064=$L$2)*SUM($E$1053:E1064)+($C1064&gt;$L$2)*$E1064</f>
        <v>0</v>
      </c>
      <c r="G1064" s="21">
        <f t="shared" si="817"/>
        <v>0</v>
      </c>
      <c r="T1064" s="21">
        <f>$E1064*$L$1051</f>
        <v>0</v>
      </c>
      <c r="U1064" s="21">
        <f>$E1064*$M$1051</f>
        <v>0</v>
      </c>
      <c r="V1064" s="21">
        <f>$E1064*$N$1051</f>
        <v>0</v>
      </c>
      <c r="AF1064" s="1"/>
    </row>
    <row r="1065" spans="3:32" x14ac:dyDescent="0.2">
      <c r="C1065" s="60">
        <v>10</v>
      </c>
      <c r="D1065" s="60"/>
      <c r="E1065" s="21">
        <v>0</v>
      </c>
      <c r="F1065" s="21">
        <f>($C1065=$L$2)*SUM($E$1053:E1065)+($C1065&gt;$L$2)*$E1065</f>
        <v>0</v>
      </c>
      <c r="G1065" s="21">
        <f t="shared" si="817"/>
        <v>0</v>
      </c>
      <c r="U1065" s="21">
        <f>$E1065*$L$1051</f>
        <v>0</v>
      </c>
      <c r="V1065" s="21">
        <f>$E1065*$M$1051</f>
        <v>0</v>
      </c>
      <c r="W1065" s="21">
        <f>$E1065*$N$1051</f>
        <v>0</v>
      </c>
      <c r="AF1065" s="1"/>
    </row>
    <row r="1066" spans="3:32" x14ac:dyDescent="0.2">
      <c r="C1066" s="60">
        <v>11</v>
      </c>
      <c r="D1066" s="60"/>
      <c r="E1066" s="21">
        <v>0</v>
      </c>
      <c r="F1066" s="21">
        <f>($C1066=$L$2)*SUM($E$1053:E1066)+($C1066&gt;$L$2)*$E1066</f>
        <v>0</v>
      </c>
      <c r="G1066" s="21">
        <f t="shared" si="817"/>
        <v>0</v>
      </c>
      <c r="V1066" s="21">
        <f>$E1066*$L$1051</f>
        <v>0</v>
      </c>
      <c r="W1066" s="21">
        <f>$E1066*$M$1051</f>
        <v>0</v>
      </c>
      <c r="X1066" s="21">
        <f>$E1066*$N$1051</f>
        <v>0</v>
      </c>
      <c r="AF1066" s="1"/>
    </row>
    <row r="1067" spans="3:32" x14ac:dyDescent="0.2">
      <c r="C1067" s="60">
        <v>12</v>
      </c>
      <c r="D1067" s="60"/>
      <c r="E1067" s="21">
        <v>0</v>
      </c>
      <c r="F1067" s="21">
        <f>($C1067=$L$2)*SUM($E$1053:E1067)+($C1067&gt;$L$2)*$E1067</f>
        <v>0</v>
      </c>
      <c r="G1067" s="21">
        <f t="shared" si="817"/>
        <v>0</v>
      </c>
      <c r="W1067" s="21">
        <f>$E1067*$L$1051</f>
        <v>0</v>
      </c>
      <c r="X1067" s="21">
        <f>$E1067*$M$1051</f>
        <v>0</v>
      </c>
      <c r="Y1067" s="21">
        <f>$E1067*$N$1051</f>
        <v>0</v>
      </c>
      <c r="AF1067" s="1"/>
    </row>
    <row r="1068" spans="3:32" x14ac:dyDescent="0.2">
      <c r="C1068" s="60">
        <v>13</v>
      </c>
      <c r="D1068" s="60"/>
      <c r="E1068" s="21">
        <v>0</v>
      </c>
      <c r="F1068" s="21">
        <f>($C1068=$L$2)*SUM($E$1053:E1068)+($C1068&gt;$L$2)*$E1068</f>
        <v>0</v>
      </c>
      <c r="G1068" s="21">
        <f t="shared" si="817"/>
        <v>0</v>
      </c>
      <c r="X1068" s="21">
        <f>$E1068*$L$1051</f>
        <v>0</v>
      </c>
      <c r="Y1068" s="21">
        <f>$E1068*$M$1051</f>
        <v>0</v>
      </c>
      <c r="Z1068" s="21">
        <f>$E1068*$N$1051</f>
        <v>0</v>
      </c>
      <c r="AF1068" s="1"/>
    </row>
    <row r="1069" spans="3:32" x14ac:dyDescent="0.2">
      <c r="C1069" s="60">
        <v>14</v>
      </c>
      <c r="D1069" s="60"/>
      <c r="E1069" s="21">
        <v>0</v>
      </c>
      <c r="F1069" s="21">
        <f>($C1069=$L$2)*SUM($E$1053:E1069)+($C1069&gt;$L$2)*$E1069</f>
        <v>0</v>
      </c>
      <c r="G1069" s="21">
        <f t="shared" si="817"/>
        <v>0</v>
      </c>
      <c r="Y1069" s="21">
        <f>$E1069*$L$1051</f>
        <v>0</v>
      </c>
      <c r="Z1069" s="21">
        <f>$E1069*$M$1051</f>
        <v>0</v>
      </c>
      <c r="AA1069" s="21">
        <f>$E1069*$N$1051</f>
        <v>0</v>
      </c>
      <c r="AF1069" s="1"/>
    </row>
    <row r="1070" spans="3:32" x14ac:dyDescent="0.2">
      <c r="C1070" s="60">
        <v>15</v>
      </c>
      <c r="D1070" s="60"/>
      <c r="E1070" s="21">
        <v>0</v>
      </c>
      <c r="F1070" s="21">
        <f>($C1070=$L$2)*SUM($E$1053:E1070)+($C1070&gt;$L$2)*$E1070</f>
        <v>0</v>
      </c>
      <c r="G1070" s="21">
        <f t="shared" si="817"/>
        <v>0</v>
      </c>
      <c r="Z1070" s="21">
        <f>$E1070*$L$1051</f>
        <v>0</v>
      </c>
      <c r="AA1070" s="21">
        <f>$E1070*$M$1051</f>
        <v>0</v>
      </c>
      <c r="AB1070" s="21">
        <f>$E1070*$N$1051</f>
        <v>0</v>
      </c>
      <c r="AF1070" s="1"/>
    </row>
    <row r="1071" spans="3:32" x14ac:dyDescent="0.2">
      <c r="C1071" s="60">
        <v>16</v>
      </c>
      <c r="D1071" s="60"/>
      <c r="E1071" s="21">
        <v>0</v>
      </c>
      <c r="F1071" s="21">
        <f>($C1071=$L$2)*SUM($E$1053:E1071)+($C1071&gt;$L$2)*$E1071</f>
        <v>0</v>
      </c>
      <c r="G1071" s="21">
        <f t="shared" si="817"/>
        <v>0</v>
      </c>
      <c r="AA1071" s="21">
        <f>$E1071*$L$1051</f>
        <v>0</v>
      </c>
      <c r="AB1071" s="21">
        <f>$E1071*$M$1051</f>
        <v>0</v>
      </c>
      <c r="AC1071" s="21">
        <f>$E1071*$N$1051</f>
        <v>0</v>
      </c>
      <c r="AF1071" s="1"/>
    </row>
    <row r="1072" spans="3:32" x14ac:dyDescent="0.2">
      <c r="C1072" s="60">
        <v>17</v>
      </c>
      <c r="D1072" s="60"/>
      <c r="E1072" s="21">
        <v>0</v>
      </c>
      <c r="F1072" s="21">
        <f>($C1072=$L$2)*SUM($E$1053:E1072)+($C1072&gt;$L$2)*$E1072</f>
        <v>0</v>
      </c>
      <c r="G1072" s="21">
        <f t="shared" si="817"/>
        <v>0</v>
      </c>
      <c r="AB1072" s="21">
        <f>$E1072*$L$1051</f>
        <v>0</v>
      </c>
      <c r="AC1072" s="21">
        <f>$E1072*$M$1051</f>
        <v>0</v>
      </c>
      <c r="AD1072" s="21">
        <f>$E1072*$N$1051</f>
        <v>0</v>
      </c>
    </row>
    <row r="1073" spans="3:33" x14ac:dyDescent="0.2">
      <c r="C1073" s="60">
        <v>18</v>
      </c>
      <c r="D1073" s="60"/>
      <c r="E1073" s="21">
        <v>0</v>
      </c>
      <c r="F1073" s="21">
        <f>($C1073=$L$2)*SUM($E$1053:E1073)+($C1073&gt;$L$2)*$E1073</f>
        <v>0</v>
      </c>
      <c r="G1073" s="21">
        <f t="shared" si="817"/>
        <v>0</v>
      </c>
      <c r="AC1073" s="21">
        <f>$E1073*$L$1051</f>
        <v>0</v>
      </c>
      <c r="AD1073" s="21">
        <f>$E1073*$M$1051</f>
        <v>0</v>
      </c>
      <c r="AE1073" s="21">
        <f>$E1073*$N$1051</f>
        <v>0</v>
      </c>
    </row>
    <row r="1074" spans="3:33" x14ac:dyDescent="0.2">
      <c r="C1074" s="60">
        <v>19</v>
      </c>
      <c r="D1074" s="60"/>
      <c r="E1074" s="21">
        <v>0</v>
      </c>
      <c r="F1074" s="21">
        <f>($C1074=$L$2)*SUM($E$1053:E1074)+($C1074&gt;$L$2)*$E1074</f>
        <v>0</v>
      </c>
      <c r="G1074" s="21">
        <f t="shared" si="817"/>
        <v>0</v>
      </c>
      <c r="AD1074" s="21">
        <f>$E1074*$L$1051</f>
        <v>0</v>
      </c>
      <c r="AE1074" s="21">
        <f>$E1074*$M$1051</f>
        <v>0</v>
      </c>
      <c r="AF1074" s="21"/>
    </row>
    <row r="1075" spans="3:33" x14ac:dyDescent="0.2">
      <c r="C1075" s="60">
        <v>20</v>
      </c>
      <c r="D1075" s="60"/>
      <c r="E1075" s="21">
        <v>0</v>
      </c>
      <c r="F1075" s="21">
        <f>($C1075=$L$2)*SUM($E$1053:E1075)+($C1075&gt;$L$2)*$E1075</f>
        <v>0</v>
      </c>
      <c r="G1075" s="21">
        <f t="shared" si="817"/>
        <v>0</v>
      </c>
      <c r="AE1075" s="21">
        <f>$E1075*$L$1051</f>
        <v>0</v>
      </c>
      <c r="AF1075" s="21"/>
      <c r="AG1075" s="21"/>
    </row>
    <row r="1076" spans="3:33" x14ac:dyDescent="0.2">
      <c r="C1076" s="61" t="s">
        <v>45</v>
      </c>
      <c r="D1076" s="61"/>
      <c r="E1076" s="44">
        <f>SUM(E1053:E1075)</f>
        <v>475.57593141478935</v>
      </c>
      <c r="F1076" s="44">
        <f>SUM(F1053:F1075)</f>
        <v>475.57593141478935</v>
      </c>
      <c r="G1076" s="44">
        <f>SUM(G1053:G1075)</f>
        <v>475.57593141478935</v>
      </c>
      <c r="I1076" s="44">
        <f>SUM(I1053:I1075)</f>
        <v>14.139385291619735</v>
      </c>
      <c r="J1076" s="44">
        <f t="shared" ref="J1076:AE1076" si="818">SUM(J1053:J1075)</f>
        <v>95.205319025677937</v>
      </c>
      <c r="K1076" s="44">
        <f t="shared" si="818"/>
        <v>185.82053129613581</v>
      </c>
      <c r="L1076" s="44">
        <f t="shared" si="818"/>
        <v>142.58264668171674</v>
      </c>
      <c r="M1076" s="44">
        <f t="shared" si="818"/>
        <v>37.828049119639132</v>
      </c>
      <c r="N1076" s="44">
        <f t="shared" si="818"/>
        <v>0</v>
      </c>
      <c r="O1076" s="44">
        <f t="shared" si="818"/>
        <v>0</v>
      </c>
      <c r="P1076" s="44">
        <f t="shared" si="818"/>
        <v>0</v>
      </c>
      <c r="Q1076" s="44">
        <f t="shared" si="818"/>
        <v>0</v>
      </c>
      <c r="R1076" s="44">
        <f t="shared" si="818"/>
        <v>0</v>
      </c>
      <c r="S1076" s="44">
        <f t="shared" si="818"/>
        <v>0</v>
      </c>
      <c r="T1076" s="44">
        <f t="shared" si="818"/>
        <v>0</v>
      </c>
      <c r="U1076" s="44">
        <f t="shared" si="818"/>
        <v>0</v>
      </c>
      <c r="V1076" s="44">
        <f t="shared" si="818"/>
        <v>0</v>
      </c>
      <c r="W1076" s="44">
        <f t="shared" si="818"/>
        <v>0</v>
      </c>
      <c r="X1076" s="44">
        <f t="shared" si="818"/>
        <v>0</v>
      </c>
      <c r="Y1076" s="44">
        <f t="shared" si="818"/>
        <v>0</v>
      </c>
      <c r="Z1076" s="44">
        <f t="shared" si="818"/>
        <v>0</v>
      </c>
      <c r="AA1076" s="44">
        <f t="shared" si="818"/>
        <v>0</v>
      </c>
      <c r="AB1076" s="44">
        <f t="shared" si="818"/>
        <v>0</v>
      </c>
      <c r="AC1076" s="44">
        <f t="shared" si="818"/>
        <v>0</v>
      </c>
      <c r="AD1076" s="44">
        <f t="shared" si="818"/>
        <v>0</v>
      </c>
      <c r="AE1076" s="44">
        <f t="shared" si="818"/>
        <v>0</v>
      </c>
    </row>
    <row r="1077" spans="3:33" x14ac:dyDescent="0.2">
      <c r="C1077" s="5"/>
      <c r="D1077" s="5"/>
    </row>
    <row r="1078" spans="3:33" x14ac:dyDescent="0.2">
      <c r="C1078" s="5" t="s">
        <v>338</v>
      </c>
      <c r="D1078" s="5"/>
      <c r="F1078" s="1" t="s">
        <v>55</v>
      </c>
      <c r="G1078" s="21"/>
      <c r="I1078" s="34">
        <f>SUM($I$1076:I1076)</f>
        <v>14.139385291619735</v>
      </c>
      <c r="J1078" s="34">
        <f>SUM($I$1076:J1076)</f>
        <v>109.34470431729767</v>
      </c>
      <c r="K1078" s="34">
        <f>SUM($I$1076:K1076)</f>
        <v>295.16523561343348</v>
      </c>
      <c r="L1078" s="34">
        <f>SUM($I$1076:L1076)</f>
        <v>437.74788229515025</v>
      </c>
      <c r="M1078" s="34">
        <f>SUM($I$1076:M1076)</f>
        <v>475.57593141478935</v>
      </c>
      <c r="N1078" s="34">
        <f>SUM($I$1076:N1076)</f>
        <v>475.57593141478935</v>
      </c>
      <c r="O1078" s="34">
        <f>SUM($I$1076:O1076)</f>
        <v>475.57593141478935</v>
      </c>
      <c r="P1078" s="34">
        <f>SUM($I$1076:P1076)</f>
        <v>475.57593141478935</v>
      </c>
      <c r="Q1078" s="34">
        <f>SUM($I$1076:Q1076)</f>
        <v>475.57593141478935</v>
      </c>
      <c r="R1078" s="34">
        <f>SUM($I$1076:R1076)</f>
        <v>475.57593141478935</v>
      </c>
      <c r="S1078" s="34">
        <f>SUM($I$1076:S1076)</f>
        <v>475.57593141478935</v>
      </c>
      <c r="T1078" s="34">
        <f>SUM($I$1076:T1076)</f>
        <v>475.57593141478935</v>
      </c>
      <c r="U1078" s="34">
        <f>SUM($I$1076:U1076)</f>
        <v>475.57593141478935</v>
      </c>
      <c r="V1078" s="34">
        <f>SUM($I$1076:V1076)</f>
        <v>475.57593141478935</v>
      </c>
      <c r="W1078" s="34">
        <f>SUM($I$1076:W1076)</f>
        <v>475.57593141478935</v>
      </c>
      <c r="X1078" s="34">
        <f>SUM($I$1076:X1076)</f>
        <v>475.57593141478935</v>
      </c>
      <c r="Y1078" s="34">
        <f>SUM($I$1076:Y1076)</f>
        <v>475.57593141478935</v>
      </c>
      <c r="Z1078" s="34">
        <f>SUM($I$1076:Z1076)</f>
        <v>475.57593141478935</v>
      </c>
      <c r="AA1078" s="34">
        <f>SUM($I$1076:AA1076)</f>
        <v>475.57593141478935</v>
      </c>
      <c r="AB1078" s="34">
        <f>SUM($I$1076:AB1076)</f>
        <v>475.57593141478935</v>
      </c>
      <c r="AC1078" s="34">
        <f>SUM($I$1076:AC1076)</f>
        <v>475.57593141478935</v>
      </c>
      <c r="AD1078" s="34">
        <f>SUM($I$1076:AD1076)</f>
        <v>475.57593141478935</v>
      </c>
      <c r="AE1078" s="34">
        <f>SUM($I$1076:AE1076)</f>
        <v>475.57593141478935</v>
      </c>
    </row>
    <row r="1079" spans="3:33" x14ac:dyDescent="0.2">
      <c r="C1079" s="5"/>
      <c r="D1079" s="5"/>
    </row>
    <row r="1080" spans="3:33" x14ac:dyDescent="0.2">
      <c r="C1080" s="90" t="s">
        <v>264</v>
      </c>
      <c r="D1080" s="5"/>
    </row>
    <row r="1081" spans="3:33" x14ac:dyDescent="0.2">
      <c r="C1081" s="5" t="s">
        <v>260</v>
      </c>
      <c r="D1081" s="5"/>
      <c r="F1081" s="1" t="s">
        <v>55</v>
      </c>
      <c r="G1081" s="21"/>
      <c r="I1081" s="46">
        <f>E970</f>
        <v>0</v>
      </c>
      <c r="J1081" s="21">
        <f>I1084</f>
        <v>56.557541166478941</v>
      </c>
      <c r="K1081" s="21">
        <f t="shared" ref="K1081:AE1081" si="819">J1084</f>
        <v>324.26373493623282</v>
      </c>
      <c r="L1081" s="21">
        <f t="shared" si="819"/>
        <v>434.50614082371351</v>
      </c>
      <c r="M1081" s="21">
        <f t="shared" si="819"/>
        <v>365.29076695753332</v>
      </c>
      <c r="N1081" s="21">
        <f t="shared" si="819"/>
        <v>255.70353687027333</v>
      </c>
      <c r="O1081" s="21">
        <f t="shared" si="819"/>
        <v>178.99247580919132</v>
      </c>
      <c r="P1081" s="21">
        <f t="shared" si="819"/>
        <v>125.29473306643393</v>
      </c>
      <c r="Q1081" s="21">
        <f t="shared" si="819"/>
        <v>87.70631314650376</v>
      </c>
      <c r="R1081" s="21">
        <f t="shared" si="819"/>
        <v>61.394419202552633</v>
      </c>
      <c r="S1081" s="21">
        <f t="shared" si="819"/>
        <v>42.976093441786844</v>
      </c>
      <c r="T1081" s="21">
        <f t="shared" si="819"/>
        <v>30.083265409250792</v>
      </c>
      <c r="U1081" s="21">
        <f t="shared" si="819"/>
        <v>21.058285786475555</v>
      </c>
      <c r="V1081" s="21">
        <f t="shared" si="819"/>
        <v>14.740800050532888</v>
      </c>
      <c r="W1081" s="21">
        <f t="shared" si="819"/>
        <v>10.318560035373022</v>
      </c>
      <c r="X1081" s="21">
        <f t="shared" si="819"/>
        <v>7.2229920247611155</v>
      </c>
      <c r="Y1081" s="21">
        <f t="shared" si="819"/>
        <v>5.0560944173327815</v>
      </c>
      <c r="Z1081" s="21">
        <f t="shared" si="819"/>
        <v>3.5392660921329471</v>
      </c>
      <c r="AA1081" s="21">
        <f t="shared" si="819"/>
        <v>2.4774862644930629</v>
      </c>
      <c r="AB1081" s="21">
        <f t="shared" si="819"/>
        <v>1.734240385145144</v>
      </c>
      <c r="AC1081" s="21">
        <f t="shared" si="819"/>
        <v>1.213968269601601</v>
      </c>
      <c r="AD1081" s="21">
        <f t="shared" si="819"/>
        <v>0.84977778872112064</v>
      </c>
      <c r="AE1081" s="21">
        <f t="shared" si="819"/>
        <v>0.59484445210478443</v>
      </c>
    </row>
    <row r="1082" spans="3:33" x14ac:dyDescent="0.2">
      <c r="C1082" s="5" t="s">
        <v>126</v>
      </c>
      <c r="D1082" s="5"/>
      <c r="F1082" s="1" t="s">
        <v>55</v>
      </c>
      <c r="G1082" s="21">
        <f>SUM(I1082:AE1082)</f>
        <v>475.57593141478935</v>
      </c>
      <c r="I1082" s="21">
        <f t="shared" ref="I1082:AE1082" si="820">I1008</f>
        <v>56.557541166478941</v>
      </c>
      <c r="J1082" s="21">
        <f t="shared" si="820"/>
        <v>267.7061937697539</v>
      </c>
      <c r="K1082" s="21">
        <f t="shared" si="820"/>
        <v>151.31219647855653</v>
      </c>
      <c r="L1082" s="21">
        <f t="shared" si="820"/>
        <v>0</v>
      </c>
      <c r="M1082" s="21">
        <f t="shared" si="820"/>
        <v>0</v>
      </c>
      <c r="N1082" s="21">
        <f t="shared" si="820"/>
        <v>0</v>
      </c>
      <c r="O1082" s="21">
        <f t="shared" si="820"/>
        <v>0</v>
      </c>
      <c r="P1082" s="21">
        <f t="shared" si="820"/>
        <v>0</v>
      </c>
      <c r="Q1082" s="21">
        <f t="shared" si="820"/>
        <v>0</v>
      </c>
      <c r="R1082" s="21">
        <f t="shared" si="820"/>
        <v>0</v>
      </c>
      <c r="S1082" s="21">
        <f t="shared" si="820"/>
        <v>0</v>
      </c>
      <c r="T1082" s="21">
        <f t="shared" si="820"/>
        <v>0</v>
      </c>
      <c r="U1082" s="21">
        <f t="shared" si="820"/>
        <v>0</v>
      </c>
      <c r="V1082" s="21">
        <f t="shared" si="820"/>
        <v>0</v>
      </c>
      <c r="W1082" s="21">
        <f t="shared" si="820"/>
        <v>0</v>
      </c>
      <c r="X1082" s="21">
        <f t="shared" si="820"/>
        <v>0</v>
      </c>
      <c r="Y1082" s="21">
        <f t="shared" si="820"/>
        <v>0</v>
      </c>
      <c r="Z1082" s="21">
        <f t="shared" si="820"/>
        <v>0</v>
      </c>
      <c r="AA1082" s="21">
        <f t="shared" si="820"/>
        <v>0</v>
      </c>
      <c r="AB1082" s="21">
        <f t="shared" si="820"/>
        <v>0</v>
      </c>
      <c r="AC1082" s="21">
        <f t="shared" si="820"/>
        <v>0</v>
      </c>
      <c r="AD1082" s="21">
        <f t="shared" si="820"/>
        <v>0</v>
      </c>
      <c r="AE1082" s="21">
        <f t="shared" si="820"/>
        <v>0</v>
      </c>
    </row>
    <row r="1083" spans="3:33" x14ac:dyDescent="0.2">
      <c r="C1083" s="5" t="s">
        <v>261</v>
      </c>
      <c r="D1083" s="5"/>
      <c r="F1083" s="1" t="s">
        <v>55</v>
      </c>
      <c r="G1083" s="21">
        <f>SUM(I1083:AE1083)</f>
        <v>-475.1595402983159</v>
      </c>
      <c r="I1083" s="21">
        <f t="shared" ref="I1083:AE1083" si="821">-MIN(I1086,MAX(I1041,0))</f>
        <v>0</v>
      </c>
      <c r="J1083" s="21">
        <f t="shared" si="821"/>
        <v>0</v>
      </c>
      <c r="K1083" s="21">
        <f t="shared" si="821"/>
        <v>-41.069790591075815</v>
      </c>
      <c r="L1083" s="21">
        <f t="shared" si="821"/>
        <v>-69.215373866180201</v>
      </c>
      <c r="M1083" s="21">
        <f t="shared" si="821"/>
        <v>-109.58723008726</v>
      </c>
      <c r="N1083" s="21">
        <f t="shared" si="821"/>
        <v>-76.711061061081992</v>
      </c>
      <c r="O1083" s="21">
        <f t="shared" si="821"/>
        <v>-53.697742742757391</v>
      </c>
      <c r="P1083" s="21">
        <f t="shared" si="821"/>
        <v>-37.588419919930182</v>
      </c>
      <c r="Q1083" s="21">
        <f t="shared" si="821"/>
        <v>-26.311893943951127</v>
      </c>
      <c r="R1083" s="21">
        <f t="shared" si="821"/>
        <v>-18.418325760765789</v>
      </c>
      <c r="S1083" s="21">
        <f t="shared" si="821"/>
        <v>-12.892828032536054</v>
      </c>
      <c r="T1083" s="21">
        <f t="shared" si="821"/>
        <v>-9.0249796227752377</v>
      </c>
      <c r="U1083" s="21">
        <f t="shared" si="821"/>
        <v>-6.3174857359426664</v>
      </c>
      <c r="V1083" s="21">
        <f t="shared" si="821"/>
        <v>-4.4222400151598666</v>
      </c>
      <c r="W1083" s="21">
        <f t="shared" si="821"/>
        <v>-3.0955680106119066</v>
      </c>
      <c r="X1083" s="21">
        <f t="shared" si="821"/>
        <v>-2.1668976074283344</v>
      </c>
      <c r="Y1083" s="21">
        <f t="shared" si="821"/>
        <v>-1.5168283251998345</v>
      </c>
      <c r="Z1083" s="21">
        <f t="shared" si="821"/>
        <v>-1.061779827639884</v>
      </c>
      <c r="AA1083" s="21">
        <f t="shared" si="821"/>
        <v>-0.74324587934791886</v>
      </c>
      <c r="AB1083" s="21">
        <f t="shared" si="821"/>
        <v>-0.52027211554354313</v>
      </c>
      <c r="AC1083" s="21">
        <f t="shared" si="821"/>
        <v>-0.36419048088048028</v>
      </c>
      <c r="AD1083" s="21">
        <f t="shared" si="821"/>
        <v>-0.25493333661633616</v>
      </c>
      <c r="AE1083" s="21">
        <f t="shared" si="821"/>
        <v>-0.17845333563143531</v>
      </c>
    </row>
    <row r="1084" spans="3:33" x14ac:dyDescent="0.2">
      <c r="C1084" s="5" t="s">
        <v>127</v>
      </c>
      <c r="D1084" s="5"/>
      <c r="F1084" s="1" t="s">
        <v>55</v>
      </c>
      <c r="G1084" s="21"/>
      <c r="I1084" s="21">
        <f>SUM(I1081:I1083)</f>
        <v>56.557541166478941</v>
      </c>
      <c r="J1084" s="21">
        <f t="shared" ref="J1084:AE1084" si="822">SUM(J1081:J1083)</f>
        <v>324.26373493623282</v>
      </c>
      <c r="K1084" s="21">
        <f>SUM(K1081:K1083)</f>
        <v>434.50614082371351</v>
      </c>
      <c r="L1084" s="21">
        <f t="shared" si="822"/>
        <v>365.29076695753332</v>
      </c>
      <c r="M1084" s="21">
        <f t="shared" si="822"/>
        <v>255.70353687027333</v>
      </c>
      <c r="N1084" s="21">
        <f t="shared" si="822"/>
        <v>178.99247580919132</v>
      </c>
      <c r="O1084" s="21">
        <f t="shared" si="822"/>
        <v>125.29473306643393</v>
      </c>
      <c r="P1084" s="21">
        <f t="shared" si="822"/>
        <v>87.70631314650376</v>
      </c>
      <c r="Q1084" s="21">
        <f t="shared" si="822"/>
        <v>61.394419202552633</v>
      </c>
      <c r="R1084" s="21">
        <f t="shared" si="822"/>
        <v>42.976093441786844</v>
      </c>
      <c r="S1084" s="21">
        <f t="shared" si="822"/>
        <v>30.083265409250792</v>
      </c>
      <c r="T1084" s="21">
        <f t="shared" si="822"/>
        <v>21.058285786475555</v>
      </c>
      <c r="U1084" s="21">
        <f t="shared" si="822"/>
        <v>14.740800050532888</v>
      </c>
      <c r="V1084" s="21">
        <f t="shared" si="822"/>
        <v>10.318560035373022</v>
      </c>
      <c r="W1084" s="21">
        <f t="shared" si="822"/>
        <v>7.2229920247611155</v>
      </c>
      <c r="X1084" s="21">
        <f t="shared" si="822"/>
        <v>5.0560944173327815</v>
      </c>
      <c r="Y1084" s="21">
        <f t="shared" si="822"/>
        <v>3.5392660921329471</v>
      </c>
      <c r="Z1084" s="21">
        <f t="shared" si="822"/>
        <v>2.4774862644930629</v>
      </c>
      <c r="AA1084" s="21">
        <f t="shared" si="822"/>
        <v>1.734240385145144</v>
      </c>
      <c r="AB1084" s="21">
        <f t="shared" si="822"/>
        <v>1.213968269601601</v>
      </c>
      <c r="AC1084" s="21">
        <f t="shared" si="822"/>
        <v>0.84977778872112064</v>
      </c>
      <c r="AD1084" s="21">
        <f t="shared" si="822"/>
        <v>0.59484445210478443</v>
      </c>
      <c r="AE1084" s="21">
        <f t="shared" si="822"/>
        <v>0.41639111647334914</v>
      </c>
    </row>
    <row r="1085" spans="3:33" x14ac:dyDescent="0.2">
      <c r="C1085" s="5"/>
      <c r="D1085" s="5"/>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row>
    <row r="1086" spans="3:33" x14ac:dyDescent="0.2">
      <c r="C1086" s="5" t="s">
        <v>372</v>
      </c>
      <c r="D1086" s="5"/>
      <c r="F1086" s="1" t="s">
        <v>55</v>
      </c>
      <c r="G1086" s="21"/>
      <c r="I1086" s="21">
        <f>I1082*$E$964*$E$966+I1081*$E$964</f>
        <v>8.4836311749718405</v>
      </c>
      <c r="J1086" s="21">
        <f t="shared" ref="J1086:AD1086" si="823">J1082*$E$964*$E$966+J1081*$E$964</f>
        <v>57.123191415406765</v>
      </c>
      <c r="K1086" s="21">
        <f>K1082*$E$964*$E$966+K1081*$E$964</f>
        <v>119.97594995265332</v>
      </c>
      <c r="L1086" s="21">
        <f t="shared" si="823"/>
        <v>130.35184224711404</v>
      </c>
      <c r="M1086" s="21">
        <f t="shared" si="823"/>
        <v>109.58723008726</v>
      </c>
      <c r="N1086" s="21">
        <f t="shared" si="823"/>
        <v>76.711061061081992</v>
      </c>
      <c r="O1086" s="21">
        <f t="shared" si="823"/>
        <v>53.697742742757391</v>
      </c>
      <c r="P1086" s="21">
        <f t="shared" si="823"/>
        <v>37.588419919930182</v>
      </c>
      <c r="Q1086" s="21">
        <f t="shared" si="823"/>
        <v>26.311893943951127</v>
      </c>
      <c r="R1086" s="21">
        <f t="shared" si="823"/>
        <v>18.418325760765789</v>
      </c>
      <c r="S1086" s="21">
        <f t="shared" si="823"/>
        <v>12.892828032536054</v>
      </c>
      <c r="T1086" s="21">
        <f t="shared" si="823"/>
        <v>9.0249796227752377</v>
      </c>
      <c r="U1086" s="21">
        <f t="shared" si="823"/>
        <v>6.3174857359426664</v>
      </c>
      <c r="V1086" s="21">
        <f t="shared" si="823"/>
        <v>4.4222400151598666</v>
      </c>
      <c r="W1086" s="21">
        <f t="shared" si="823"/>
        <v>3.0955680106119066</v>
      </c>
      <c r="X1086" s="21">
        <f t="shared" si="823"/>
        <v>2.1668976074283344</v>
      </c>
      <c r="Y1086" s="21">
        <f t="shared" si="823"/>
        <v>1.5168283251998345</v>
      </c>
      <c r="Z1086" s="21">
        <f t="shared" si="823"/>
        <v>1.061779827639884</v>
      </c>
      <c r="AA1086" s="21">
        <f t="shared" si="823"/>
        <v>0.74324587934791886</v>
      </c>
      <c r="AB1086" s="21">
        <f t="shared" si="823"/>
        <v>0.52027211554354313</v>
      </c>
      <c r="AC1086" s="21">
        <f t="shared" si="823"/>
        <v>0.36419048088048028</v>
      </c>
      <c r="AD1086" s="21">
        <f t="shared" si="823"/>
        <v>0.25493333661633616</v>
      </c>
      <c r="AE1086" s="21">
        <f>AE1082*$E$964*$E$966+AE1081*$E$964</f>
        <v>0.17845333563143531</v>
      </c>
    </row>
    <row r="1087" spans="3:33" x14ac:dyDescent="0.2">
      <c r="C1087" s="5"/>
      <c r="D1087" s="5"/>
    </row>
    <row r="1088" spans="3:33" x14ac:dyDescent="0.2">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78"/>
      <c r="AE1088" s="278"/>
      <c r="AF1088" s="1"/>
    </row>
    <row r="1089" spans="2:32" x14ac:dyDescent="0.2">
      <c r="C1089" s="5"/>
      <c r="D1089" s="5"/>
    </row>
    <row r="1090" spans="2:32" x14ac:dyDescent="0.2">
      <c r="B1090" s="10">
        <f>B1037+0.1</f>
        <v>9.5999999999999979</v>
      </c>
      <c r="C1090" s="20" t="s">
        <v>265</v>
      </c>
      <c r="D1090" s="5"/>
      <c r="AF1090" s="1"/>
    </row>
    <row r="1091" spans="2:32" x14ac:dyDescent="0.2">
      <c r="C1091" s="5"/>
      <c r="D1091" s="5"/>
      <c r="AF1091" s="1"/>
    </row>
    <row r="1092" spans="2:32" x14ac:dyDescent="0.2">
      <c r="C1092" s="1" t="s">
        <v>125</v>
      </c>
      <c r="D1092" s="5"/>
      <c r="F1092" s="1" t="s">
        <v>55</v>
      </c>
      <c r="I1092" s="46">
        <f>E972</f>
        <v>0</v>
      </c>
      <c r="J1092" s="21">
        <f>I1095</f>
        <v>5.6557541166478948</v>
      </c>
      <c r="K1092" s="21">
        <f t="shared" ref="K1092:AE1092" si="824">J1095</f>
        <v>32.426373493623288</v>
      </c>
      <c r="L1092" s="21">
        <f t="shared" si="824"/>
        <v>47.557593141478939</v>
      </c>
      <c r="M1092" s="21">
        <f t="shared" si="824"/>
        <v>47.557593141478939</v>
      </c>
      <c r="N1092" s="21">
        <f t="shared" si="824"/>
        <v>43.719880537350555</v>
      </c>
      <c r="O1092" s="21">
        <f t="shared" si="824"/>
        <v>35.091314401877788</v>
      </c>
      <c r="P1092" s="21">
        <f t="shared" si="824"/>
        <v>23.010750518656337</v>
      </c>
      <c r="Q1092" s="21">
        <f t="shared" si="824"/>
        <v>8.9565454101287738</v>
      </c>
      <c r="R1092" s="21">
        <f t="shared" si="824"/>
        <v>0</v>
      </c>
      <c r="S1092" s="21">
        <f t="shared" si="824"/>
        <v>0</v>
      </c>
      <c r="T1092" s="21">
        <f t="shared" si="824"/>
        <v>0</v>
      </c>
      <c r="U1092" s="21">
        <f t="shared" si="824"/>
        <v>0</v>
      </c>
      <c r="V1092" s="21">
        <f t="shared" si="824"/>
        <v>0</v>
      </c>
      <c r="W1092" s="21">
        <f t="shared" si="824"/>
        <v>0</v>
      </c>
      <c r="X1092" s="21">
        <f t="shared" si="824"/>
        <v>0</v>
      </c>
      <c r="Y1092" s="21">
        <f t="shared" si="824"/>
        <v>0</v>
      </c>
      <c r="Z1092" s="21">
        <f t="shared" si="824"/>
        <v>0</v>
      </c>
      <c r="AA1092" s="21">
        <f t="shared" si="824"/>
        <v>0</v>
      </c>
      <c r="AB1092" s="21">
        <f t="shared" si="824"/>
        <v>0</v>
      </c>
      <c r="AC1092" s="21">
        <f t="shared" si="824"/>
        <v>0</v>
      </c>
      <c r="AD1092" s="21">
        <f t="shared" si="824"/>
        <v>0</v>
      </c>
      <c r="AE1092" s="21">
        <f t="shared" si="824"/>
        <v>0</v>
      </c>
      <c r="AF1092" s="1"/>
    </row>
    <row r="1093" spans="2:32" x14ac:dyDescent="0.2">
      <c r="C1093" s="1" t="s">
        <v>126</v>
      </c>
      <c r="D1093" s="5"/>
      <c r="F1093" s="1" t="s">
        <v>55</v>
      </c>
      <c r="G1093" s="21">
        <f>SUM(I1093:AE1093)</f>
        <v>47.557593141478939</v>
      </c>
      <c r="I1093" s="21">
        <f t="shared" ref="I1093:AE1093" si="825">$E$967*I1042</f>
        <v>5.6557541166478948</v>
      </c>
      <c r="J1093" s="21">
        <f>$E$967*J1042</f>
        <v>26.77061937697539</v>
      </c>
      <c r="K1093" s="21">
        <f t="shared" si="825"/>
        <v>15.131219647855653</v>
      </c>
      <c r="L1093" s="21">
        <f t="shared" si="825"/>
        <v>0</v>
      </c>
      <c r="M1093" s="21">
        <f t="shared" si="825"/>
        <v>0</v>
      </c>
      <c r="N1093" s="21">
        <f t="shared" si="825"/>
        <v>0</v>
      </c>
      <c r="O1093" s="21">
        <f t="shared" si="825"/>
        <v>0</v>
      </c>
      <c r="P1093" s="21">
        <f t="shared" si="825"/>
        <v>0</v>
      </c>
      <c r="Q1093" s="21">
        <f t="shared" si="825"/>
        <v>0</v>
      </c>
      <c r="R1093" s="21">
        <f t="shared" si="825"/>
        <v>0</v>
      </c>
      <c r="S1093" s="21">
        <f t="shared" si="825"/>
        <v>0</v>
      </c>
      <c r="T1093" s="21">
        <f t="shared" si="825"/>
        <v>0</v>
      </c>
      <c r="U1093" s="21">
        <f t="shared" si="825"/>
        <v>0</v>
      </c>
      <c r="V1093" s="21">
        <f t="shared" si="825"/>
        <v>0</v>
      </c>
      <c r="W1093" s="21">
        <f t="shared" si="825"/>
        <v>0</v>
      </c>
      <c r="X1093" s="21">
        <f t="shared" si="825"/>
        <v>0</v>
      </c>
      <c r="Y1093" s="21">
        <f t="shared" si="825"/>
        <v>0</v>
      </c>
      <c r="Z1093" s="21">
        <f t="shared" si="825"/>
        <v>0</v>
      </c>
      <c r="AA1093" s="21">
        <f t="shared" si="825"/>
        <v>0</v>
      </c>
      <c r="AB1093" s="21">
        <f t="shared" si="825"/>
        <v>0</v>
      </c>
      <c r="AC1093" s="21">
        <f t="shared" si="825"/>
        <v>0</v>
      </c>
      <c r="AD1093" s="21">
        <f t="shared" si="825"/>
        <v>0</v>
      </c>
      <c r="AE1093" s="21">
        <f t="shared" si="825"/>
        <v>0</v>
      </c>
      <c r="AF1093" s="1"/>
    </row>
    <row r="1094" spans="2:32" x14ac:dyDescent="0.2">
      <c r="C1094" s="67" t="s">
        <v>266</v>
      </c>
      <c r="D1094" s="5"/>
      <c r="F1094" s="1" t="s">
        <v>55</v>
      </c>
      <c r="G1094" s="21">
        <f>SUM(I1094:AE1094)</f>
        <v>-47.557593141478939</v>
      </c>
      <c r="I1094" s="45">
        <f t="shared" ref="I1094:AE1094" si="826">-MIN(I1093+I1092,I1192)</f>
        <v>0</v>
      </c>
      <c r="J1094" s="45">
        <f t="shared" si="826"/>
        <v>0</v>
      </c>
      <c r="K1094" s="45">
        <f t="shared" si="826"/>
        <v>0</v>
      </c>
      <c r="L1094" s="45">
        <f t="shared" si="826"/>
        <v>0</v>
      </c>
      <c r="M1094" s="45">
        <f t="shared" si="826"/>
        <v>-3.8377126041283858</v>
      </c>
      <c r="N1094" s="45">
        <f t="shared" si="826"/>
        <v>-8.6285661354727647</v>
      </c>
      <c r="O1094" s="45">
        <f t="shared" si="826"/>
        <v>-12.080563883221451</v>
      </c>
      <c r="P1094" s="45">
        <f t="shared" si="826"/>
        <v>-14.054205108527563</v>
      </c>
      <c r="Q1094" s="45">
        <f t="shared" si="826"/>
        <v>-8.9565454101287738</v>
      </c>
      <c r="R1094" s="45">
        <f t="shared" si="826"/>
        <v>0</v>
      </c>
      <c r="S1094" s="45">
        <f t="shared" si="826"/>
        <v>0</v>
      </c>
      <c r="T1094" s="45">
        <f t="shared" si="826"/>
        <v>0</v>
      </c>
      <c r="U1094" s="45">
        <f t="shared" si="826"/>
        <v>0</v>
      </c>
      <c r="V1094" s="45">
        <f t="shared" si="826"/>
        <v>0</v>
      </c>
      <c r="W1094" s="45">
        <f t="shared" si="826"/>
        <v>0</v>
      </c>
      <c r="X1094" s="45">
        <f t="shared" si="826"/>
        <v>0</v>
      </c>
      <c r="Y1094" s="45">
        <f t="shared" si="826"/>
        <v>0</v>
      </c>
      <c r="Z1094" s="45">
        <f t="shared" si="826"/>
        <v>0</v>
      </c>
      <c r="AA1094" s="45">
        <f t="shared" si="826"/>
        <v>0</v>
      </c>
      <c r="AB1094" s="45">
        <f t="shared" si="826"/>
        <v>0</v>
      </c>
      <c r="AC1094" s="45">
        <f t="shared" si="826"/>
        <v>0</v>
      </c>
      <c r="AD1094" s="45">
        <f t="shared" si="826"/>
        <v>0</v>
      </c>
      <c r="AE1094" s="45">
        <f t="shared" si="826"/>
        <v>0</v>
      </c>
      <c r="AF1094" s="1"/>
    </row>
    <row r="1095" spans="2:32" x14ac:dyDescent="0.2">
      <c r="C1095" s="1" t="s">
        <v>267</v>
      </c>
      <c r="D1095" s="5"/>
      <c r="F1095" s="1" t="s">
        <v>55</v>
      </c>
      <c r="I1095" s="21">
        <f>SUM(I1092:I1094)</f>
        <v>5.6557541166478948</v>
      </c>
      <c r="J1095" s="21">
        <f t="shared" ref="J1095:AE1095" si="827">SUM(J1092:J1094)</f>
        <v>32.426373493623288</v>
      </c>
      <c r="K1095" s="21">
        <f>SUM(K1092:K1094)</f>
        <v>47.557593141478939</v>
      </c>
      <c r="L1095" s="21">
        <f t="shared" si="827"/>
        <v>47.557593141478939</v>
      </c>
      <c r="M1095" s="21">
        <f t="shared" si="827"/>
        <v>43.719880537350555</v>
      </c>
      <c r="N1095" s="21">
        <f t="shared" si="827"/>
        <v>35.091314401877788</v>
      </c>
      <c r="O1095" s="21">
        <f t="shared" si="827"/>
        <v>23.010750518656337</v>
      </c>
      <c r="P1095" s="21">
        <f t="shared" si="827"/>
        <v>8.9565454101287738</v>
      </c>
      <c r="Q1095" s="21">
        <f t="shared" si="827"/>
        <v>0</v>
      </c>
      <c r="R1095" s="21">
        <f t="shared" si="827"/>
        <v>0</v>
      </c>
      <c r="S1095" s="21">
        <f t="shared" si="827"/>
        <v>0</v>
      </c>
      <c r="T1095" s="21">
        <f t="shared" si="827"/>
        <v>0</v>
      </c>
      <c r="U1095" s="21">
        <f t="shared" si="827"/>
        <v>0</v>
      </c>
      <c r="V1095" s="21">
        <f t="shared" si="827"/>
        <v>0</v>
      </c>
      <c r="W1095" s="21">
        <f t="shared" si="827"/>
        <v>0</v>
      </c>
      <c r="X1095" s="21">
        <f t="shared" si="827"/>
        <v>0</v>
      </c>
      <c r="Y1095" s="21">
        <f t="shared" si="827"/>
        <v>0</v>
      </c>
      <c r="Z1095" s="21">
        <f t="shared" si="827"/>
        <v>0</v>
      </c>
      <c r="AA1095" s="21">
        <f t="shared" si="827"/>
        <v>0</v>
      </c>
      <c r="AB1095" s="21">
        <f t="shared" si="827"/>
        <v>0</v>
      </c>
      <c r="AC1095" s="21">
        <f t="shared" si="827"/>
        <v>0</v>
      </c>
      <c r="AD1095" s="21">
        <f t="shared" si="827"/>
        <v>0</v>
      </c>
      <c r="AE1095" s="21">
        <f t="shared" si="827"/>
        <v>0</v>
      </c>
      <c r="AF1095" s="1"/>
    </row>
    <row r="1096" spans="2:32" x14ac:dyDescent="0.2">
      <c r="C1096" s="5"/>
      <c r="D1096" s="5"/>
      <c r="AF1096" s="1"/>
    </row>
    <row r="1097" spans="2:32" x14ac:dyDescent="0.2">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78"/>
      <c r="AE1097" s="278"/>
      <c r="AF1097" s="1"/>
    </row>
    <row r="1098" spans="2:32" x14ac:dyDescent="0.2">
      <c r="C1098" s="5"/>
      <c r="D1098" s="5"/>
      <c r="AF1098" s="1"/>
    </row>
    <row r="1099" spans="2:32" x14ac:dyDescent="0.2">
      <c r="B1099" s="10">
        <f>B1090+0.1</f>
        <v>9.6999999999999975</v>
      </c>
      <c r="C1099" s="20" t="s">
        <v>275</v>
      </c>
      <c r="D1099" s="5"/>
      <c r="AF1099" s="1"/>
    </row>
    <row r="1100" spans="2:32" x14ac:dyDescent="0.2">
      <c r="B1100" s="24"/>
      <c r="C1100" s="20"/>
      <c r="D1100" s="5"/>
      <c r="AF1100" s="1"/>
    </row>
    <row r="1101" spans="2:32" x14ac:dyDescent="0.2">
      <c r="C1101" s="1" t="s">
        <v>125</v>
      </c>
      <c r="D1101" s="5"/>
      <c r="F1101" s="1" t="s">
        <v>55</v>
      </c>
      <c r="I1101" s="46">
        <f>E971</f>
        <v>0</v>
      </c>
      <c r="J1101" s="21">
        <f>I1104</f>
        <v>0</v>
      </c>
      <c r="K1101" s="21">
        <f t="shared" ref="K1101:AE1101" si="828">J1104</f>
        <v>0</v>
      </c>
      <c r="L1101" s="21">
        <f t="shared" si="828"/>
        <v>0</v>
      </c>
      <c r="M1101" s="21">
        <f t="shared" si="828"/>
        <v>0</v>
      </c>
      <c r="N1101" s="21">
        <f t="shared" si="828"/>
        <v>0</v>
      </c>
      <c r="O1101" s="21">
        <f t="shared" si="828"/>
        <v>0</v>
      </c>
      <c r="P1101" s="21">
        <f t="shared" si="828"/>
        <v>0</v>
      </c>
      <c r="Q1101" s="21">
        <f t="shared" si="828"/>
        <v>0</v>
      </c>
      <c r="R1101" s="21">
        <f t="shared" si="828"/>
        <v>0</v>
      </c>
      <c r="S1101" s="21">
        <f t="shared" si="828"/>
        <v>0</v>
      </c>
      <c r="T1101" s="21">
        <f t="shared" si="828"/>
        <v>0</v>
      </c>
      <c r="U1101" s="21">
        <f t="shared" si="828"/>
        <v>0</v>
      </c>
      <c r="V1101" s="21">
        <f t="shared" si="828"/>
        <v>0</v>
      </c>
      <c r="W1101" s="21">
        <f t="shared" si="828"/>
        <v>0</v>
      </c>
      <c r="X1101" s="21">
        <f t="shared" si="828"/>
        <v>0</v>
      </c>
      <c r="Y1101" s="21">
        <f t="shared" si="828"/>
        <v>0</v>
      </c>
      <c r="Z1101" s="21">
        <f t="shared" si="828"/>
        <v>0</v>
      </c>
      <c r="AA1101" s="21">
        <f t="shared" si="828"/>
        <v>0</v>
      </c>
      <c r="AB1101" s="21">
        <f t="shared" si="828"/>
        <v>0</v>
      </c>
      <c r="AC1101" s="21">
        <f t="shared" si="828"/>
        <v>0</v>
      </c>
      <c r="AD1101" s="21">
        <f t="shared" si="828"/>
        <v>0</v>
      </c>
      <c r="AE1101" s="21">
        <f t="shared" si="828"/>
        <v>0</v>
      </c>
      <c r="AF1101" s="1"/>
    </row>
    <row r="1102" spans="2:32" x14ac:dyDescent="0.2">
      <c r="C1102" s="1" t="s">
        <v>126</v>
      </c>
      <c r="D1102" s="5"/>
      <c r="F1102" s="1" t="s">
        <v>55</v>
      </c>
      <c r="G1102" s="21">
        <f>SUM(I1102:AE1102)</f>
        <v>0</v>
      </c>
      <c r="I1102" s="21">
        <f t="shared" ref="I1102:AE1102" si="829">-MIN(I1021,0)</f>
        <v>0</v>
      </c>
      <c r="J1102" s="21">
        <f t="shared" si="829"/>
        <v>0</v>
      </c>
      <c r="K1102" s="21">
        <f t="shared" si="829"/>
        <v>0</v>
      </c>
      <c r="L1102" s="21">
        <f t="shared" si="829"/>
        <v>0</v>
      </c>
      <c r="M1102" s="21">
        <f t="shared" si="829"/>
        <v>0</v>
      </c>
      <c r="N1102" s="21">
        <f t="shared" si="829"/>
        <v>0</v>
      </c>
      <c r="O1102" s="21">
        <f t="shared" si="829"/>
        <v>0</v>
      </c>
      <c r="P1102" s="21">
        <f t="shared" si="829"/>
        <v>0</v>
      </c>
      <c r="Q1102" s="21">
        <f t="shared" si="829"/>
        <v>0</v>
      </c>
      <c r="R1102" s="21">
        <f t="shared" si="829"/>
        <v>0</v>
      </c>
      <c r="S1102" s="21">
        <f t="shared" si="829"/>
        <v>0</v>
      </c>
      <c r="T1102" s="21">
        <f t="shared" si="829"/>
        <v>0</v>
      </c>
      <c r="U1102" s="21">
        <f t="shared" si="829"/>
        <v>0</v>
      </c>
      <c r="V1102" s="21">
        <f t="shared" si="829"/>
        <v>0</v>
      </c>
      <c r="W1102" s="21">
        <f t="shared" si="829"/>
        <v>0</v>
      </c>
      <c r="X1102" s="21">
        <f t="shared" si="829"/>
        <v>0</v>
      </c>
      <c r="Y1102" s="21">
        <f t="shared" si="829"/>
        <v>0</v>
      </c>
      <c r="Z1102" s="21">
        <f t="shared" si="829"/>
        <v>0</v>
      </c>
      <c r="AA1102" s="21">
        <f t="shared" si="829"/>
        <v>0</v>
      </c>
      <c r="AB1102" s="21">
        <f t="shared" si="829"/>
        <v>0</v>
      </c>
      <c r="AC1102" s="21">
        <f t="shared" si="829"/>
        <v>0</v>
      </c>
      <c r="AD1102" s="21">
        <f t="shared" si="829"/>
        <v>0</v>
      </c>
      <c r="AE1102" s="21">
        <f t="shared" si="829"/>
        <v>0</v>
      </c>
      <c r="AF1102" s="1"/>
    </row>
    <row r="1103" spans="2:32" x14ac:dyDescent="0.2">
      <c r="C1103" s="67" t="s">
        <v>266</v>
      </c>
      <c r="D1103" s="5"/>
      <c r="F1103" s="1" t="s">
        <v>55</v>
      </c>
      <c r="G1103" s="21">
        <f>SUM(I1103:AE1103)</f>
        <v>0</v>
      </c>
      <c r="I1103" s="45">
        <f t="shared" ref="I1103:AE1103" si="830">-MIN(I1102+I1101,MAX(I1188,0))</f>
        <v>0</v>
      </c>
      <c r="J1103" s="45">
        <f t="shared" si="830"/>
        <v>0</v>
      </c>
      <c r="K1103" s="45">
        <f t="shared" si="830"/>
        <v>0</v>
      </c>
      <c r="L1103" s="45">
        <f t="shared" si="830"/>
        <v>0</v>
      </c>
      <c r="M1103" s="45">
        <f t="shared" si="830"/>
        <v>0</v>
      </c>
      <c r="N1103" s="45">
        <f t="shared" si="830"/>
        <v>0</v>
      </c>
      <c r="O1103" s="45">
        <f t="shared" si="830"/>
        <v>0</v>
      </c>
      <c r="P1103" s="45">
        <f t="shared" si="830"/>
        <v>0</v>
      </c>
      <c r="Q1103" s="45">
        <f t="shared" si="830"/>
        <v>0</v>
      </c>
      <c r="R1103" s="45">
        <f t="shared" si="830"/>
        <v>0</v>
      </c>
      <c r="S1103" s="45">
        <f t="shared" si="830"/>
        <v>0</v>
      </c>
      <c r="T1103" s="45">
        <f t="shared" si="830"/>
        <v>0</v>
      </c>
      <c r="U1103" s="45">
        <f t="shared" si="830"/>
        <v>0</v>
      </c>
      <c r="V1103" s="45">
        <f t="shared" si="830"/>
        <v>0</v>
      </c>
      <c r="W1103" s="45">
        <f t="shared" si="830"/>
        <v>0</v>
      </c>
      <c r="X1103" s="45">
        <f t="shared" si="830"/>
        <v>0</v>
      </c>
      <c r="Y1103" s="45">
        <f t="shared" si="830"/>
        <v>0</v>
      </c>
      <c r="Z1103" s="45">
        <f t="shared" si="830"/>
        <v>0</v>
      </c>
      <c r="AA1103" s="45">
        <f t="shared" si="830"/>
        <v>0</v>
      </c>
      <c r="AB1103" s="45">
        <f t="shared" si="830"/>
        <v>0</v>
      </c>
      <c r="AC1103" s="45">
        <f t="shared" si="830"/>
        <v>0</v>
      </c>
      <c r="AD1103" s="45">
        <f t="shared" si="830"/>
        <v>0</v>
      </c>
      <c r="AE1103" s="45">
        <f t="shared" si="830"/>
        <v>0</v>
      </c>
      <c r="AF1103" s="1"/>
    </row>
    <row r="1104" spans="2:32" x14ac:dyDescent="0.2">
      <c r="C1104" s="1" t="s">
        <v>267</v>
      </c>
      <c r="D1104" s="5"/>
      <c r="F1104" s="1" t="s">
        <v>55</v>
      </c>
      <c r="I1104" s="21">
        <f>SUM(I1101:I1103)</f>
        <v>0</v>
      </c>
      <c r="J1104" s="21">
        <f t="shared" ref="J1104:AE1104" si="831">SUM(J1101:J1103)</f>
        <v>0</v>
      </c>
      <c r="K1104" s="21">
        <f>SUM(K1101:K1103)</f>
        <v>0</v>
      </c>
      <c r="L1104" s="21">
        <f t="shared" si="831"/>
        <v>0</v>
      </c>
      <c r="M1104" s="21">
        <f t="shared" si="831"/>
        <v>0</v>
      </c>
      <c r="N1104" s="21">
        <f t="shared" si="831"/>
        <v>0</v>
      </c>
      <c r="O1104" s="21">
        <f t="shared" si="831"/>
        <v>0</v>
      </c>
      <c r="P1104" s="21">
        <f t="shared" si="831"/>
        <v>0</v>
      </c>
      <c r="Q1104" s="21">
        <f t="shared" si="831"/>
        <v>0</v>
      </c>
      <c r="R1104" s="21">
        <f t="shared" si="831"/>
        <v>0</v>
      </c>
      <c r="S1104" s="21">
        <f t="shared" si="831"/>
        <v>0</v>
      </c>
      <c r="T1104" s="21">
        <f t="shared" si="831"/>
        <v>0</v>
      </c>
      <c r="U1104" s="21">
        <f t="shared" si="831"/>
        <v>0</v>
      </c>
      <c r="V1104" s="21">
        <f t="shared" si="831"/>
        <v>0</v>
      </c>
      <c r="W1104" s="21">
        <f t="shared" si="831"/>
        <v>0</v>
      </c>
      <c r="X1104" s="21">
        <f t="shared" si="831"/>
        <v>0</v>
      </c>
      <c r="Y1104" s="21">
        <f t="shared" si="831"/>
        <v>0</v>
      </c>
      <c r="Z1104" s="21">
        <f t="shared" si="831"/>
        <v>0</v>
      </c>
      <c r="AA1104" s="21">
        <f t="shared" si="831"/>
        <v>0</v>
      </c>
      <c r="AB1104" s="21">
        <f t="shared" si="831"/>
        <v>0</v>
      </c>
      <c r="AC1104" s="21">
        <f t="shared" si="831"/>
        <v>0</v>
      </c>
      <c r="AD1104" s="21">
        <f t="shared" si="831"/>
        <v>0</v>
      </c>
      <c r="AE1104" s="21">
        <f t="shared" si="831"/>
        <v>0</v>
      </c>
      <c r="AF1104" s="1"/>
    </row>
    <row r="1105" spans="2:32" x14ac:dyDescent="0.2">
      <c r="C1105" s="5"/>
      <c r="D1105" s="5"/>
      <c r="AF1105" s="1"/>
    </row>
    <row r="1106" spans="2:32" x14ac:dyDescent="0.2">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78"/>
      <c r="AE1106" s="278"/>
      <c r="AF1106" s="1"/>
    </row>
    <row r="1107" spans="2:32" x14ac:dyDescent="0.2">
      <c r="C1107" s="5"/>
      <c r="D1107" s="5"/>
      <c r="AF1107" s="1"/>
    </row>
    <row r="1108" spans="2:32" x14ac:dyDescent="0.2">
      <c r="B1108" s="10">
        <f>B1099+0.1</f>
        <v>9.7999999999999972</v>
      </c>
      <c r="C1108" s="20" t="s">
        <v>268</v>
      </c>
      <c r="D1108" s="5"/>
      <c r="AF1108" s="1"/>
    </row>
    <row r="1109" spans="2:32" x14ac:dyDescent="0.2">
      <c r="C1109" s="5"/>
      <c r="D1109" s="5"/>
      <c r="AF1109" s="1"/>
    </row>
    <row r="1110" spans="2:32" x14ac:dyDescent="0.2">
      <c r="C1110" s="5" t="str">
        <f>"Deduction methodology - "&amp;IF($E$980=0,C1115,C1123)</f>
        <v>Deduction methodology - Declining Balance</v>
      </c>
      <c r="D1110" s="5"/>
      <c r="F1110" s="1" t="s">
        <v>55</v>
      </c>
      <c r="G1110" s="21">
        <f>SUM(I1110:AE1110)</f>
        <v>-475.1595402983159</v>
      </c>
      <c r="I1110" s="21">
        <f>($E$965=0)*I1118+($E$965=1)*I1126</f>
        <v>0</v>
      </c>
      <c r="J1110" s="21">
        <f t="shared" ref="J1110:AE1110" si="832">($E$965=0)*J1118+($E$965=1)*J1126</f>
        <v>0</v>
      </c>
      <c r="K1110" s="21">
        <f>($E$965=0)*K1118+($E$965=1)*K1126</f>
        <v>-41.069790591075815</v>
      </c>
      <c r="L1110" s="21">
        <f t="shared" si="832"/>
        <v>-69.215373866180201</v>
      </c>
      <c r="M1110" s="21">
        <f t="shared" si="832"/>
        <v>-109.58723008726</v>
      </c>
      <c r="N1110" s="21">
        <f t="shared" si="832"/>
        <v>-76.711061061081992</v>
      </c>
      <c r="O1110" s="21">
        <f t="shared" si="832"/>
        <v>-53.697742742757391</v>
      </c>
      <c r="P1110" s="21">
        <f t="shared" si="832"/>
        <v>-37.588419919930182</v>
      </c>
      <c r="Q1110" s="21">
        <f t="shared" si="832"/>
        <v>-26.311893943951127</v>
      </c>
      <c r="R1110" s="21">
        <f t="shared" si="832"/>
        <v>-18.418325760765789</v>
      </c>
      <c r="S1110" s="21">
        <f t="shared" si="832"/>
        <v>-12.892828032536054</v>
      </c>
      <c r="T1110" s="21">
        <f t="shared" si="832"/>
        <v>-9.0249796227752377</v>
      </c>
      <c r="U1110" s="21">
        <f t="shared" si="832"/>
        <v>-6.3174857359426664</v>
      </c>
      <c r="V1110" s="21">
        <f t="shared" si="832"/>
        <v>-4.4222400151598666</v>
      </c>
      <c r="W1110" s="21">
        <f t="shared" si="832"/>
        <v>-3.0955680106119066</v>
      </c>
      <c r="X1110" s="21">
        <f t="shared" si="832"/>
        <v>-2.1668976074283344</v>
      </c>
      <c r="Y1110" s="21">
        <f t="shared" si="832"/>
        <v>-1.5168283251998345</v>
      </c>
      <c r="Z1110" s="21">
        <f t="shared" si="832"/>
        <v>-1.061779827639884</v>
      </c>
      <c r="AA1110" s="21">
        <f t="shared" si="832"/>
        <v>-0.74324587934791886</v>
      </c>
      <c r="AB1110" s="21">
        <f t="shared" si="832"/>
        <v>-0.52027211554354313</v>
      </c>
      <c r="AC1110" s="21">
        <f t="shared" si="832"/>
        <v>-0.36419048088048028</v>
      </c>
      <c r="AD1110" s="21">
        <f t="shared" si="832"/>
        <v>-0.25493333661633616</v>
      </c>
      <c r="AE1110" s="21">
        <f t="shared" si="832"/>
        <v>-0.17845333563143531</v>
      </c>
      <c r="AF1110" s="1"/>
    </row>
    <row r="1111" spans="2:32" x14ac:dyDescent="0.2">
      <c r="C1111" s="5"/>
      <c r="D1111" s="5"/>
      <c r="AF1111" s="1"/>
    </row>
    <row r="1112" spans="2:32" x14ac:dyDescent="0.2">
      <c r="C1112" s="1" t="s">
        <v>121</v>
      </c>
      <c r="D1112" s="5"/>
      <c r="F1112" s="1" t="s">
        <v>55</v>
      </c>
      <c r="G1112" s="21">
        <f>SUM(I1112:AE1112)</f>
        <v>2601.6161777260404</v>
      </c>
      <c r="I1112" s="21">
        <f t="shared" ref="I1112:AE1112" si="833">I1033</f>
        <v>0</v>
      </c>
      <c r="J1112" s="21">
        <f t="shared" si="833"/>
        <v>0</v>
      </c>
      <c r="K1112" s="21">
        <f t="shared" si="833"/>
        <v>41.069790591075815</v>
      </c>
      <c r="L1112" s="21">
        <f t="shared" si="833"/>
        <v>69.215373866180201</v>
      </c>
      <c r="M1112" s="21">
        <f t="shared" si="833"/>
        <v>135.17198078144924</v>
      </c>
      <c r="N1112" s="21">
        <f t="shared" si="833"/>
        <v>134.23483529756709</v>
      </c>
      <c r="O1112" s="21">
        <f t="shared" si="833"/>
        <v>134.23483529756706</v>
      </c>
      <c r="P1112" s="21">
        <f t="shared" si="833"/>
        <v>134.23483529756706</v>
      </c>
      <c r="Q1112" s="21">
        <f t="shared" si="833"/>
        <v>133.74119682982976</v>
      </c>
      <c r="R1112" s="21">
        <f t="shared" si="833"/>
        <v>133.24755836209249</v>
      </c>
      <c r="S1112" s="21">
        <f t="shared" si="833"/>
        <v>132.75391989435522</v>
      </c>
      <c r="T1112" s="21">
        <f t="shared" si="833"/>
        <v>132.26028142661789</v>
      </c>
      <c r="U1112" s="21">
        <f t="shared" si="833"/>
        <v>132.26028142661789</v>
      </c>
      <c r="V1112" s="21">
        <f t="shared" si="833"/>
        <v>131.52285882087907</v>
      </c>
      <c r="W1112" s="21">
        <f t="shared" si="833"/>
        <v>129.96975674223907</v>
      </c>
      <c r="X1112" s="21">
        <f t="shared" si="833"/>
        <v>128.46233413650026</v>
      </c>
      <c r="Y1112" s="21">
        <f t="shared" si="833"/>
        <v>128.46233413650026</v>
      </c>
      <c r="Z1112" s="21">
        <f t="shared" si="833"/>
        <v>128.46233413650026</v>
      </c>
      <c r="AA1112" s="21">
        <f t="shared" si="833"/>
        <v>128.46233413650026</v>
      </c>
      <c r="AB1112" s="21">
        <f t="shared" si="833"/>
        <v>128.46233413650026</v>
      </c>
      <c r="AC1112" s="21">
        <f t="shared" si="833"/>
        <v>128.46233413650026</v>
      </c>
      <c r="AD1112" s="21">
        <f t="shared" si="833"/>
        <v>128.46233413650026</v>
      </c>
      <c r="AE1112" s="21">
        <f t="shared" si="833"/>
        <v>128.46233413650026</v>
      </c>
      <c r="AF1112" s="1"/>
    </row>
    <row r="1113" spans="2:32" x14ac:dyDescent="0.2">
      <c r="C1113" s="5" t="s">
        <v>258</v>
      </c>
      <c r="D1113" s="5"/>
      <c r="F1113" s="1" t="s">
        <v>55</v>
      </c>
      <c r="G1113" s="21">
        <f>SUM(I1113:AE1113)</f>
        <v>475.57593141478935</v>
      </c>
      <c r="I1113" s="21">
        <f t="shared" ref="I1113:AE1113" si="834">I1008</f>
        <v>56.557541166478941</v>
      </c>
      <c r="J1113" s="21">
        <f t="shared" si="834"/>
        <v>267.7061937697539</v>
      </c>
      <c r="K1113" s="21">
        <f t="shared" si="834"/>
        <v>151.31219647855653</v>
      </c>
      <c r="L1113" s="21">
        <f t="shared" si="834"/>
        <v>0</v>
      </c>
      <c r="M1113" s="21">
        <f t="shared" si="834"/>
        <v>0</v>
      </c>
      <c r="N1113" s="21">
        <f t="shared" si="834"/>
        <v>0</v>
      </c>
      <c r="O1113" s="21">
        <f t="shared" si="834"/>
        <v>0</v>
      </c>
      <c r="P1113" s="21">
        <f t="shared" si="834"/>
        <v>0</v>
      </c>
      <c r="Q1113" s="21">
        <f t="shared" si="834"/>
        <v>0</v>
      </c>
      <c r="R1113" s="21">
        <f t="shared" si="834"/>
        <v>0</v>
      </c>
      <c r="S1113" s="21">
        <f t="shared" si="834"/>
        <v>0</v>
      </c>
      <c r="T1113" s="21">
        <f t="shared" si="834"/>
        <v>0</v>
      </c>
      <c r="U1113" s="21">
        <f t="shared" si="834"/>
        <v>0</v>
      </c>
      <c r="V1113" s="21">
        <f t="shared" si="834"/>
        <v>0</v>
      </c>
      <c r="W1113" s="21">
        <f t="shared" si="834"/>
        <v>0</v>
      </c>
      <c r="X1113" s="21">
        <f t="shared" si="834"/>
        <v>0</v>
      </c>
      <c r="Y1113" s="21">
        <f t="shared" si="834"/>
        <v>0</v>
      </c>
      <c r="Z1113" s="21">
        <f t="shared" si="834"/>
        <v>0</v>
      </c>
      <c r="AA1113" s="21">
        <f t="shared" si="834"/>
        <v>0</v>
      </c>
      <c r="AB1113" s="21">
        <f t="shared" si="834"/>
        <v>0</v>
      </c>
      <c r="AC1113" s="21">
        <f t="shared" si="834"/>
        <v>0</v>
      </c>
      <c r="AD1113" s="21">
        <f t="shared" si="834"/>
        <v>0</v>
      </c>
      <c r="AE1113" s="21">
        <f t="shared" si="834"/>
        <v>0</v>
      </c>
      <c r="AF1113" s="1"/>
    </row>
    <row r="1114" spans="2:32" x14ac:dyDescent="0.2">
      <c r="C1114" s="5"/>
      <c r="D1114" s="5"/>
      <c r="AF1114" s="1"/>
    </row>
    <row r="1115" spans="2:32" x14ac:dyDescent="0.2">
      <c r="C1115" s="90" t="s">
        <v>262</v>
      </c>
      <c r="D1115" s="5"/>
      <c r="AF1115" s="1"/>
    </row>
    <row r="1116" spans="2:32" x14ac:dyDescent="0.2">
      <c r="C1116" s="5" t="s">
        <v>260</v>
      </c>
      <c r="D1116" s="5"/>
      <c r="F1116" s="1" t="s">
        <v>55</v>
      </c>
      <c r="I1116" s="46">
        <f>E996</f>
        <v>0</v>
      </c>
      <c r="J1116" s="21">
        <f>I1119</f>
        <v>56.557541166478941</v>
      </c>
      <c r="K1116" s="21">
        <f t="shared" ref="K1116:AE1116" si="835">J1119</f>
        <v>324.26373493623282</v>
      </c>
      <c r="L1116" s="21">
        <f t="shared" si="835"/>
        <v>434.50614082371351</v>
      </c>
      <c r="M1116" s="21">
        <f t="shared" si="835"/>
        <v>365.29076695753332</v>
      </c>
      <c r="N1116" s="21">
        <f t="shared" si="835"/>
        <v>230.11878617608409</v>
      </c>
      <c r="O1116" s="21">
        <f t="shared" si="835"/>
        <v>115.05939308804204</v>
      </c>
      <c r="P1116" s="21">
        <f t="shared" si="835"/>
        <v>57.529696544021022</v>
      </c>
      <c r="Q1116" s="21">
        <f t="shared" si="835"/>
        <v>28.764848272010511</v>
      </c>
      <c r="R1116" s="21">
        <f t="shared" si="835"/>
        <v>14.382424136005255</v>
      </c>
      <c r="S1116" s="21">
        <f t="shared" si="835"/>
        <v>7.1912120680026277</v>
      </c>
      <c r="T1116" s="21">
        <f t="shared" si="835"/>
        <v>3.5956060340013138</v>
      </c>
      <c r="U1116" s="21">
        <f t="shared" si="835"/>
        <v>1.7978030170006569</v>
      </c>
      <c r="V1116" s="21">
        <f t="shared" si="835"/>
        <v>0.89890150850032846</v>
      </c>
      <c r="W1116" s="21">
        <f t="shared" si="835"/>
        <v>0.44945075425016423</v>
      </c>
      <c r="X1116" s="21">
        <f t="shared" si="835"/>
        <v>0.22472537712508212</v>
      </c>
      <c r="Y1116" s="21">
        <f t="shared" si="835"/>
        <v>0.11236268856254106</v>
      </c>
      <c r="Z1116" s="21">
        <f t="shared" si="835"/>
        <v>5.6181344281270529E-2</v>
      </c>
      <c r="AA1116" s="21">
        <f t="shared" si="835"/>
        <v>2.8090672140635264E-2</v>
      </c>
      <c r="AB1116" s="21">
        <f t="shared" si="835"/>
        <v>1.4045336070317632E-2</v>
      </c>
      <c r="AC1116" s="21">
        <f t="shared" si="835"/>
        <v>7.0226680351588161E-3</v>
      </c>
      <c r="AD1116" s="21">
        <f t="shared" si="835"/>
        <v>3.5113340175794081E-3</v>
      </c>
      <c r="AE1116" s="21">
        <f t="shared" si="835"/>
        <v>1.755667008789704E-3</v>
      </c>
      <c r="AF1116" s="1"/>
    </row>
    <row r="1117" spans="2:32" x14ac:dyDescent="0.2">
      <c r="C1117" s="5" t="s">
        <v>126</v>
      </c>
      <c r="D1117" s="5"/>
      <c r="F1117" s="1" t="s">
        <v>55</v>
      </c>
      <c r="G1117" s="21">
        <f>SUM(I1117:AE1117)</f>
        <v>475.57593141478935</v>
      </c>
      <c r="I1117" s="21">
        <f>I1113</f>
        <v>56.557541166478941</v>
      </c>
      <c r="J1117" s="21">
        <f t="shared" ref="J1117:AE1117" si="836">J1113</f>
        <v>267.7061937697539</v>
      </c>
      <c r="K1117" s="21">
        <f>K1113</f>
        <v>151.31219647855653</v>
      </c>
      <c r="L1117" s="21">
        <f t="shared" si="836"/>
        <v>0</v>
      </c>
      <c r="M1117" s="21">
        <f t="shared" si="836"/>
        <v>0</v>
      </c>
      <c r="N1117" s="21">
        <f t="shared" si="836"/>
        <v>0</v>
      </c>
      <c r="O1117" s="21">
        <f t="shared" si="836"/>
        <v>0</v>
      </c>
      <c r="P1117" s="21">
        <f t="shared" si="836"/>
        <v>0</v>
      </c>
      <c r="Q1117" s="21">
        <f t="shared" si="836"/>
        <v>0</v>
      </c>
      <c r="R1117" s="21">
        <f t="shared" si="836"/>
        <v>0</v>
      </c>
      <c r="S1117" s="21">
        <f t="shared" si="836"/>
        <v>0</v>
      </c>
      <c r="T1117" s="21">
        <f t="shared" si="836"/>
        <v>0</v>
      </c>
      <c r="U1117" s="21">
        <f t="shared" si="836"/>
        <v>0</v>
      </c>
      <c r="V1117" s="21">
        <f t="shared" si="836"/>
        <v>0</v>
      </c>
      <c r="W1117" s="21">
        <f t="shared" si="836"/>
        <v>0</v>
      </c>
      <c r="X1117" s="21">
        <f t="shared" si="836"/>
        <v>0</v>
      </c>
      <c r="Y1117" s="21">
        <f t="shared" si="836"/>
        <v>0</v>
      </c>
      <c r="Z1117" s="21">
        <f t="shared" si="836"/>
        <v>0</v>
      </c>
      <c r="AA1117" s="21">
        <f t="shared" si="836"/>
        <v>0</v>
      </c>
      <c r="AB1117" s="21">
        <f t="shared" si="836"/>
        <v>0</v>
      </c>
      <c r="AC1117" s="21">
        <f t="shared" si="836"/>
        <v>0</v>
      </c>
      <c r="AD1117" s="21">
        <f t="shared" si="836"/>
        <v>0</v>
      </c>
      <c r="AE1117" s="21">
        <f t="shared" si="836"/>
        <v>0</v>
      </c>
      <c r="AF1117" s="1"/>
    </row>
    <row r="1118" spans="2:32" x14ac:dyDescent="0.2">
      <c r="C1118" s="5" t="s">
        <v>261</v>
      </c>
      <c r="D1118" s="5"/>
      <c r="F1118" s="1" t="s">
        <v>55</v>
      </c>
      <c r="G1118" s="21">
        <f>SUM(I1118:AE1118)</f>
        <v>-475.57505358128492</v>
      </c>
      <c r="I1118" s="21">
        <f>-MIN(I1121,MAX(I1112,0))</f>
        <v>0</v>
      </c>
      <c r="J1118" s="21">
        <f t="shared" ref="J1118:AE1118" si="837">-MIN(J1121,MAX(J1112,0))</f>
        <v>0</v>
      </c>
      <c r="K1118" s="21">
        <f>-MIN(K1121,MAX(K1112,0))</f>
        <v>-41.069790591075815</v>
      </c>
      <c r="L1118" s="21">
        <f t="shared" si="837"/>
        <v>-69.215373866180201</v>
      </c>
      <c r="M1118" s="21">
        <f t="shared" si="837"/>
        <v>-135.17198078144924</v>
      </c>
      <c r="N1118" s="21">
        <f t="shared" si="837"/>
        <v>-115.05939308804204</v>
      </c>
      <c r="O1118" s="21">
        <f t="shared" si="837"/>
        <v>-57.529696544021022</v>
      </c>
      <c r="P1118" s="21">
        <f t="shared" si="837"/>
        <v>-28.764848272010511</v>
      </c>
      <c r="Q1118" s="21">
        <f t="shared" si="837"/>
        <v>-14.382424136005255</v>
      </c>
      <c r="R1118" s="21">
        <f t="shared" si="837"/>
        <v>-7.1912120680026277</v>
      </c>
      <c r="S1118" s="21">
        <f t="shared" si="837"/>
        <v>-3.5956060340013138</v>
      </c>
      <c r="T1118" s="21">
        <f t="shared" si="837"/>
        <v>-1.7978030170006569</v>
      </c>
      <c r="U1118" s="21">
        <f t="shared" si="837"/>
        <v>-0.89890150850032846</v>
      </c>
      <c r="V1118" s="21">
        <f t="shared" si="837"/>
        <v>-0.44945075425016423</v>
      </c>
      <c r="W1118" s="21">
        <f t="shared" si="837"/>
        <v>-0.22472537712508212</v>
      </c>
      <c r="X1118" s="21">
        <f t="shared" si="837"/>
        <v>-0.11236268856254106</v>
      </c>
      <c r="Y1118" s="21">
        <f t="shared" si="837"/>
        <v>-5.6181344281270529E-2</v>
      </c>
      <c r="Z1118" s="21">
        <f t="shared" si="837"/>
        <v>-2.8090672140635264E-2</v>
      </c>
      <c r="AA1118" s="21">
        <f t="shared" si="837"/>
        <v>-1.4045336070317632E-2</v>
      </c>
      <c r="AB1118" s="21">
        <f t="shared" si="837"/>
        <v>-7.0226680351588161E-3</v>
      </c>
      <c r="AC1118" s="21">
        <f t="shared" si="837"/>
        <v>-3.5113340175794081E-3</v>
      </c>
      <c r="AD1118" s="21">
        <f t="shared" si="837"/>
        <v>-1.755667008789704E-3</v>
      </c>
      <c r="AE1118" s="21">
        <f t="shared" si="837"/>
        <v>-8.7783350439485201E-4</v>
      </c>
      <c r="AF1118" s="1"/>
    </row>
    <row r="1119" spans="2:32" x14ac:dyDescent="0.2">
      <c r="C1119" s="5" t="s">
        <v>127</v>
      </c>
      <c r="D1119" s="5"/>
      <c r="F1119" s="1" t="s">
        <v>55</v>
      </c>
      <c r="I1119" s="21">
        <f>SUM(I1116:I1118)</f>
        <v>56.557541166478941</v>
      </c>
      <c r="J1119" s="21">
        <f t="shared" ref="J1119:AE1119" si="838">SUM(J1116:J1118)</f>
        <v>324.26373493623282</v>
      </c>
      <c r="K1119" s="21">
        <f>SUM(K1116:K1118)</f>
        <v>434.50614082371351</v>
      </c>
      <c r="L1119" s="21">
        <f t="shared" si="838"/>
        <v>365.29076695753332</v>
      </c>
      <c r="M1119" s="21">
        <f t="shared" si="838"/>
        <v>230.11878617608409</v>
      </c>
      <c r="N1119" s="21">
        <f t="shared" si="838"/>
        <v>115.05939308804204</v>
      </c>
      <c r="O1119" s="21">
        <f t="shared" si="838"/>
        <v>57.529696544021022</v>
      </c>
      <c r="P1119" s="21">
        <f t="shared" si="838"/>
        <v>28.764848272010511</v>
      </c>
      <c r="Q1119" s="21">
        <f t="shared" si="838"/>
        <v>14.382424136005255</v>
      </c>
      <c r="R1119" s="21">
        <f t="shared" si="838"/>
        <v>7.1912120680026277</v>
      </c>
      <c r="S1119" s="21">
        <f t="shared" si="838"/>
        <v>3.5956060340013138</v>
      </c>
      <c r="T1119" s="21">
        <f t="shared" si="838"/>
        <v>1.7978030170006569</v>
      </c>
      <c r="U1119" s="21">
        <f t="shared" si="838"/>
        <v>0.89890150850032846</v>
      </c>
      <c r="V1119" s="21">
        <f t="shared" si="838"/>
        <v>0.44945075425016423</v>
      </c>
      <c r="W1119" s="21">
        <f t="shared" si="838"/>
        <v>0.22472537712508212</v>
      </c>
      <c r="X1119" s="21">
        <f t="shared" si="838"/>
        <v>0.11236268856254106</v>
      </c>
      <c r="Y1119" s="21">
        <f t="shared" si="838"/>
        <v>5.6181344281270529E-2</v>
      </c>
      <c r="Z1119" s="21">
        <f t="shared" si="838"/>
        <v>2.8090672140635264E-2</v>
      </c>
      <c r="AA1119" s="21">
        <f t="shared" si="838"/>
        <v>1.4045336070317632E-2</v>
      </c>
      <c r="AB1119" s="21">
        <f t="shared" si="838"/>
        <v>7.0226680351588161E-3</v>
      </c>
      <c r="AC1119" s="21">
        <f t="shared" si="838"/>
        <v>3.5113340175794081E-3</v>
      </c>
      <c r="AD1119" s="21">
        <f t="shared" si="838"/>
        <v>1.755667008789704E-3</v>
      </c>
      <c r="AE1119" s="21">
        <f t="shared" si="838"/>
        <v>8.7783350439485201E-4</v>
      </c>
      <c r="AF1119" s="1"/>
    </row>
    <row r="1120" spans="2:32" x14ac:dyDescent="0.2">
      <c r="C1120" s="5"/>
      <c r="D1120" s="5"/>
      <c r="AF1120" s="1"/>
    </row>
    <row r="1121" spans="2:32" x14ac:dyDescent="0.2">
      <c r="C1121" s="5" t="s">
        <v>372</v>
      </c>
      <c r="D1121" s="5"/>
      <c r="F1121" s="1" t="s">
        <v>55</v>
      </c>
      <c r="I1121" s="21">
        <f>I1117*$E$978*$E$981+I1116*$E$978</f>
        <v>14.139385291619735</v>
      </c>
      <c r="J1121" s="21">
        <f t="shared" ref="J1121:AE1121" si="839">J1117*$E$978*$E$981+J1116*$E$978</f>
        <v>95.205319025677937</v>
      </c>
      <c r="K1121" s="21">
        <f>K1117*$E$978*$E$981+K1116*$E$978</f>
        <v>199.95991658775554</v>
      </c>
      <c r="L1121" s="21">
        <f t="shared" si="839"/>
        <v>217.25307041185675</v>
      </c>
      <c r="M1121" s="21">
        <f t="shared" si="839"/>
        <v>182.64538347876666</v>
      </c>
      <c r="N1121" s="21">
        <f t="shared" si="839"/>
        <v>115.05939308804204</v>
      </c>
      <c r="O1121" s="21">
        <f t="shared" si="839"/>
        <v>57.529696544021022</v>
      </c>
      <c r="P1121" s="21">
        <f t="shared" si="839"/>
        <v>28.764848272010511</v>
      </c>
      <c r="Q1121" s="21">
        <f t="shared" si="839"/>
        <v>14.382424136005255</v>
      </c>
      <c r="R1121" s="21">
        <f t="shared" si="839"/>
        <v>7.1912120680026277</v>
      </c>
      <c r="S1121" s="21">
        <f t="shared" si="839"/>
        <v>3.5956060340013138</v>
      </c>
      <c r="T1121" s="21">
        <f t="shared" si="839"/>
        <v>1.7978030170006569</v>
      </c>
      <c r="U1121" s="21">
        <f t="shared" si="839"/>
        <v>0.89890150850032846</v>
      </c>
      <c r="V1121" s="21">
        <f t="shared" si="839"/>
        <v>0.44945075425016423</v>
      </c>
      <c r="W1121" s="21">
        <f t="shared" si="839"/>
        <v>0.22472537712508212</v>
      </c>
      <c r="X1121" s="21">
        <f t="shared" si="839"/>
        <v>0.11236268856254106</v>
      </c>
      <c r="Y1121" s="21">
        <f t="shared" si="839"/>
        <v>5.6181344281270529E-2</v>
      </c>
      <c r="Z1121" s="21">
        <f t="shared" si="839"/>
        <v>2.8090672140635264E-2</v>
      </c>
      <c r="AA1121" s="21">
        <f t="shared" si="839"/>
        <v>1.4045336070317632E-2</v>
      </c>
      <c r="AB1121" s="21">
        <f t="shared" si="839"/>
        <v>7.0226680351588161E-3</v>
      </c>
      <c r="AC1121" s="21">
        <f t="shared" si="839"/>
        <v>3.5113340175794081E-3</v>
      </c>
      <c r="AD1121" s="21">
        <f t="shared" si="839"/>
        <v>1.755667008789704E-3</v>
      </c>
      <c r="AE1121" s="21">
        <f t="shared" si="839"/>
        <v>8.7783350439485201E-4</v>
      </c>
      <c r="AF1121" s="1"/>
    </row>
    <row r="1122" spans="2:32" x14ac:dyDescent="0.2">
      <c r="C1122" s="5"/>
      <c r="D1122" s="5"/>
      <c r="AF1122" s="1"/>
    </row>
    <row r="1123" spans="2:32" x14ac:dyDescent="0.2">
      <c r="C1123" s="90" t="s">
        <v>264</v>
      </c>
      <c r="D1123" s="5"/>
      <c r="AF1123" s="1"/>
    </row>
    <row r="1124" spans="2:32" x14ac:dyDescent="0.2">
      <c r="C1124" s="5" t="s">
        <v>260</v>
      </c>
      <c r="D1124" s="5"/>
      <c r="F1124" s="1" t="s">
        <v>55</v>
      </c>
      <c r="I1124" s="46">
        <f>E996</f>
        <v>0</v>
      </c>
      <c r="J1124" s="21">
        <f>I1127</f>
        <v>56.557541166478941</v>
      </c>
      <c r="K1124" s="21">
        <f t="shared" ref="K1124:AE1124" si="840">J1127</f>
        <v>324.26373493623282</v>
      </c>
      <c r="L1124" s="21">
        <f t="shared" si="840"/>
        <v>434.50614082371351</v>
      </c>
      <c r="M1124" s="21">
        <f t="shared" si="840"/>
        <v>365.29076695753332</v>
      </c>
      <c r="N1124" s="21">
        <f t="shared" si="840"/>
        <v>255.70353687027333</v>
      </c>
      <c r="O1124" s="21">
        <f t="shared" si="840"/>
        <v>178.99247580919132</v>
      </c>
      <c r="P1124" s="21">
        <f t="shared" si="840"/>
        <v>125.29473306643393</v>
      </c>
      <c r="Q1124" s="21">
        <f t="shared" si="840"/>
        <v>87.70631314650376</v>
      </c>
      <c r="R1124" s="21">
        <f t="shared" si="840"/>
        <v>61.394419202552633</v>
      </c>
      <c r="S1124" s="21">
        <f t="shared" si="840"/>
        <v>42.976093441786844</v>
      </c>
      <c r="T1124" s="21">
        <f t="shared" si="840"/>
        <v>30.083265409250792</v>
      </c>
      <c r="U1124" s="21">
        <f t="shared" si="840"/>
        <v>21.058285786475555</v>
      </c>
      <c r="V1124" s="21">
        <f t="shared" si="840"/>
        <v>14.740800050532888</v>
      </c>
      <c r="W1124" s="21">
        <f t="shared" si="840"/>
        <v>10.318560035373022</v>
      </c>
      <c r="X1124" s="21">
        <f t="shared" si="840"/>
        <v>7.2229920247611155</v>
      </c>
      <c r="Y1124" s="21">
        <f t="shared" si="840"/>
        <v>5.0560944173327815</v>
      </c>
      <c r="Z1124" s="21">
        <f t="shared" si="840"/>
        <v>3.5392660921329471</v>
      </c>
      <c r="AA1124" s="21">
        <f t="shared" si="840"/>
        <v>2.4774862644930629</v>
      </c>
      <c r="AB1124" s="21">
        <f t="shared" si="840"/>
        <v>1.734240385145144</v>
      </c>
      <c r="AC1124" s="21">
        <f t="shared" si="840"/>
        <v>1.213968269601601</v>
      </c>
      <c r="AD1124" s="21">
        <f t="shared" si="840"/>
        <v>0.84977778872112064</v>
      </c>
      <c r="AE1124" s="21">
        <f t="shared" si="840"/>
        <v>0.59484445210478443</v>
      </c>
      <c r="AF1124" s="1"/>
    </row>
    <row r="1125" spans="2:32" x14ac:dyDescent="0.2">
      <c r="C1125" s="5" t="s">
        <v>126</v>
      </c>
      <c r="D1125" s="5"/>
      <c r="F1125" s="1" t="s">
        <v>55</v>
      </c>
      <c r="G1125" s="21">
        <f>SUM(I1125:AE1125)</f>
        <v>475.57593141478935</v>
      </c>
      <c r="I1125" s="21">
        <f>I1113</f>
        <v>56.557541166478941</v>
      </c>
      <c r="J1125" s="21">
        <f t="shared" ref="J1125:AE1125" si="841">J1113</f>
        <v>267.7061937697539</v>
      </c>
      <c r="K1125" s="21">
        <f>K1113</f>
        <v>151.31219647855653</v>
      </c>
      <c r="L1125" s="21">
        <f t="shared" si="841"/>
        <v>0</v>
      </c>
      <c r="M1125" s="21">
        <f t="shared" si="841"/>
        <v>0</v>
      </c>
      <c r="N1125" s="21">
        <f t="shared" si="841"/>
        <v>0</v>
      </c>
      <c r="O1125" s="21">
        <f t="shared" si="841"/>
        <v>0</v>
      </c>
      <c r="P1125" s="21">
        <f t="shared" si="841"/>
        <v>0</v>
      </c>
      <c r="Q1125" s="21">
        <f t="shared" si="841"/>
        <v>0</v>
      </c>
      <c r="R1125" s="21">
        <f t="shared" si="841"/>
        <v>0</v>
      </c>
      <c r="S1125" s="21">
        <f t="shared" si="841"/>
        <v>0</v>
      </c>
      <c r="T1125" s="21">
        <f t="shared" si="841"/>
        <v>0</v>
      </c>
      <c r="U1125" s="21">
        <f t="shared" si="841"/>
        <v>0</v>
      </c>
      <c r="V1125" s="21">
        <f t="shared" si="841"/>
        <v>0</v>
      </c>
      <c r="W1125" s="21">
        <f t="shared" si="841"/>
        <v>0</v>
      </c>
      <c r="X1125" s="21">
        <f t="shared" si="841"/>
        <v>0</v>
      </c>
      <c r="Y1125" s="21">
        <f t="shared" si="841"/>
        <v>0</v>
      </c>
      <c r="Z1125" s="21">
        <f t="shared" si="841"/>
        <v>0</v>
      </c>
      <c r="AA1125" s="21">
        <f t="shared" si="841"/>
        <v>0</v>
      </c>
      <c r="AB1125" s="21">
        <f t="shared" si="841"/>
        <v>0</v>
      </c>
      <c r="AC1125" s="21">
        <f t="shared" si="841"/>
        <v>0</v>
      </c>
      <c r="AD1125" s="21">
        <f t="shared" si="841"/>
        <v>0</v>
      </c>
      <c r="AE1125" s="21">
        <f t="shared" si="841"/>
        <v>0</v>
      </c>
      <c r="AF1125" s="1"/>
    </row>
    <row r="1126" spans="2:32" x14ac:dyDescent="0.2">
      <c r="C1126" s="5" t="s">
        <v>261</v>
      </c>
      <c r="D1126" s="5"/>
      <c r="F1126" s="1" t="s">
        <v>55</v>
      </c>
      <c r="G1126" s="21">
        <f>SUM(I1126:AE1126)</f>
        <v>-475.1595402983159</v>
      </c>
      <c r="I1126" s="21">
        <f>-MIN(I1129,MAX(I1112,0))</f>
        <v>0</v>
      </c>
      <c r="J1126" s="21">
        <f t="shared" ref="J1126:AE1126" si="842">-MIN(J1129,MAX(J1112,0))</f>
        <v>0</v>
      </c>
      <c r="K1126" s="21">
        <f>-MIN(K1129,MAX(K1112,0))</f>
        <v>-41.069790591075815</v>
      </c>
      <c r="L1126" s="21">
        <f t="shared" si="842"/>
        <v>-69.215373866180201</v>
      </c>
      <c r="M1126" s="21">
        <f t="shared" si="842"/>
        <v>-109.58723008726</v>
      </c>
      <c r="N1126" s="21">
        <f t="shared" si="842"/>
        <v>-76.711061061081992</v>
      </c>
      <c r="O1126" s="21">
        <f t="shared" si="842"/>
        <v>-53.697742742757391</v>
      </c>
      <c r="P1126" s="21">
        <f t="shared" si="842"/>
        <v>-37.588419919930182</v>
      </c>
      <c r="Q1126" s="21">
        <f t="shared" si="842"/>
        <v>-26.311893943951127</v>
      </c>
      <c r="R1126" s="21">
        <f t="shared" si="842"/>
        <v>-18.418325760765789</v>
      </c>
      <c r="S1126" s="21">
        <f t="shared" si="842"/>
        <v>-12.892828032536054</v>
      </c>
      <c r="T1126" s="21">
        <f t="shared" si="842"/>
        <v>-9.0249796227752377</v>
      </c>
      <c r="U1126" s="21">
        <f t="shared" si="842"/>
        <v>-6.3174857359426664</v>
      </c>
      <c r="V1126" s="21">
        <f t="shared" si="842"/>
        <v>-4.4222400151598666</v>
      </c>
      <c r="W1126" s="21">
        <f t="shared" si="842"/>
        <v>-3.0955680106119066</v>
      </c>
      <c r="X1126" s="21">
        <f t="shared" si="842"/>
        <v>-2.1668976074283344</v>
      </c>
      <c r="Y1126" s="21">
        <f t="shared" si="842"/>
        <v>-1.5168283251998345</v>
      </c>
      <c r="Z1126" s="21">
        <f t="shared" si="842"/>
        <v>-1.061779827639884</v>
      </c>
      <c r="AA1126" s="21">
        <f t="shared" si="842"/>
        <v>-0.74324587934791886</v>
      </c>
      <c r="AB1126" s="21">
        <f t="shared" si="842"/>
        <v>-0.52027211554354313</v>
      </c>
      <c r="AC1126" s="21">
        <f t="shared" si="842"/>
        <v>-0.36419048088048028</v>
      </c>
      <c r="AD1126" s="21">
        <f t="shared" si="842"/>
        <v>-0.25493333661633616</v>
      </c>
      <c r="AE1126" s="21">
        <f t="shared" si="842"/>
        <v>-0.17845333563143531</v>
      </c>
      <c r="AF1126" s="1"/>
    </row>
    <row r="1127" spans="2:32" x14ac:dyDescent="0.2">
      <c r="C1127" s="5" t="s">
        <v>127</v>
      </c>
      <c r="D1127" s="5"/>
      <c r="F1127" s="1" t="s">
        <v>55</v>
      </c>
      <c r="I1127" s="21">
        <f>SUM(I1124:I1126)</f>
        <v>56.557541166478941</v>
      </c>
      <c r="J1127" s="21">
        <f t="shared" ref="J1127:AE1127" si="843">SUM(J1124:J1126)</f>
        <v>324.26373493623282</v>
      </c>
      <c r="K1127" s="21">
        <f>SUM(K1124:K1126)</f>
        <v>434.50614082371351</v>
      </c>
      <c r="L1127" s="21">
        <f t="shared" si="843"/>
        <v>365.29076695753332</v>
      </c>
      <c r="M1127" s="21">
        <f t="shared" si="843"/>
        <v>255.70353687027333</v>
      </c>
      <c r="N1127" s="21">
        <f t="shared" si="843"/>
        <v>178.99247580919132</v>
      </c>
      <c r="O1127" s="21">
        <f t="shared" si="843"/>
        <v>125.29473306643393</v>
      </c>
      <c r="P1127" s="21">
        <f t="shared" si="843"/>
        <v>87.70631314650376</v>
      </c>
      <c r="Q1127" s="21">
        <f t="shared" si="843"/>
        <v>61.394419202552633</v>
      </c>
      <c r="R1127" s="21">
        <f t="shared" si="843"/>
        <v>42.976093441786844</v>
      </c>
      <c r="S1127" s="21">
        <f t="shared" si="843"/>
        <v>30.083265409250792</v>
      </c>
      <c r="T1127" s="21">
        <f t="shared" si="843"/>
        <v>21.058285786475555</v>
      </c>
      <c r="U1127" s="21">
        <f t="shared" si="843"/>
        <v>14.740800050532888</v>
      </c>
      <c r="V1127" s="21">
        <f t="shared" si="843"/>
        <v>10.318560035373022</v>
      </c>
      <c r="W1127" s="21">
        <f t="shared" si="843"/>
        <v>7.2229920247611155</v>
      </c>
      <c r="X1127" s="21">
        <f t="shared" si="843"/>
        <v>5.0560944173327815</v>
      </c>
      <c r="Y1127" s="21">
        <f t="shared" si="843"/>
        <v>3.5392660921329471</v>
      </c>
      <c r="Z1127" s="21">
        <f t="shared" si="843"/>
        <v>2.4774862644930629</v>
      </c>
      <c r="AA1127" s="21">
        <f t="shared" si="843"/>
        <v>1.734240385145144</v>
      </c>
      <c r="AB1127" s="21">
        <f t="shared" si="843"/>
        <v>1.213968269601601</v>
      </c>
      <c r="AC1127" s="21">
        <f t="shared" si="843"/>
        <v>0.84977778872112064</v>
      </c>
      <c r="AD1127" s="21">
        <f t="shared" si="843"/>
        <v>0.59484445210478443</v>
      </c>
      <c r="AE1127" s="21">
        <f t="shared" si="843"/>
        <v>0.41639111647334914</v>
      </c>
      <c r="AF1127" s="1"/>
    </row>
    <row r="1128" spans="2:32" ht="12" customHeight="1" x14ac:dyDescent="0.2">
      <c r="C1128" s="5"/>
      <c r="D1128" s="5"/>
      <c r="AF1128" s="1"/>
    </row>
    <row r="1129" spans="2:32" x14ac:dyDescent="0.2">
      <c r="C1129" s="5" t="s">
        <v>372</v>
      </c>
      <c r="D1129" s="5"/>
      <c r="F1129" s="1" t="s">
        <v>55</v>
      </c>
      <c r="I1129" s="21">
        <f>I1125*$E$979*$E$981+I1124*$E$979</f>
        <v>8.4836311749718405</v>
      </c>
      <c r="J1129" s="21">
        <f t="shared" ref="J1129:AE1129" si="844">J1125*$E$979*$E$981+J1124*$E$979</f>
        <v>57.123191415406765</v>
      </c>
      <c r="K1129" s="21">
        <f>K1125*$E$979*$E$981+K1124*$E$979</f>
        <v>119.97594995265332</v>
      </c>
      <c r="L1129" s="21">
        <f t="shared" si="844"/>
        <v>130.35184224711404</v>
      </c>
      <c r="M1129" s="21">
        <f t="shared" si="844"/>
        <v>109.58723008726</v>
      </c>
      <c r="N1129" s="21">
        <f t="shared" si="844"/>
        <v>76.711061061081992</v>
      </c>
      <c r="O1129" s="21">
        <f t="shared" si="844"/>
        <v>53.697742742757391</v>
      </c>
      <c r="P1129" s="21">
        <f t="shared" si="844"/>
        <v>37.588419919930182</v>
      </c>
      <c r="Q1129" s="21">
        <f t="shared" si="844"/>
        <v>26.311893943951127</v>
      </c>
      <c r="R1129" s="21">
        <f t="shared" si="844"/>
        <v>18.418325760765789</v>
      </c>
      <c r="S1129" s="21">
        <f t="shared" si="844"/>
        <v>12.892828032536054</v>
      </c>
      <c r="T1129" s="21">
        <f t="shared" si="844"/>
        <v>9.0249796227752377</v>
      </c>
      <c r="U1129" s="21">
        <f t="shared" si="844"/>
        <v>6.3174857359426664</v>
      </c>
      <c r="V1129" s="21">
        <f t="shared" si="844"/>
        <v>4.4222400151598666</v>
      </c>
      <c r="W1129" s="21">
        <f t="shared" si="844"/>
        <v>3.0955680106119066</v>
      </c>
      <c r="X1129" s="21">
        <f t="shared" si="844"/>
        <v>2.1668976074283344</v>
      </c>
      <c r="Y1129" s="21">
        <f t="shared" si="844"/>
        <v>1.5168283251998345</v>
      </c>
      <c r="Z1129" s="21">
        <f t="shared" si="844"/>
        <v>1.061779827639884</v>
      </c>
      <c r="AA1129" s="21">
        <f t="shared" si="844"/>
        <v>0.74324587934791886</v>
      </c>
      <c r="AB1129" s="21">
        <f t="shared" si="844"/>
        <v>0.52027211554354313</v>
      </c>
      <c r="AC1129" s="21">
        <f t="shared" si="844"/>
        <v>0.36419048088048028</v>
      </c>
      <c r="AD1129" s="21">
        <f t="shared" si="844"/>
        <v>0.25493333661633616</v>
      </c>
      <c r="AE1129" s="21">
        <f t="shared" si="844"/>
        <v>0.17845333563143531</v>
      </c>
      <c r="AF1129" s="1"/>
    </row>
    <row r="1130" spans="2:32" x14ac:dyDescent="0.2">
      <c r="C1130" s="5"/>
      <c r="D1130" s="5"/>
      <c r="AF1130" s="1"/>
    </row>
    <row r="1131" spans="2:32" x14ac:dyDescent="0.2">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78"/>
      <c r="AE1131" s="278"/>
      <c r="AF1131" s="1"/>
    </row>
    <row r="1132" spans="2:32" x14ac:dyDescent="0.2">
      <c r="C1132" s="5"/>
      <c r="D1132" s="5"/>
      <c r="AF1132" s="1"/>
    </row>
    <row r="1133" spans="2:32" x14ac:dyDescent="0.2">
      <c r="B1133" s="10">
        <f>B1108+0.1</f>
        <v>9.8999999999999968</v>
      </c>
      <c r="C1133" s="20" t="s">
        <v>269</v>
      </c>
      <c r="D1133" s="5"/>
      <c r="AF1133" s="1"/>
    </row>
    <row r="1134" spans="2:32" x14ac:dyDescent="0.2">
      <c r="C1134" s="5"/>
      <c r="D1134" s="5"/>
      <c r="AF1134" s="1"/>
    </row>
    <row r="1135" spans="2:32" x14ac:dyDescent="0.2">
      <c r="C1135" s="90" t="s">
        <v>270</v>
      </c>
      <c r="D1135" s="5"/>
      <c r="AF1135" s="1"/>
    </row>
    <row r="1136" spans="2:32" x14ac:dyDescent="0.2">
      <c r="C1136" s="5" t="s">
        <v>272</v>
      </c>
      <c r="D1136" s="5"/>
      <c r="F1136" s="1" t="s">
        <v>55</v>
      </c>
      <c r="I1136" s="46">
        <f>E985</f>
        <v>75</v>
      </c>
      <c r="J1136" s="21">
        <f>I1138</f>
        <v>18.442458833521059</v>
      </c>
      <c r="K1136" s="21">
        <f t="shared" ref="K1136:AE1136" si="845">J1138</f>
        <v>0</v>
      </c>
      <c r="L1136" s="21">
        <f t="shared" si="845"/>
        <v>0</v>
      </c>
      <c r="M1136" s="21">
        <f t="shared" si="845"/>
        <v>0</v>
      </c>
      <c r="N1136" s="21">
        <f t="shared" si="845"/>
        <v>0</v>
      </c>
      <c r="O1136" s="21">
        <f t="shared" si="845"/>
        <v>0</v>
      </c>
      <c r="P1136" s="21">
        <f t="shared" si="845"/>
        <v>0</v>
      </c>
      <c r="Q1136" s="21">
        <f t="shared" si="845"/>
        <v>0</v>
      </c>
      <c r="R1136" s="21">
        <f t="shared" si="845"/>
        <v>0</v>
      </c>
      <c r="S1136" s="21">
        <f t="shared" si="845"/>
        <v>0</v>
      </c>
      <c r="T1136" s="21">
        <f t="shared" si="845"/>
        <v>0</v>
      </c>
      <c r="U1136" s="21">
        <f t="shared" si="845"/>
        <v>0</v>
      </c>
      <c r="V1136" s="21">
        <f t="shared" si="845"/>
        <v>0</v>
      </c>
      <c r="W1136" s="21">
        <f t="shared" si="845"/>
        <v>0</v>
      </c>
      <c r="X1136" s="21">
        <f t="shared" si="845"/>
        <v>0</v>
      </c>
      <c r="Y1136" s="21">
        <f t="shared" si="845"/>
        <v>0</v>
      </c>
      <c r="Z1136" s="21">
        <f t="shared" si="845"/>
        <v>0</v>
      </c>
      <c r="AA1136" s="21">
        <f t="shared" si="845"/>
        <v>0</v>
      </c>
      <c r="AB1136" s="21">
        <f t="shared" si="845"/>
        <v>0</v>
      </c>
      <c r="AC1136" s="21">
        <f t="shared" si="845"/>
        <v>0</v>
      </c>
      <c r="AD1136" s="21">
        <f t="shared" si="845"/>
        <v>0</v>
      </c>
      <c r="AE1136" s="21">
        <f t="shared" si="845"/>
        <v>0</v>
      </c>
      <c r="AF1136" s="1"/>
    </row>
    <row r="1137" spans="3:32" x14ac:dyDescent="0.2">
      <c r="C1137" s="5" t="s">
        <v>271</v>
      </c>
      <c r="D1137" s="5"/>
      <c r="F1137" s="1" t="s">
        <v>55</v>
      </c>
      <c r="G1137" s="21">
        <f>G1141+G1147</f>
        <v>28.023037256591575</v>
      </c>
      <c r="I1137" s="21">
        <f>-MIN(I1136,I1113)</f>
        <v>-56.557541166478941</v>
      </c>
      <c r="J1137" s="21">
        <f t="shared" ref="J1137:AE1137" si="846">-MIN(J1136,J1113)</f>
        <v>-18.442458833521059</v>
      </c>
      <c r="K1137" s="21">
        <f>-MIN(K1136,K1113)</f>
        <v>0</v>
      </c>
      <c r="L1137" s="21">
        <f t="shared" si="846"/>
        <v>0</v>
      </c>
      <c r="M1137" s="21">
        <f t="shared" si="846"/>
        <v>0</v>
      </c>
      <c r="N1137" s="21">
        <f t="shared" si="846"/>
        <v>0</v>
      </c>
      <c r="O1137" s="21">
        <f t="shared" si="846"/>
        <v>0</v>
      </c>
      <c r="P1137" s="21">
        <f t="shared" si="846"/>
        <v>0</v>
      </c>
      <c r="Q1137" s="21">
        <f t="shared" si="846"/>
        <v>0</v>
      </c>
      <c r="R1137" s="21">
        <f t="shared" si="846"/>
        <v>0</v>
      </c>
      <c r="S1137" s="21">
        <f t="shared" si="846"/>
        <v>0</v>
      </c>
      <c r="T1137" s="21">
        <f t="shared" si="846"/>
        <v>0</v>
      </c>
      <c r="U1137" s="21">
        <f t="shared" si="846"/>
        <v>0</v>
      </c>
      <c r="V1137" s="21">
        <f t="shared" si="846"/>
        <v>0</v>
      </c>
      <c r="W1137" s="21">
        <f t="shared" si="846"/>
        <v>0</v>
      </c>
      <c r="X1137" s="21">
        <f t="shared" si="846"/>
        <v>0</v>
      </c>
      <c r="Y1137" s="21">
        <f t="shared" si="846"/>
        <v>0</v>
      </c>
      <c r="Z1137" s="21">
        <f t="shared" si="846"/>
        <v>0</v>
      </c>
      <c r="AA1137" s="21">
        <f t="shared" si="846"/>
        <v>0</v>
      </c>
      <c r="AB1137" s="21">
        <f t="shared" si="846"/>
        <v>0</v>
      </c>
      <c r="AC1137" s="21">
        <f t="shared" si="846"/>
        <v>0</v>
      </c>
      <c r="AD1137" s="21">
        <f t="shared" si="846"/>
        <v>0</v>
      </c>
      <c r="AE1137" s="21">
        <f t="shared" si="846"/>
        <v>0</v>
      </c>
      <c r="AF1137" s="1"/>
    </row>
    <row r="1138" spans="3:32" x14ac:dyDescent="0.2">
      <c r="C1138" s="5" t="s">
        <v>273</v>
      </c>
      <c r="D1138" s="5"/>
      <c r="F1138" s="1" t="s">
        <v>55</v>
      </c>
      <c r="I1138" s="21">
        <f>SUM(I1136:I1137)</f>
        <v>18.442458833521059</v>
      </c>
      <c r="J1138" s="21">
        <f t="shared" ref="J1138:AE1138" si="847">SUM(J1136:J1137)</f>
        <v>0</v>
      </c>
      <c r="K1138" s="21">
        <f>SUM(K1136:K1137)</f>
        <v>0</v>
      </c>
      <c r="L1138" s="21">
        <f t="shared" si="847"/>
        <v>0</v>
      </c>
      <c r="M1138" s="21">
        <f t="shared" si="847"/>
        <v>0</v>
      </c>
      <c r="N1138" s="21">
        <f t="shared" si="847"/>
        <v>0</v>
      </c>
      <c r="O1138" s="21">
        <f t="shared" si="847"/>
        <v>0</v>
      </c>
      <c r="P1138" s="21">
        <f t="shared" si="847"/>
        <v>0</v>
      </c>
      <c r="Q1138" s="21">
        <f t="shared" si="847"/>
        <v>0</v>
      </c>
      <c r="R1138" s="21">
        <f t="shared" si="847"/>
        <v>0</v>
      </c>
      <c r="S1138" s="21">
        <f t="shared" si="847"/>
        <v>0</v>
      </c>
      <c r="T1138" s="21">
        <f t="shared" si="847"/>
        <v>0</v>
      </c>
      <c r="U1138" s="21">
        <f t="shared" si="847"/>
        <v>0</v>
      </c>
      <c r="V1138" s="21">
        <f t="shared" si="847"/>
        <v>0</v>
      </c>
      <c r="W1138" s="21">
        <f t="shared" si="847"/>
        <v>0</v>
      </c>
      <c r="X1138" s="21">
        <f t="shared" si="847"/>
        <v>0</v>
      </c>
      <c r="Y1138" s="21">
        <f t="shared" si="847"/>
        <v>0</v>
      </c>
      <c r="Z1138" s="21">
        <f t="shared" si="847"/>
        <v>0</v>
      </c>
      <c r="AA1138" s="21">
        <f t="shared" si="847"/>
        <v>0</v>
      </c>
      <c r="AB1138" s="21">
        <f t="shared" si="847"/>
        <v>0</v>
      </c>
      <c r="AC1138" s="21">
        <f t="shared" si="847"/>
        <v>0</v>
      </c>
      <c r="AD1138" s="21">
        <f t="shared" si="847"/>
        <v>0</v>
      </c>
      <c r="AE1138" s="21">
        <f t="shared" si="847"/>
        <v>0</v>
      </c>
      <c r="AF1138" s="1"/>
    </row>
    <row r="1139" spans="3:32" x14ac:dyDescent="0.2">
      <c r="C1139" s="5"/>
      <c r="D1139" s="5"/>
      <c r="AF1139" s="1"/>
    </row>
    <row r="1140" spans="3:32" x14ac:dyDescent="0.2">
      <c r="C1140" s="1" t="s">
        <v>125</v>
      </c>
      <c r="D1140" s="5"/>
      <c r="F1140" s="1" t="s">
        <v>55</v>
      </c>
      <c r="I1140" s="46">
        <f>E997</f>
        <v>0</v>
      </c>
      <c r="J1140" s="21">
        <f>I1143</f>
        <v>9.0492065866366307</v>
      </c>
      <c r="K1140" s="21">
        <f t="shared" ref="K1140:AE1140" si="848">J1143</f>
        <v>12</v>
      </c>
      <c r="L1140" s="21">
        <f t="shared" si="848"/>
        <v>12</v>
      </c>
      <c r="M1140" s="21">
        <f t="shared" si="848"/>
        <v>12</v>
      </c>
      <c r="N1140" s="21">
        <f t="shared" si="848"/>
        <v>8.9554146673914801</v>
      </c>
      <c r="O1140" s="21">
        <f t="shared" si="848"/>
        <v>2.1100855332497543</v>
      </c>
      <c r="P1140" s="21">
        <f t="shared" si="848"/>
        <v>0</v>
      </c>
      <c r="Q1140" s="21">
        <f t="shared" si="848"/>
        <v>0</v>
      </c>
      <c r="R1140" s="21">
        <f t="shared" si="848"/>
        <v>0</v>
      </c>
      <c r="S1140" s="21">
        <f t="shared" si="848"/>
        <v>0</v>
      </c>
      <c r="T1140" s="21">
        <f t="shared" si="848"/>
        <v>0</v>
      </c>
      <c r="U1140" s="21">
        <f t="shared" si="848"/>
        <v>0</v>
      </c>
      <c r="V1140" s="21">
        <f t="shared" si="848"/>
        <v>0</v>
      </c>
      <c r="W1140" s="21">
        <f t="shared" si="848"/>
        <v>0</v>
      </c>
      <c r="X1140" s="21">
        <f t="shared" si="848"/>
        <v>0</v>
      </c>
      <c r="Y1140" s="21">
        <f t="shared" si="848"/>
        <v>0</v>
      </c>
      <c r="Z1140" s="21">
        <f t="shared" si="848"/>
        <v>0</v>
      </c>
      <c r="AA1140" s="21">
        <f t="shared" si="848"/>
        <v>0</v>
      </c>
      <c r="AB1140" s="21">
        <f t="shared" si="848"/>
        <v>0</v>
      </c>
      <c r="AC1140" s="21">
        <f t="shared" si="848"/>
        <v>0</v>
      </c>
      <c r="AD1140" s="21">
        <f t="shared" si="848"/>
        <v>0</v>
      </c>
      <c r="AE1140" s="21">
        <f t="shared" si="848"/>
        <v>0</v>
      </c>
      <c r="AF1140" s="1"/>
    </row>
    <row r="1141" spans="3:32" x14ac:dyDescent="0.2">
      <c r="C1141" s="1" t="s">
        <v>126</v>
      </c>
      <c r="D1141" s="5"/>
      <c r="F1141" s="1" t="s">
        <v>55</v>
      </c>
      <c r="G1141" s="21">
        <f>SUM(I1141:AE1141)</f>
        <v>12</v>
      </c>
      <c r="H1141" s="21"/>
      <c r="I1141" s="21">
        <f>-I1137*$E$984</f>
        <v>9.0492065866366307</v>
      </c>
      <c r="J1141" s="21">
        <f t="shared" ref="J1141:AE1141" si="849">-J1137*$E$984</f>
        <v>2.9507934133633693</v>
      </c>
      <c r="K1141" s="21">
        <f>-K1137*$E$984</f>
        <v>0</v>
      </c>
      <c r="L1141" s="21">
        <f t="shared" si="849"/>
        <v>0</v>
      </c>
      <c r="M1141" s="21">
        <f t="shared" si="849"/>
        <v>0</v>
      </c>
      <c r="N1141" s="21">
        <f t="shared" si="849"/>
        <v>0</v>
      </c>
      <c r="O1141" s="21">
        <f t="shared" si="849"/>
        <v>0</v>
      </c>
      <c r="P1141" s="21">
        <f t="shared" si="849"/>
        <v>0</v>
      </c>
      <c r="Q1141" s="21">
        <f t="shared" si="849"/>
        <v>0</v>
      </c>
      <c r="R1141" s="21">
        <f t="shared" si="849"/>
        <v>0</v>
      </c>
      <c r="S1141" s="21">
        <f t="shared" si="849"/>
        <v>0</v>
      </c>
      <c r="T1141" s="21">
        <f t="shared" si="849"/>
        <v>0</v>
      </c>
      <c r="U1141" s="21">
        <f t="shared" si="849"/>
        <v>0</v>
      </c>
      <c r="V1141" s="21">
        <f t="shared" si="849"/>
        <v>0</v>
      </c>
      <c r="W1141" s="21">
        <f t="shared" si="849"/>
        <v>0</v>
      </c>
      <c r="X1141" s="21">
        <f t="shared" si="849"/>
        <v>0</v>
      </c>
      <c r="Y1141" s="21">
        <f t="shared" si="849"/>
        <v>0</v>
      </c>
      <c r="Z1141" s="21">
        <f t="shared" si="849"/>
        <v>0</v>
      </c>
      <c r="AA1141" s="21">
        <f t="shared" si="849"/>
        <v>0</v>
      </c>
      <c r="AB1141" s="21">
        <f t="shared" si="849"/>
        <v>0</v>
      </c>
      <c r="AC1141" s="21">
        <f t="shared" si="849"/>
        <v>0</v>
      </c>
      <c r="AD1141" s="21">
        <f t="shared" si="849"/>
        <v>0</v>
      </c>
      <c r="AE1141" s="21">
        <f t="shared" si="849"/>
        <v>0</v>
      </c>
      <c r="AF1141" s="1"/>
    </row>
    <row r="1142" spans="3:32" x14ac:dyDescent="0.2">
      <c r="C1142" s="67" t="s">
        <v>280</v>
      </c>
      <c r="D1142" s="5"/>
      <c r="F1142" s="1" t="s">
        <v>55</v>
      </c>
      <c r="G1142" s="21">
        <f>SUM(I1142:AE1142)</f>
        <v>-12</v>
      </c>
      <c r="I1142" s="45">
        <f t="shared" ref="I1142:AE1142" si="850">-MIN(I1170,I1141+I1140)</f>
        <v>0</v>
      </c>
      <c r="J1142" s="45">
        <f t="shared" si="850"/>
        <v>0</v>
      </c>
      <c r="K1142" s="45">
        <f t="shared" si="850"/>
        <v>0</v>
      </c>
      <c r="L1142" s="45">
        <f t="shared" si="850"/>
        <v>0</v>
      </c>
      <c r="M1142" s="45">
        <f t="shared" si="850"/>
        <v>-3.0445853326085195</v>
      </c>
      <c r="N1142" s="45">
        <f t="shared" si="850"/>
        <v>-6.8453291341417257</v>
      </c>
      <c r="O1142" s="45">
        <f t="shared" si="850"/>
        <v>-2.1100855332497543</v>
      </c>
      <c r="P1142" s="45">
        <f t="shared" si="850"/>
        <v>0</v>
      </c>
      <c r="Q1142" s="45">
        <f t="shared" si="850"/>
        <v>0</v>
      </c>
      <c r="R1142" s="45">
        <f t="shared" si="850"/>
        <v>0</v>
      </c>
      <c r="S1142" s="45">
        <f t="shared" si="850"/>
        <v>0</v>
      </c>
      <c r="T1142" s="45">
        <f t="shared" si="850"/>
        <v>0</v>
      </c>
      <c r="U1142" s="45">
        <f t="shared" si="850"/>
        <v>0</v>
      </c>
      <c r="V1142" s="45">
        <f t="shared" si="850"/>
        <v>0</v>
      </c>
      <c r="W1142" s="45">
        <f t="shared" si="850"/>
        <v>0</v>
      </c>
      <c r="X1142" s="45">
        <f t="shared" si="850"/>
        <v>0</v>
      </c>
      <c r="Y1142" s="45">
        <f t="shared" si="850"/>
        <v>0</v>
      </c>
      <c r="Z1142" s="45">
        <f t="shared" si="850"/>
        <v>0</v>
      </c>
      <c r="AA1142" s="45">
        <f t="shared" si="850"/>
        <v>0</v>
      </c>
      <c r="AB1142" s="45">
        <f t="shared" si="850"/>
        <v>0</v>
      </c>
      <c r="AC1142" s="45">
        <f t="shared" si="850"/>
        <v>0</v>
      </c>
      <c r="AD1142" s="45">
        <f t="shared" si="850"/>
        <v>0</v>
      </c>
      <c r="AE1142" s="45">
        <f t="shared" si="850"/>
        <v>0</v>
      </c>
      <c r="AF1142" s="1"/>
    </row>
    <row r="1143" spans="3:32" x14ac:dyDescent="0.2">
      <c r="C1143" s="1" t="s">
        <v>267</v>
      </c>
      <c r="D1143" s="5"/>
      <c r="F1143" s="1" t="s">
        <v>55</v>
      </c>
      <c r="I1143" s="21">
        <f>SUM(I1140:I1142)</f>
        <v>9.0492065866366307</v>
      </c>
      <c r="J1143" s="21">
        <f t="shared" ref="J1143:AE1143" si="851">SUM(J1140:J1142)</f>
        <v>12</v>
      </c>
      <c r="K1143" s="21">
        <f>SUM(K1140:K1142)</f>
        <v>12</v>
      </c>
      <c r="L1143" s="21">
        <f t="shared" si="851"/>
        <v>12</v>
      </c>
      <c r="M1143" s="21">
        <f t="shared" si="851"/>
        <v>8.9554146673914801</v>
      </c>
      <c r="N1143" s="21">
        <f t="shared" si="851"/>
        <v>2.1100855332497543</v>
      </c>
      <c r="O1143" s="21">
        <f t="shared" si="851"/>
        <v>0</v>
      </c>
      <c r="P1143" s="21">
        <f t="shared" si="851"/>
        <v>0</v>
      </c>
      <c r="Q1143" s="21">
        <f t="shared" si="851"/>
        <v>0</v>
      </c>
      <c r="R1143" s="21">
        <f t="shared" si="851"/>
        <v>0</v>
      </c>
      <c r="S1143" s="21">
        <f t="shared" si="851"/>
        <v>0</v>
      </c>
      <c r="T1143" s="21">
        <f t="shared" si="851"/>
        <v>0</v>
      </c>
      <c r="U1143" s="21">
        <f t="shared" si="851"/>
        <v>0</v>
      </c>
      <c r="V1143" s="21">
        <f t="shared" si="851"/>
        <v>0</v>
      </c>
      <c r="W1143" s="21">
        <f t="shared" si="851"/>
        <v>0</v>
      </c>
      <c r="X1143" s="21">
        <f t="shared" si="851"/>
        <v>0</v>
      </c>
      <c r="Y1143" s="21">
        <f t="shared" si="851"/>
        <v>0</v>
      </c>
      <c r="Z1143" s="21">
        <f t="shared" si="851"/>
        <v>0</v>
      </c>
      <c r="AA1143" s="21">
        <f t="shared" si="851"/>
        <v>0</v>
      </c>
      <c r="AB1143" s="21">
        <f t="shared" si="851"/>
        <v>0</v>
      </c>
      <c r="AC1143" s="21">
        <f t="shared" si="851"/>
        <v>0</v>
      </c>
      <c r="AD1143" s="21">
        <f t="shared" si="851"/>
        <v>0</v>
      </c>
      <c r="AE1143" s="21">
        <f t="shared" si="851"/>
        <v>0</v>
      </c>
      <c r="AF1143" s="1"/>
    </row>
    <row r="1144" spans="3:32" x14ac:dyDescent="0.2">
      <c r="C1144" s="5"/>
      <c r="D1144" s="5"/>
      <c r="AF1144" s="1"/>
    </row>
    <row r="1145" spans="3:32" x14ac:dyDescent="0.2">
      <c r="C1145" s="90" t="s">
        <v>274</v>
      </c>
      <c r="D1145" s="5"/>
      <c r="AF1145" s="1"/>
    </row>
    <row r="1146" spans="3:32" x14ac:dyDescent="0.2">
      <c r="C1146" s="1" t="s">
        <v>125</v>
      </c>
      <c r="D1146" s="5"/>
      <c r="F1146" s="1" t="s">
        <v>55</v>
      </c>
      <c r="I1146" s="46">
        <f>E997</f>
        <v>0</v>
      </c>
      <c r="J1146" s="21">
        <f>I1149</f>
        <v>0</v>
      </c>
      <c r="K1146" s="21">
        <f t="shared" ref="K1146:AE1146" si="852">J1149</f>
        <v>9.9705493974493127</v>
      </c>
      <c r="L1146" s="21">
        <f t="shared" si="852"/>
        <v>16.023037256591575</v>
      </c>
      <c r="M1146" s="21">
        <f t="shared" si="852"/>
        <v>16.023037256591575</v>
      </c>
      <c r="N1146" s="21">
        <f t="shared" si="852"/>
        <v>16.023037256591575</v>
      </c>
      <c r="O1146" s="21">
        <f t="shared" si="852"/>
        <v>16.023037256591575</v>
      </c>
      <c r="P1146" s="21">
        <f t="shared" si="852"/>
        <v>8.549208775818979</v>
      </c>
      <c r="Q1146" s="21">
        <f t="shared" si="852"/>
        <v>0</v>
      </c>
      <c r="R1146" s="21">
        <f t="shared" si="852"/>
        <v>0</v>
      </c>
      <c r="S1146" s="21">
        <f t="shared" si="852"/>
        <v>0</v>
      </c>
      <c r="T1146" s="21">
        <f t="shared" si="852"/>
        <v>0</v>
      </c>
      <c r="U1146" s="21">
        <f t="shared" si="852"/>
        <v>0</v>
      </c>
      <c r="V1146" s="21">
        <f t="shared" si="852"/>
        <v>0</v>
      </c>
      <c r="W1146" s="21">
        <f t="shared" si="852"/>
        <v>0</v>
      </c>
      <c r="X1146" s="21">
        <f t="shared" si="852"/>
        <v>0</v>
      </c>
      <c r="Y1146" s="21">
        <f t="shared" si="852"/>
        <v>0</v>
      </c>
      <c r="Z1146" s="21">
        <f t="shared" si="852"/>
        <v>0</v>
      </c>
      <c r="AA1146" s="21">
        <f t="shared" si="852"/>
        <v>0</v>
      </c>
      <c r="AB1146" s="21">
        <f t="shared" si="852"/>
        <v>0</v>
      </c>
      <c r="AC1146" s="21">
        <f t="shared" si="852"/>
        <v>0</v>
      </c>
      <c r="AD1146" s="21">
        <f t="shared" si="852"/>
        <v>0</v>
      </c>
      <c r="AE1146" s="21">
        <f t="shared" si="852"/>
        <v>0</v>
      </c>
      <c r="AF1146" s="1"/>
    </row>
    <row r="1147" spans="3:32" x14ac:dyDescent="0.2">
      <c r="C1147" s="1" t="s">
        <v>126</v>
      </c>
      <c r="D1147" s="5"/>
      <c r="F1147" s="1" t="s">
        <v>55</v>
      </c>
      <c r="G1147" s="21">
        <f>SUM(I1147:AE1147)</f>
        <v>16.023037256591575</v>
      </c>
      <c r="I1147" s="21">
        <f>(I1113+I1137)*$E$983</f>
        <v>0</v>
      </c>
      <c r="J1147" s="21">
        <f t="shared" ref="J1147:AE1147" si="853">(J1113+J1137)*$E$983</f>
        <v>9.9705493974493127</v>
      </c>
      <c r="K1147" s="21">
        <f>(K1113+K1137)*$E$983</f>
        <v>6.0524878591422615</v>
      </c>
      <c r="L1147" s="21">
        <f t="shared" si="853"/>
        <v>0</v>
      </c>
      <c r="M1147" s="21">
        <f t="shared" si="853"/>
        <v>0</v>
      </c>
      <c r="N1147" s="21">
        <f t="shared" si="853"/>
        <v>0</v>
      </c>
      <c r="O1147" s="21">
        <f t="shared" si="853"/>
        <v>0</v>
      </c>
      <c r="P1147" s="21">
        <f t="shared" si="853"/>
        <v>0</v>
      </c>
      <c r="Q1147" s="21">
        <f t="shared" si="853"/>
        <v>0</v>
      </c>
      <c r="R1147" s="21">
        <f t="shared" si="853"/>
        <v>0</v>
      </c>
      <c r="S1147" s="21">
        <f t="shared" si="853"/>
        <v>0</v>
      </c>
      <c r="T1147" s="21">
        <f t="shared" si="853"/>
        <v>0</v>
      </c>
      <c r="U1147" s="21">
        <f t="shared" si="853"/>
        <v>0</v>
      </c>
      <c r="V1147" s="21">
        <f t="shared" si="853"/>
        <v>0</v>
      </c>
      <c r="W1147" s="21">
        <f t="shared" si="853"/>
        <v>0</v>
      </c>
      <c r="X1147" s="21">
        <f t="shared" si="853"/>
        <v>0</v>
      </c>
      <c r="Y1147" s="21">
        <f t="shared" si="853"/>
        <v>0</v>
      </c>
      <c r="Z1147" s="21">
        <f t="shared" si="853"/>
        <v>0</v>
      </c>
      <c r="AA1147" s="21">
        <f t="shared" si="853"/>
        <v>0</v>
      </c>
      <c r="AB1147" s="21">
        <f t="shared" si="853"/>
        <v>0</v>
      </c>
      <c r="AC1147" s="21">
        <f t="shared" si="853"/>
        <v>0</v>
      </c>
      <c r="AD1147" s="21">
        <f t="shared" si="853"/>
        <v>0</v>
      </c>
      <c r="AE1147" s="21">
        <f t="shared" si="853"/>
        <v>0</v>
      </c>
      <c r="AF1147" s="1"/>
    </row>
    <row r="1148" spans="3:32" x14ac:dyDescent="0.2">
      <c r="C1148" s="67" t="s">
        <v>280</v>
      </c>
      <c r="D1148" s="5"/>
      <c r="F1148" s="1" t="s">
        <v>55</v>
      </c>
      <c r="G1148" s="21">
        <f>SUM(I1148:AE1148)</f>
        <v>-16.023037256591575</v>
      </c>
      <c r="I1148" s="45">
        <f t="shared" ref="I1148:AE1148" si="854">-MIN(I1170+I1142,I1147+I1146)</f>
        <v>0</v>
      </c>
      <c r="J1148" s="45">
        <f t="shared" si="854"/>
        <v>0</v>
      </c>
      <c r="K1148" s="45">
        <f t="shared" si="854"/>
        <v>0</v>
      </c>
      <c r="L1148" s="45">
        <f t="shared" si="854"/>
        <v>0</v>
      </c>
      <c r="M1148" s="45">
        <f t="shared" si="854"/>
        <v>0</v>
      </c>
      <c r="N1148" s="45">
        <f t="shared" si="854"/>
        <v>0</v>
      </c>
      <c r="O1148" s="45">
        <f t="shared" si="854"/>
        <v>-7.473828480772597</v>
      </c>
      <c r="P1148" s="45">
        <f t="shared" si="854"/>
        <v>-8.549208775818979</v>
      </c>
      <c r="Q1148" s="45">
        <f t="shared" si="854"/>
        <v>0</v>
      </c>
      <c r="R1148" s="45">
        <f t="shared" si="854"/>
        <v>0</v>
      </c>
      <c r="S1148" s="45">
        <f t="shared" si="854"/>
        <v>0</v>
      </c>
      <c r="T1148" s="45">
        <f t="shared" si="854"/>
        <v>0</v>
      </c>
      <c r="U1148" s="45">
        <f t="shared" si="854"/>
        <v>0</v>
      </c>
      <c r="V1148" s="45">
        <f t="shared" si="854"/>
        <v>0</v>
      </c>
      <c r="W1148" s="45">
        <f t="shared" si="854"/>
        <v>0</v>
      </c>
      <c r="X1148" s="45">
        <f t="shared" si="854"/>
        <v>0</v>
      </c>
      <c r="Y1148" s="45">
        <f t="shared" si="854"/>
        <v>0</v>
      </c>
      <c r="Z1148" s="45">
        <f t="shared" si="854"/>
        <v>0</v>
      </c>
      <c r="AA1148" s="45">
        <f t="shared" si="854"/>
        <v>0</v>
      </c>
      <c r="AB1148" s="45">
        <f t="shared" si="854"/>
        <v>0</v>
      </c>
      <c r="AC1148" s="45">
        <f t="shared" si="854"/>
        <v>0</v>
      </c>
      <c r="AD1148" s="45">
        <f t="shared" si="854"/>
        <v>0</v>
      </c>
      <c r="AE1148" s="45">
        <f t="shared" si="854"/>
        <v>0</v>
      </c>
      <c r="AF1148" s="1"/>
    </row>
    <row r="1149" spans="3:32" x14ac:dyDescent="0.2">
      <c r="C1149" s="1" t="s">
        <v>267</v>
      </c>
      <c r="D1149" s="5"/>
      <c r="F1149" s="1" t="s">
        <v>55</v>
      </c>
      <c r="I1149" s="21">
        <f>SUM(I1146:I1148)</f>
        <v>0</v>
      </c>
      <c r="J1149" s="21">
        <f t="shared" ref="J1149:AE1149" si="855">SUM(J1146:J1148)</f>
        <v>9.9705493974493127</v>
      </c>
      <c r="K1149" s="21">
        <f>SUM(K1146:K1148)</f>
        <v>16.023037256591575</v>
      </c>
      <c r="L1149" s="21">
        <f t="shared" si="855"/>
        <v>16.023037256591575</v>
      </c>
      <c r="M1149" s="21">
        <f t="shared" si="855"/>
        <v>16.023037256591575</v>
      </c>
      <c r="N1149" s="21">
        <f t="shared" si="855"/>
        <v>16.023037256591575</v>
      </c>
      <c r="O1149" s="21">
        <f t="shared" si="855"/>
        <v>8.549208775818979</v>
      </c>
      <c r="P1149" s="21">
        <f t="shared" si="855"/>
        <v>0</v>
      </c>
      <c r="Q1149" s="21">
        <f t="shared" si="855"/>
        <v>0</v>
      </c>
      <c r="R1149" s="21">
        <f t="shared" si="855"/>
        <v>0</v>
      </c>
      <c r="S1149" s="21">
        <f t="shared" si="855"/>
        <v>0</v>
      </c>
      <c r="T1149" s="21">
        <f t="shared" si="855"/>
        <v>0</v>
      </c>
      <c r="U1149" s="21">
        <f t="shared" si="855"/>
        <v>0</v>
      </c>
      <c r="V1149" s="21">
        <f t="shared" si="855"/>
        <v>0</v>
      </c>
      <c r="W1149" s="21">
        <f t="shared" si="855"/>
        <v>0</v>
      </c>
      <c r="X1149" s="21">
        <f t="shared" si="855"/>
        <v>0</v>
      </c>
      <c r="Y1149" s="21">
        <f t="shared" si="855"/>
        <v>0</v>
      </c>
      <c r="Z1149" s="21">
        <f t="shared" si="855"/>
        <v>0</v>
      </c>
      <c r="AA1149" s="21">
        <f t="shared" si="855"/>
        <v>0</v>
      </c>
      <c r="AB1149" s="21">
        <f t="shared" si="855"/>
        <v>0</v>
      </c>
      <c r="AC1149" s="21">
        <f t="shared" si="855"/>
        <v>0</v>
      </c>
      <c r="AD1149" s="21">
        <f t="shared" si="855"/>
        <v>0</v>
      </c>
      <c r="AE1149" s="21">
        <f t="shared" si="855"/>
        <v>0</v>
      </c>
      <c r="AF1149" s="1"/>
    </row>
    <row r="1150" spans="3:32" x14ac:dyDescent="0.2">
      <c r="C1150" s="5"/>
      <c r="D1150" s="5"/>
      <c r="AF1150" s="1"/>
    </row>
    <row r="1151" spans="3:32" x14ac:dyDescent="0.2">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78"/>
      <c r="AE1151" s="278"/>
      <c r="AF1151" s="1"/>
    </row>
    <row r="1152" spans="3:32" x14ac:dyDescent="0.2">
      <c r="C1152" s="5"/>
      <c r="D1152" s="5"/>
      <c r="AF1152" s="1"/>
    </row>
    <row r="1153" spans="2:32" x14ac:dyDescent="0.2">
      <c r="B1153" s="24">
        <v>9.1</v>
      </c>
      <c r="C1153" s="20" t="s">
        <v>697</v>
      </c>
      <c r="D1153" s="5"/>
      <c r="AF1153" s="1"/>
    </row>
    <row r="1154" spans="2:32" x14ac:dyDescent="0.2">
      <c r="C1154" s="5"/>
      <c r="D1154" s="5"/>
      <c r="AF1154" s="1"/>
    </row>
    <row r="1155" spans="2:32" x14ac:dyDescent="0.2">
      <c r="C1155" s="5" t="s">
        <v>699</v>
      </c>
      <c r="D1155" s="5"/>
      <c r="I1155" s="21">
        <f t="shared" ref="I1155:AE1155" si="856">(I2&lt;=$E$989)*1</f>
        <v>1</v>
      </c>
      <c r="J1155" s="21">
        <f t="shared" si="856"/>
        <v>1</v>
      </c>
      <c r="K1155" s="21">
        <f t="shared" si="856"/>
        <v>1</v>
      </c>
      <c r="L1155" s="21">
        <f t="shared" si="856"/>
        <v>1</v>
      </c>
      <c r="M1155" s="21">
        <f t="shared" si="856"/>
        <v>1</v>
      </c>
      <c r="N1155" s="21">
        <f t="shared" si="856"/>
        <v>1</v>
      </c>
      <c r="O1155" s="21">
        <f t="shared" si="856"/>
        <v>1</v>
      </c>
      <c r="P1155" s="21">
        <f t="shared" si="856"/>
        <v>1</v>
      </c>
      <c r="Q1155" s="21">
        <f t="shared" si="856"/>
        <v>1</v>
      </c>
      <c r="R1155" s="21">
        <f t="shared" si="856"/>
        <v>1</v>
      </c>
      <c r="S1155" s="21">
        <f t="shared" si="856"/>
        <v>1</v>
      </c>
      <c r="T1155" s="21">
        <f t="shared" si="856"/>
        <v>1</v>
      </c>
      <c r="U1155" s="21">
        <f t="shared" si="856"/>
        <v>1</v>
      </c>
      <c r="V1155" s="21">
        <f t="shared" si="856"/>
        <v>1</v>
      </c>
      <c r="W1155" s="21">
        <f t="shared" si="856"/>
        <v>1</v>
      </c>
      <c r="X1155" s="21">
        <f t="shared" si="856"/>
        <v>1</v>
      </c>
      <c r="Y1155" s="21">
        <f t="shared" si="856"/>
        <v>1</v>
      </c>
      <c r="Z1155" s="21">
        <f t="shared" si="856"/>
        <v>1</v>
      </c>
      <c r="AA1155" s="21">
        <f t="shared" si="856"/>
        <v>0</v>
      </c>
      <c r="AB1155" s="21">
        <f t="shared" si="856"/>
        <v>0</v>
      </c>
      <c r="AC1155" s="21">
        <f t="shared" si="856"/>
        <v>0</v>
      </c>
      <c r="AD1155" s="21">
        <f t="shared" si="856"/>
        <v>0</v>
      </c>
      <c r="AE1155" s="21">
        <f t="shared" si="856"/>
        <v>0</v>
      </c>
      <c r="AF1155" s="1"/>
    </row>
    <row r="1156" spans="2:32" x14ac:dyDescent="0.2">
      <c r="C1156" s="5"/>
      <c r="D1156" s="5"/>
      <c r="AF1156" s="1"/>
    </row>
    <row r="1157" spans="2:32" x14ac:dyDescent="0.2">
      <c r="C1157" s="5" t="s">
        <v>125</v>
      </c>
      <c r="D1157" s="5"/>
      <c r="F1157" s="1" t="s">
        <v>55</v>
      </c>
      <c r="G1157" s="21"/>
      <c r="I1157" s="46">
        <f>E998</f>
        <v>0</v>
      </c>
      <c r="J1157" s="21">
        <f>I1160</f>
        <v>8.4836311749718405</v>
      </c>
      <c r="K1157" s="21">
        <f t="shared" ref="K1157:AE1157" si="857">J1160</f>
        <v>48.639560240434925</v>
      </c>
      <c r="L1157" s="21">
        <f t="shared" si="857"/>
        <v>71.336389712218406</v>
      </c>
      <c r="M1157" s="21">
        <f t="shared" si="857"/>
        <v>71.336389712218406</v>
      </c>
      <c r="N1157" s="21">
        <f t="shared" si="857"/>
        <v>68.291804379609886</v>
      </c>
      <c r="O1157" s="21">
        <f t="shared" si="857"/>
        <v>61.446475245468157</v>
      </c>
      <c r="P1157" s="21">
        <f t="shared" si="857"/>
        <v>51.86256123144581</v>
      </c>
      <c r="Q1157" s="21">
        <f t="shared" si="857"/>
        <v>40.361637801507023</v>
      </c>
      <c r="R1157" s="21">
        <f t="shared" si="857"/>
        <v>27.577550758087469</v>
      </c>
      <c r="S1157" s="21">
        <f t="shared" si="857"/>
        <v>13.912872078529592</v>
      </c>
      <c r="T1157" s="21">
        <f t="shared" si="857"/>
        <v>0</v>
      </c>
      <c r="U1157" s="21">
        <f t="shared" si="857"/>
        <v>0</v>
      </c>
      <c r="V1157" s="21">
        <f t="shared" si="857"/>
        <v>0</v>
      </c>
      <c r="W1157" s="21">
        <f t="shared" si="857"/>
        <v>0</v>
      </c>
      <c r="X1157" s="21">
        <f t="shared" si="857"/>
        <v>0</v>
      </c>
      <c r="Y1157" s="21">
        <f t="shared" si="857"/>
        <v>0</v>
      </c>
      <c r="Z1157" s="21">
        <f t="shared" si="857"/>
        <v>0</v>
      </c>
      <c r="AA1157" s="21">
        <f t="shared" si="857"/>
        <v>0</v>
      </c>
      <c r="AB1157" s="21">
        <f t="shared" si="857"/>
        <v>0</v>
      </c>
      <c r="AC1157" s="21">
        <f t="shared" si="857"/>
        <v>0</v>
      </c>
      <c r="AD1157" s="21">
        <f t="shared" si="857"/>
        <v>0</v>
      </c>
      <c r="AE1157" s="21">
        <f t="shared" si="857"/>
        <v>0</v>
      </c>
      <c r="AF1157" s="1"/>
    </row>
    <row r="1158" spans="2:32" x14ac:dyDescent="0.2">
      <c r="C1158" s="5" t="s">
        <v>126</v>
      </c>
      <c r="D1158" s="5"/>
      <c r="F1158" s="1" t="s">
        <v>55</v>
      </c>
      <c r="G1158" s="21">
        <f>SUM(I1158:AE1158)</f>
        <v>71.336389712218406</v>
      </c>
      <c r="I1158" s="21">
        <f>I1113*$E$988</f>
        <v>8.4836311749718405</v>
      </c>
      <c r="J1158" s="21">
        <f t="shared" ref="J1158:AE1158" si="858">J1113*$E$988</f>
        <v>40.155929065463084</v>
      </c>
      <c r="K1158" s="21">
        <f t="shared" si="858"/>
        <v>22.696829471783477</v>
      </c>
      <c r="L1158" s="21">
        <f t="shared" si="858"/>
        <v>0</v>
      </c>
      <c r="M1158" s="21">
        <f t="shared" si="858"/>
        <v>0</v>
      </c>
      <c r="N1158" s="21">
        <f t="shared" si="858"/>
        <v>0</v>
      </c>
      <c r="O1158" s="21">
        <f t="shared" si="858"/>
        <v>0</v>
      </c>
      <c r="P1158" s="21">
        <f t="shared" si="858"/>
        <v>0</v>
      </c>
      <c r="Q1158" s="21">
        <f t="shared" si="858"/>
        <v>0</v>
      </c>
      <c r="R1158" s="21">
        <f t="shared" si="858"/>
        <v>0</v>
      </c>
      <c r="S1158" s="21">
        <f t="shared" si="858"/>
        <v>0</v>
      </c>
      <c r="T1158" s="21">
        <f t="shared" si="858"/>
        <v>0</v>
      </c>
      <c r="U1158" s="21">
        <f t="shared" si="858"/>
        <v>0</v>
      </c>
      <c r="V1158" s="21">
        <f t="shared" si="858"/>
        <v>0</v>
      </c>
      <c r="W1158" s="21">
        <f t="shared" si="858"/>
        <v>0</v>
      </c>
      <c r="X1158" s="21">
        <f t="shared" si="858"/>
        <v>0</v>
      </c>
      <c r="Y1158" s="21">
        <f t="shared" si="858"/>
        <v>0</v>
      </c>
      <c r="Z1158" s="21">
        <f t="shared" si="858"/>
        <v>0</v>
      </c>
      <c r="AA1158" s="21">
        <f t="shared" si="858"/>
        <v>0</v>
      </c>
      <c r="AB1158" s="21">
        <f t="shared" si="858"/>
        <v>0</v>
      </c>
      <c r="AC1158" s="21">
        <f t="shared" si="858"/>
        <v>0</v>
      </c>
      <c r="AD1158" s="21">
        <f t="shared" si="858"/>
        <v>0</v>
      </c>
      <c r="AE1158" s="21">
        <f t="shared" si="858"/>
        <v>0</v>
      </c>
      <c r="AF1158" s="1"/>
    </row>
    <row r="1159" spans="2:32" x14ac:dyDescent="0.2">
      <c r="C1159" s="5" t="s">
        <v>280</v>
      </c>
      <c r="D1159" s="5"/>
      <c r="F1159" s="1" t="s">
        <v>55</v>
      </c>
      <c r="G1159" s="21">
        <f>SUM(I1159:AE1159)</f>
        <v>-71.336389712218406</v>
      </c>
      <c r="I1159" s="45">
        <f t="shared" ref="I1159:AE1159" si="859">-MIN(I1170,I1158+I1157)*I1155</f>
        <v>0</v>
      </c>
      <c r="J1159" s="45">
        <f t="shared" si="859"/>
        <v>0</v>
      </c>
      <c r="K1159" s="45">
        <f t="shared" si="859"/>
        <v>0</v>
      </c>
      <c r="L1159" s="45">
        <f t="shared" si="859"/>
        <v>0</v>
      </c>
      <c r="M1159" s="45">
        <f t="shared" si="859"/>
        <v>-3.0445853326085195</v>
      </c>
      <c r="N1159" s="45">
        <f t="shared" si="859"/>
        <v>-6.8453291341417257</v>
      </c>
      <c r="O1159" s="45">
        <f t="shared" si="859"/>
        <v>-9.5839140140223513</v>
      </c>
      <c r="P1159" s="45">
        <f t="shared" si="859"/>
        <v>-11.500923429938789</v>
      </c>
      <c r="Q1159" s="45">
        <f t="shared" si="859"/>
        <v>-12.784087043419555</v>
      </c>
      <c r="R1159" s="45">
        <f t="shared" si="859"/>
        <v>-13.664678679557877</v>
      </c>
      <c r="S1159" s="45">
        <f t="shared" si="859"/>
        <v>-13.912872078529592</v>
      </c>
      <c r="T1159" s="45">
        <f t="shared" si="859"/>
        <v>0</v>
      </c>
      <c r="U1159" s="45">
        <f t="shared" si="859"/>
        <v>0</v>
      </c>
      <c r="V1159" s="45">
        <f t="shared" si="859"/>
        <v>0</v>
      </c>
      <c r="W1159" s="45">
        <f t="shared" si="859"/>
        <v>0</v>
      </c>
      <c r="X1159" s="45">
        <f t="shared" si="859"/>
        <v>0</v>
      </c>
      <c r="Y1159" s="45">
        <f t="shared" si="859"/>
        <v>0</v>
      </c>
      <c r="Z1159" s="45">
        <f t="shared" si="859"/>
        <v>0</v>
      </c>
      <c r="AA1159" s="45">
        <f t="shared" si="859"/>
        <v>0</v>
      </c>
      <c r="AB1159" s="45">
        <f t="shared" si="859"/>
        <v>0</v>
      </c>
      <c r="AC1159" s="45">
        <f t="shared" si="859"/>
        <v>0</v>
      </c>
      <c r="AD1159" s="45">
        <f t="shared" si="859"/>
        <v>0</v>
      </c>
      <c r="AE1159" s="45">
        <f t="shared" si="859"/>
        <v>0</v>
      </c>
      <c r="AF1159" s="1"/>
    </row>
    <row r="1160" spans="2:32" x14ac:dyDescent="0.2">
      <c r="C1160" s="5" t="s">
        <v>127</v>
      </c>
      <c r="D1160" s="5"/>
      <c r="F1160" s="1" t="s">
        <v>55</v>
      </c>
      <c r="I1160" s="21">
        <f>SUM(I1157:I1159)</f>
        <v>8.4836311749718405</v>
      </c>
      <c r="J1160" s="21">
        <f t="shared" ref="J1160:AE1160" si="860">SUM(J1157:J1159)</f>
        <v>48.639560240434925</v>
      </c>
      <c r="K1160" s="21">
        <f t="shared" si="860"/>
        <v>71.336389712218406</v>
      </c>
      <c r="L1160" s="21">
        <f t="shared" si="860"/>
        <v>71.336389712218406</v>
      </c>
      <c r="M1160" s="21">
        <f t="shared" si="860"/>
        <v>68.291804379609886</v>
      </c>
      <c r="N1160" s="21">
        <f t="shared" si="860"/>
        <v>61.446475245468157</v>
      </c>
      <c r="O1160" s="21">
        <f t="shared" si="860"/>
        <v>51.86256123144581</v>
      </c>
      <c r="P1160" s="21">
        <f t="shared" si="860"/>
        <v>40.361637801507023</v>
      </c>
      <c r="Q1160" s="21">
        <f t="shared" si="860"/>
        <v>27.577550758087469</v>
      </c>
      <c r="R1160" s="21">
        <f t="shared" si="860"/>
        <v>13.912872078529592</v>
      </c>
      <c r="S1160" s="21">
        <f t="shared" si="860"/>
        <v>0</v>
      </c>
      <c r="T1160" s="21">
        <f t="shared" si="860"/>
        <v>0</v>
      </c>
      <c r="U1160" s="21">
        <f t="shared" si="860"/>
        <v>0</v>
      </c>
      <c r="V1160" s="21">
        <f t="shared" si="860"/>
        <v>0</v>
      </c>
      <c r="W1160" s="21">
        <f t="shared" si="860"/>
        <v>0</v>
      </c>
      <c r="X1160" s="21">
        <f t="shared" si="860"/>
        <v>0</v>
      </c>
      <c r="Y1160" s="21">
        <f t="shared" si="860"/>
        <v>0</v>
      </c>
      <c r="Z1160" s="21">
        <f t="shared" si="860"/>
        <v>0</v>
      </c>
      <c r="AA1160" s="21">
        <f t="shared" si="860"/>
        <v>0</v>
      </c>
      <c r="AB1160" s="21">
        <f t="shared" si="860"/>
        <v>0</v>
      </c>
      <c r="AC1160" s="21">
        <f t="shared" si="860"/>
        <v>0</v>
      </c>
      <c r="AD1160" s="21">
        <f t="shared" si="860"/>
        <v>0</v>
      </c>
      <c r="AE1160" s="21">
        <f t="shared" si="860"/>
        <v>0</v>
      </c>
      <c r="AF1160" s="1"/>
    </row>
    <row r="1161" spans="2:32" x14ac:dyDescent="0.2">
      <c r="C1161" s="5"/>
      <c r="D1161" s="5"/>
      <c r="AF1161" s="1"/>
    </row>
    <row r="1162" spans="2:32" x14ac:dyDescent="0.2">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78"/>
      <c r="AE1162" s="278"/>
      <c r="AF1162" s="1"/>
    </row>
    <row r="1163" spans="2:32" x14ac:dyDescent="0.2">
      <c r="C1163" s="5"/>
      <c r="D1163" s="5"/>
      <c r="AF1163" s="1"/>
    </row>
    <row r="1164" spans="2:32" x14ac:dyDescent="0.2">
      <c r="B1164" s="24">
        <f>B1153+0.01</f>
        <v>9.11</v>
      </c>
      <c r="C1164" s="20" t="s">
        <v>278</v>
      </c>
      <c r="D1164" s="5"/>
      <c r="AF1164" s="1"/>
    </row>
    <row r="1165" spans="2:32" x14ac:dyDescent="0.2">
      <c r="C1165" s="20"/>
      <c r="D1165" s="5"/>
      <c r="AF1165" s="1"/>
    </row>
    <row r="1166" spans="2:32" x14ac:dyDescent="0.2">
      <c r="B1166" s="24"/>
      <c r="C1166" s="1" t="s">
        <v>121</v>
      </c>
      <c r="D1166" s="5"/>
      <c r="F1166" s="1" t="s">
        <v>55</v>
      </c>
      <c r="G1166" s="21">
        <f>SUM(I1166:AE1166)</f>
        <v>2601.6161777260404</v>
      </c>
      <c r="I1166" s="21">
        <f t="shared" ref="I1166:AE1166" si="861">I1033</f>
        <v>0</v>
      </c>
      <c r="J1166" s="21">
        <f t="shared" si="861"/>
        <v>0</v>
      </c>
      <c r="K1166" s="21">
        <f t="shared" si="861"/>
        <v>41.069790591075815</v>
      </c>
      <c r="L1166" s="21">
        <f t="shared" si="861"/>
        <v>69.215373866180201</v>
      </c>
      <c r="M1166" s="21">
        <f t="shared" si="861"/>
        <v>135.17198078144924</v>
      </c>
      <c r="N1166" s="21">
        <f t="shared" si="861"/>
        <v>134.23483529756709</v>
      </c>
      <c r="O1166" s="21">
        <f t="shared" si="861"/>
        <v>134.23483529756706</v>
      </c>
      <c r="P1166" s="21">
        <f t="shared" si="861"/>
        <v>134.23483529756706</v>
      </c>
      <c r="Q1166" s="21">
        <f t="shared" si="861"/>
        <v>133.74119682982976</v>
      </c>
      <c r="R1166" s="21">
        <f t="shared" si="861"/>
        <v>133.24755836209249</v>
      </c>
      <c r="S1166" s="21">
        <f t="shared" si="861"/>
        <v>132.75391989435522</v>
      </c>
      <c r="T1166" s="21">
        <f t="shared" si="861"/>
        <v>132.26028142661789</v>
      </c>
      <c r="U1166" s="21">
        <f t="shared" si="861"/>
        <v>132.26028142661789</v>
      </c>
      <c r="V1166" s="21">
        <f t="shared" si="861"/>
        <v>131.52285882087907</v>
      </c>
      <c r="W1166" s="21">
        <f t="shared" si="861"/>
        <v>129.96975674223907</v>
      </c>
      <c r="X1166" s="21">
        <f t="shared" si="861"/>
        <v>128.46233413650026</v>
      </c>
      <c r="Y1166" s="21">
        <f t="shared" si="861"/>
        <v>128.46233413650026</v>
      </c>
      <c r="Z1166" s="21">
        <f t="shared" si="861"/>
        <v>128.46233413650026</v>
      </c>
      <c r="AA1166" s="21">
        <f t="shared" si="861"/>
        <v>128.46233413650026</v>
      </c>
      <c r="AB1166" s="21">
        <f t="shared" si="861"/>
        <v>128.46233413650026</v>
      </c>
      <c r="AC1166" s="21">
        <f t="shared" si="861"/>
        <v>128.46233413650026</v>
      </c>
      <c r="AD1166" s="21">
        <f t="shared" si="861"/>
        <v>128.46233413650026</v>
      </c>
      <c r="AE1166" s="21">
        <f t="shared" si="861"/>
        <v>128.46233413650026</v>
      </c>
      <c r="AF1166" s="1"/>
    </row>
    <row r="1167" spans="2:32" x14ac:dyDescent="0.2">
      <c r="C1167" s="1" t="s">
        <v>279</v>
      </c>
      <c r="D1167" s="5"/>
      <c r="F1167" s="1" t="s">
        <v>55</v>
      </c>
      <c r="G1167" s="21">
        <f>SUM(I1167:AE1167)</f>
        <v>-475.1595402983159</v>
      </c>
      <c r="I1167" s="21">
        <f t="shared" ref="I1167:AE1167" si="862">I1110</f>
        <v>0</v>
      </c>
      <c r="J1167" s="21">
        <f t="shared" si="862"/>
        <v>0</v>
      </c>
      <c r="K1167" s="21">
        <f t="shared" si="862"/>
        <v>-41.069790591075815</v>
      </c>
      <c r="L1167" s="21">
        <f t="shared" si="862"/>
        <v>-69.215373866180201</v>
      </c>
      <c r="M1167" s="21">
        <f t="shared" si="862"/>
        <v>-109.58723008726</v>
      </c>
      <c r="N1167" s="21">
        <f t="shared" si="862"/>
        <v>-76.711061061081992</v>
      </c>
      <c r="O1167" s="21">
        <f t="shared" si="862"/>
        <v>-53.697742742757391</v>
      </c>
      <c r="P1167" s="21">
        <f t="shared" si="862"/>
        <v>-37.588419919930182</v>
      </c>
      <c r="Q1167" s="21">
        <f t="shared" si="862"/>
        <v>-26.311893943951127</v>
      </c>
      <c r="R1167" s="21">
        <f t="shared" si="862"/>
        <v>-18.418325760765789</v>
      </c>
      <c r="S1167" s="21">
        <f t="shared" si="862"/>
        <v>-12.892828032536054</v>
      </c>
      <c r="T1167" s="21">
        <f t="shared" si="862"/>
        <v>-9.0249796227752377</v>
      </c>
      <c r="U1167" s="21">
        <f t="shared" si="862"/>
        <v>-6.3174857359426664</v>
      </c>
      <c r="V1167" s="21">
        <f t="shared" si="862"/>
        <v>-4.4222400151598666</v>
      </c>
      <c r="W1167" s="21">
        <f t="shared" si="862"/>
        <v>-3.0955680106119066</v>
      </c>
      <c r="X1167" s="21">
        <f t="shared" si="862"/>
        <v>-2.1668976074283344</v>
      </c>
      <c r="Y1167" s="21">
        <f t="shared" si="862"/>
        <v>-1.5168283251998345</v>
      </c>
      <c r="Z1167" s="21">
        <f t="shared" si="862"/>
        <v>-1.061779827639884</v>
      </c>
      <c r="AA1167" s="21">
        <f t="shared" si="862"/>
        <v>-0.74324587934791886</v>
      </c>
      <c r="AB1167" s="21">
        <f t="shared" si="862"/>
        <v>-0.52027211554354313</v>
      </c>
      <c r="AC1167" s="21">
        <f t="shared" si="862"/>
        <v>-0.36419048088048028</v>
      </c>
      <c r="AD1167" s="21">
        <f t="shared" si="862"/>
        <v>-0.25493333661633616</v>
      </c>
      <c r="AE1167" s="21">
        <f t="shared" si="862"/>
        <v>-0.17845333563143531</v>
      </c>
      <c r="AF1167" s="1"/>
    </row>
    <row r="1168" spans="2:32" x14ac:dyDescent="0.2">
      <c r="C1168" s="1" t="s">
        <v>131</v>
      </c>
      <c r="D1168" s="5"/>
      <c r="F1168" s="1" t="s">
        <v>55</v>
      </c>
      <c r="G1168" s="21">
        <f>SUM(I1168:AE1168)</f>
        <v>2126.4566374277238</v>
      </c>
      <c r="I1168" s="21">
        <f>SUM(I1166:I1167)</f>
        <v>0</v>
      </c>
      <c r="J1168" s="21">
        <f t="shared" ref="J1168:AE1168" si="863">SUM(J1166:J1167)</f>
        <v>0</v>
      </c>
      <c r="K1168" s="21">
        <f>SUM(K1166:K1167)</f>
        <v>0</v>
      </c>
      <c r="L1168" s="21">
        <f t="shared" si="863"/>
        <v>0</v>
      </c>
      <c r="M1168" s="21">
        <f t="shared" si="863"/>
        <v>25.584750694189239</v>
      </c>
      <c r="N1168" s="21">
        <f t="shared" si="863"/>
        <v>57.523774236485096</v>
      </c>
      <c r="O1168" s="21">
        <f t="shared" si="863"/>
        <v>80.537092554809675</v>
      </c>
      <c r="P1168" s="21">
        <f t="shared" si="863"/>
        <v>96.646415377636885</v>
      </c>
      <c r="Q1168" s="21">
        <f t="shared" si="863"/>
        <v>107.42930288587863</v>
      </c>
      <c r="R1168" s="21">
        <f t="shared" si="863"/>
        <v>114.82923260132671</v>
      </c>
      <c r="S1168" s="21">
        <f t="shared" si="863"/>
        <v>119.86109186181916</v>
      </c>
      <c r="T1168" s="21">
        <f t="shared" si="863"/>
        <v>123.23530180384266</v>
      </c>
      <c r="U1168" s="21">
        <f t="shared" si="863"/>
        <v>125.94279569067523</v>
      </c>
      <c r="V1168" s="21">
        <f t="shared" si="863"/>
        <v>127.10061880571919</v>
      </c>
      <c r="W1168" s="21">
        <f t="shared" si="863"/>
        <v>126.87418873162716</v>
      </c>
      <c r="X1168" s="21">
        <f t="shared" si="863"/>
        <v>126.29543652907192</v>
      </c>
      <c r="Y1168" s="21">
        <f t="shared" si="863"/>
        <v>126.94550581130042</v>
      </c>
      <c r="Z1168" s="21">
        <f t="shared" si="863"/>
        <v>127.40055430886038</v>
      </c>
      <c r="AA1168" s="21">
        <f t="shared" si="863"/>
        <v>127.71908825715234</v>
      </c>
      <c r="AB1168" s="21">
        <f t="shared" si="863"/>
        <v>127.94206202095671</v>
      </c>
      <c r="AC1168" s="21">
        <f t="shared" si="863"/>
        <v>128.09814365561979</v>
      </c>
      <c r="AD1168" s="21">
        <f t="shared" si="863"/>
        <v>128.20740079988391</v>
      </c>
      <c r="AE1168" s="21">
        <f t="shared" si="863"/>
        <v>128.28388080086881</v>
      </c>
      <c r="AF1168" s="1"/>
    </row>
    <row r="1169" spans="2:32" x14ac:dyDescent="0.2">
      <c r="C1169" s="5"/>
      <c r="D1169" s="5"/>
      <c r="AF1169" s="1"/>
    </row>
    <row r="1170" spans="2:32" x14ac:dyDescent="0.2">
      <c r="C1170" s="5" t="s">
        <v>707</v>
      </c>
      <c r="D1170" s="5"/>
      <c r="F1170" s="1" t="s">
        <v>55</v>
      </c>
      <c r="G1170" s="21">
        <f>SUM(I1170:AE1170)</f>
        <v>253.04833985389917</v>
      </c>
      <c r="I1170" s="21">
        <f>MAX(I1168,0)*$E$975</f>
        <v>0</v>
      </c>
      <c r="J1170" s="21">
        <f t="shared" ref="J1170:AE1170" si="864">MAX(J1168,0)*$E$975</f>
        <v>0</v>
      </c>
      <c r="K1170" s="21">
        <f>MAX(K1168,0)*$E$975</f>
        <v>0</v>
      </c>
      <c r="L1170" s="21">
        <f t="shared" si="864"/>
        <v>0</v>
      </c>
      <c r="M1170" s="21">
        <f t="shared" si="864"/>
        <v>3.0445853326085195</v>
      </c>
      <c r="N1170" s="21">
        <f t="shared" si="864"/>
        <v>6.8453291341417257</v>
      </c>
      <c r="O1170" s="21">
        <f t="shared" si="864"/>
        <v>9.5839140140223513</v>
      </c>
      <c r="P1170" s="21">
        <f t="shared" si="864"/>
        <v>11.500923429938789</v>
      </c>
      <c r="Q1170" s="21">
        <f t="shared" si="864"/>
        <v>12.784087043419555</v>
      </c>
      <c r="R1170" s="21">
        <f t="shared" si="864"/>
        <v>13.664678679557877</v>
      </c>
      <c r="S1170" s="21">
        <f t="shared" si="864"/>
        <v>14.263469931556479</v>
      </c>
      <c r="T1170" s="21">
        <f t="shared" si="864"/>
        <v>14.665000914657275</v>
      </c>
      <c r="U1170" s="21">
        <f t="shared" si="864"/>
        <v>14.987192687190351</v>
      </c>
      <c r="V1170" s="21">
        <f t="shared" si="864"/>
        <v>15.124973637880583</v>
      </c>
      <c r="W1170" s="21">
        <f t="shared" si="864"/>
        <v>15.098028459063631</v>
      </c>
      <c r="X1170" s="21">
        <f t="shared" si="864"/>
        <v>15.029156946959558</v>
      </c>
      <c r="Y1170" s="21">
        <f t="shared" si="864"/>
        <v>15.10651519154475</v>
      </c>
      <c r="Z1170" s="21">
        <f t="shared" si="864"/>
        <v>15.160665962754384</v>
      </c>
      <c r="AA1170" s="21">
        <f t="shared" si="864"/>
        <v>15.198571502601128</v>
      </c>
      <c r="AB1170" s="21">
        <f t="shared" si="864"/>
        <v>15.225105380493847</v>
      </c>
      <c r="AC1170" s="21">
        <f t="shared" si="864"/>
        <v>15.243679095018754</v>
      </c>
      <c r="AD1170" s="21">
        <f t="shared" si="864"/>
        <v>15.256680695186185</v>
      </c>
      <c r="AE1170" s="21">
        <f t="shared" si="864"/>
        <v>15.265781815303388</v>
      </c>
      <c r="AF1170" s="1"/>
    </row>
    <row r="1171" spans="2:32" x14ac:dyDescent="0.2">
      <c r="C1171" s="5" t="str">
        <f>IF(E992=E990,C988,"ITC")</f>
        <v>ITC</v>
      </c>
      <c r="D1171" s="5"/>
      <c r="F1171" s="1" t="s">
        <v>55</v>
      </c>
      <c r="G1171" s="21">
        <f>SUM(I1171:AE1171)</f>
        <v>-28.023037256591575</v>
      </c>
      <c r="I1171" s="21">
        <f>(I1148+I1142)*($E$993=0)+I1159*($E$993=1)</f>
        <v>0</v>
      </c>
      <c r="J1171" s="21">
        <f t="shared" ref="J1171:AE1171" si="865">(J1148+J1142)*($E$993=0)+J1159*($E$993=1)</f>
        <v>0</v>
      </c>
      <c r="K1171" s="21">
        <f t="shared" si="865"/>
        <v>0</v>
      </c>
      <c r="L1171" s="21">
        <f t="shared" si="865"/>
        <v>0</v>
      </c>
      <c r="M1171" s="21">
        <f t="shared" si="865"/>
        <v>-3.0445853326085195</v>
      </c>
      <c r="N1171" s="21">
        <f t="shared" si="865"/>
        <v>-6.8453291341417257</v>
      </c>
      <c r="O1171" s="21">
        <f t="shared" si="865"/>
        <v>-9.5839140140223513</v>
      </c>
      <c r="P1171" s="21">
        <f t="shared" si="865"/>
        <v>-8.549208775818979</v>
      </c>
      <c r="Q1171" s="21">
        <f t="shared" si="865"/>
        <v>0</v>
      </c>
      <c r="R1171" s="21">
        <f t="shared" si="865"/>
        <v>0</v>
      </c>
      <c r="S1171" s="21">
        <f t="shared" si="865"/>
        <v>0</v>
      </c>
      <c r="T1171" s="21">
        <f t="shared" si="865"/>
        <v>0</v>
      </c>
      <c r="U1171" s="21">
        <f t="shared" si="865"/>
        <v>0</v>
      </c>
      <c r="V1171" s="21">
        <f t="shared" si="865"/>
        <v>0</v>
      </c>
      <c r="W1171" s="21">
        <f t="shared" si="865"/>
        <v>0</v>
      </c>
      <c r="X1171" s="21">
        <f t="shared" si="865"/>
        <v>0</v>
      </c>
      <c r="Y1171" s="21">
        <f t="shared" si="865"/>
        <v>0</v>
      </c>
      <c r="Z1171" s="21">
        <f t="shared" si="865"/>
        <v>0</v>
      </c>
      <c r="AA1171" s="21">
        <f t="shared" si="865"/>
        <v>0</v>
      </c>
      <c r="AB1171" s="21">
        <f t="shared" si="865"/>
        <v>0</v>
      </c>
      <c r="AC1171" s="21">
        <f t="shared" si="865"/>
        <v>0</v>
      </c>
      <c r="AD1171" s="21">
        <f t="shared" si="865"/>
        <v>0</v>
      </c>
      <c r="AE1171" s="21">
        <f t="shared" si="865"/>
        <v>0</v>
      </c>
      <c r="AF1171" s="1"/>
    </row>
    <row r="1172" spans="2:32" x14ac:dyDescent="0.2">
      <c r="C1172" s="20" t="s">
        <v>281</v>
      </c>
      <c r="D1172" s="20"/>
      <c r="E1172" s="9"/>
      <c r="F1172" s="9" t="s">
        <v>55</v>
      </c>
      <c r="G1172" s="44">
        <f>SUM(I1172:AE1172)</f>
        <v>225.02530259730761</v>
      </c>
      <c r="H1172" s="9"/>
      <c r="I1172" s="44">
        <f>SUM(I1170:I1171)</f>
        <v>0</v>
      </c>
      <c r="J1172" s="44">
        <f t="shared" ref="J1172:AE1172" si="866">SUM(J1170:J1171)</f>
        <v>0</v>
      </c>
      <c r="K1172" s="44">
        <f>SUM(K1170:K1171)</f>
        <v>0</v>
      </c>
      <c r="L1172" s="44">
        <f t="shared" si="866"/>
        <v>0</v>
      </c>
      <c r="M1172" s="44">
        <f t="shared" si="866"/>
        <v>0</v>
      </c>
      <c r="N1172" s="44">
        <f t="shared" si="866"/>
        <v>0</v>
      </c>
      <c r="O1172" s="44">
        <f t="shared" si="866"/>
        <v>0</v>
      </c>
      <c r="P1172" s="44">
        <f t="shared" si="866"/>
        <v>2.9517146541198098</v>
      </c>
      <c r="Q1172" s="44">
        <f t="shared" si="866"/>
        <v>12.784087043419555</v>
      </c>
      <c r="R1172" s="44">
        <f t="shared" si="866"/>
        <v>13.664678679557877</v>
      </c>
      <c r="S1172" s="44">
        <f t="shared" si="866"/>
        <v>14.263469931556479</v>
      </c>
      <c r="T1172" s="44">
        <f t="shared" si="866"/>
        <v>14.665000914657275</v>
      </c>
      <c r="U1172" s="44">
        <f t="shared" si="866"/>
        <v>14.987192687190351</v>
      </c>
      <c r="V1172" s="44">
        <f t="shared" si="866"/>
        <v>15.124973637880583</v>
      </c>
      <c r="W1172" s="44">
        <f t="shared" si="866"/>
        <v>15.098028459063631</v>
      </c>
      <c r="X1172" s="44">
        <f t="shared" si="866"/>
        <v>15.029156946959558</v>
      </c>
      <c r="Y1172" s="44">
        <f t="shared" si="866"/>
        <v>15.10651519154475</v>
      </c>
      <c r="Z1172" s="44">
        <f t="shared" si="866"/>
        <v>15.160665962754384</v>
      </c>
      <c r="AA1172" s="44">
        <f t="shared" si="866"/>
        <v>15.198571502601128</v>
      </c>
      <c r="AB1172" s="44">
        <f t="shared" si="866"/>
        <v>15.225105380493847</v>
      </c>
      <c r="AC1172" s="44">
        <f t="shared" si="866"/>
        <v>15.243679095018754</v>
      </c>
      <c r="AD1172" s="44">
        <f t="shared" si="866"/>
        <v>15.256680695186185</v>
      </c>
      <c r="AE1172" s="44">
        <f t="shared" si="866"/>
        <v>15.265781815303388</v>
      </c>
      <c r="AF1172" s="1"/>
    </row>
    <row r="1173" spans="2:32" x14ac:dyDescent="0.2">
      <c r="C1173" s="5"/>
      <c r="D1173" s="5"/>
    </row>
    <row r="1174" spans="2:32" x14ac:dyDescent="0.2">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78"/>
      <c r="AE1174" s="278"/>
      <c r="AF1174" s="1"/>
    </row>
    <row r="1175" spans="2:32" x14ac:dyDescent="0.2">
      <c r="C1175" s="5"/>
      <c r="D1175" s="5"/>
    </row>
    <row r="1176" spans="2:32" x14ac:dyDescent="0.2">
      <c r="B1176" s="24">
        <f>B1164+0.01</f>
        <v>9.1199999999999992</v>
      </c>
      <c r="C1176" s="20" t="s">
        <v>276</v>
      </c>
      <c r="D1176" s="5"/>
    </row>
    <row r="1177" spans="2:32" x14ac:dyDescent="0.2">
      <c r="C1177" s="5"/>
      <c r="D1177" s="5"/>
    </row>
    <row r="1178" spans="2:32" x14ac:dyDescent="0.2">
      <c r="C1178" s="5" t="s">
        <v>104</v>
      </c>
      <c r="D1178" s="5"/>
      <c r="F1178" s="1" t="s">
        <v>55</v>
      </c>
      <c r="G1178" s="21">
        <f t="shared" ref="G1178:G1184" si="867">SUM(I1178:AE1178)</f>
        <v>5808.2909072500015</v>
      </c>
      <c r="I1178" s="21">
        <f t="shared" ref="I1178:AE1178" si="868">I1014</f>
        <v>0</v>
      </c>
      <c r="J1178" s="21">
        <f t="shared" si="868"/>
        <v>0</v>
      </c>
      <c r="K1178" s="21">
        <f t="shared" si="868"/>
        <v>91.613421249999988</v>
      </c>
      <c r="L1178" s="21">
        <f t="shared" si="868"/>
        <v>146.58147399999999</v>
      </c>
      <c r="M1178" s="21">
        <f t="shared" si="868"/>
        <v>293.16294799999997</v>
      </c>
      <c r="N1178" s="21">
        <f t="shared" si="868"/>
        <v>293.16294799999997</v>
      </c>
      <c r="O1178" s="21">
        <f t="shared" si="868"/>
        <v>293.16294799999997</v>
      </c>
      <c r="P1178" s="21">
        <f t="shared" si="868"/>
        <v>293.16294799999997</v>
      </c>
      <c r="Q1178" s="21">
        <f t="shared" si="868"/>
        <v>293.16294799999997</v>
      </c>
      <c r="R1178" s="21">
        <f t="shared" si="868"/>
        <v>293.16294799999997</v>
      </c>
      <c r="S1178" s="21">
        <f t="shared" si="868"/>
        <v>293.16294799999997</v>
      </c>
      <c r="T1178" s="21">
        <f t="shared" si="868"/>
        <v>293.16294799999997</v>
      </c>
      <c r="U1178" s="21">
        <f t="shared" si="868"/>
        <v>293.16294799999997</v>
      </c>
      <c r="V1178" s="21">
        <f t="shared" si="868"/>
        <v>293.16294799999997</v>
      </c>
      <c r="W1178" s="21">
        <f t="shared" si="868"/>
        <v>293.16294799999997</v>
      </c>
      <c r="X1178" s="21">
        <f t="shared" si="868"/>
        <v>293.16294799999997</v>
      </c>
      <c r="Y1178" s="21">
        <f t="shared" si="868"/>
        <v>293.16294799999997</v>
      </c>
      <c r="Z1178" s="21">
        <f t="shared" si="868"/>
        <v>293.16294799999997</v>
      </c>
      <c r="AA1178" s="21">
        <f t="shared" si="868"/>
        <v>293.16294799999997</v>
      </c>
      <c r="AB1178" s="21">
        <f t="shared" si="868"/>
        <v>293.16294799999997</v>
      </c>
      <c r="AC1178" s="21">
        <f t="shared" si="868"/>
        <v>293.16294799999997</v>
      </c>
      <c r="AD1178" s="21">
        <f t="shared" si="868"/>
        <v>293.16294799999997</v>
      </c>
      <c r="AE1178" s="21">
        <f t="shared" si="868"/>
        <v>293.16294799999997</v>
      </c>
      <c r="AF1178" s="52"/>
    </row>
    <row r="1179" spans="2:32" x14ac:dyDescent="0.2">
      <c r="C1179" s="5" t="s">
        <v>120</v>
      </c>
      <c r="D1179" s="5"/>
      <c r="F1179" s="1" t="s">
        <v>55</v>
      </c>
      <c r="G1179" s="21">
        <f t="shared" si="867"/>
        <v>3011.2789445794592</v>
      </c>
      <c r="I1179" s="21">
        <f t="shared" ref="I1179:AE1179" si="869">I1015</f>
        <v>0</v>
      </c>
      <c r="J1179" s="21">
        <f t="shared" si="869"/>
        <v>0</v>
      </c>
      <c r="K1179" s="21">
        <f t="shared" si="869"/>
        <v>47.852836965524475</v>
      </c>
      <c r="L1179" s="21">
        <f t="shared" si="869"/>
        <v>73.395648131607246</v>
      </c>
      <c r="M1179" s="21">
        <f t="shared" si="869"/>
        <v>148.94539245333979</v>
      </c>
      <c r="N1179" s="21">
        <f t="shared" si="869"/>
        <v>148.94539245333979</v>
      </c>
      <c r="O1179" s="21">
        <f t="shared" si="869"/>
        <v>148.94539245333982</v>
      </c>
      <c r="P1179" s="21">
        <f t="shared" si="869"/>
        <v>148.94539245333982</v>
      </c>
      <c r="Q1179" s="21">
        <f t="shared" si="869"/>
        <v>149.43903092107712</v>
      </c>
      <c r="R1179" s="21">
        <f t="shared" si="869"/>
        <v>149.93266938881439</v>
      </c>
      <c r="S1179" s="21">
        <f t="shared" si="869"/>
        <v>150.42630785655166</v>
      </c>
      <c r="T1179" s="21">
        <f t="shared" si="869"/>
        <v>150.91994632428899</v>
      </c>
      <c r="U1179" s="21">
        <f t="shared" si="869"/>
        <v>150.91994632428899</v>
      </c>
      <c r="V1179" s="21">
        <f t="shared" si="869"/>
        <v>151.65736893002781</v>
      </c>
      <c r="W1179" s="21">
        <f t="shared" si="869"/>
        <v>153.21047100866781</v>
      </c>
      <c r="X1179" s="21">
        <f t="shared" si="869"/>
        <v>154.71789361440662</v>
      </c>
      <c r="Y1179" s="21">
        <f t="shared" si="869"/>
        <v>154.71789361440662</v>
      </c>
      <c r="Z1179" s="21">
        <f t="shared" si="869"/>
        <v>154.71789361440662</v>
      </c>
      <c r="AA1179" s="21">
        <f t="shared" si="869"/>
        <v>154.71789361440662</v>
      </c>
      <c r="AB1179" s="21">
        <f t="shared" si="869"/>
        <v>154.71789361440662</v>
      </c>
      <c r="AC1179" s="21">
        <f t="shared" si="869"/>
        <v>154.71789361440662</v>
      </c>
      <c r="AD1179" s="21">
        <f t="shared" si="869"/>
        <v>154.71789361440662</v>
      </c>
      <c r="AE1179" s="21">
        <f t="shared" si="869"/>
        <v>154.71789361440662</v>
      </c>
      <c r="AF1179" s="52"/>
    </row>
    <row r="1180" spans="2:32" x14ac:dyDescent="0.2">
      <c r="C1180" s="5" t="s">
        <v>444</v>
      </c>
      <c r="D1180" s="5"/>
      <c r="F1180" s="1" t="s">
        <v>55</v>
      </c>
      <c r="G1180" s="21">
        <f t="shared" si="867"/>
        <v>123.85824548003839</v>
      </c>
      <c r="I1180" s="21">
        <f t="shared" ref="I1180:AE1180" si="870">I1016</f>
        <v>0</v>
      </c>
      <c r="J1180" s="21">
        <f t="shared" si="870"/>
        <v>0</v>
      </c>
      <c r="K1180" s="21">
        <f t="shared" si="870"/>
        <v>2.2925483655322108</v>
      </c>
      <c r="L1180" s="21">
        <f t="shared" si="870"/>
        <v>3.1170691567822111</v>
      </c>
      <c r="M1180" s="21">
        <f t="shared" si="870"/>
        <v>6.2341383135644222</v>
      </c>
      <c r="N1180" s="21">
        <f t="shared" si="870"/>
        <v>6.2341383135644222</v>
      </c>
      <c r="O1180" s="21">
        <f t="shared" si="870"/>
        <v>6.2341383135644222</v>
      </c>
      <c r="P1180" s="21">
        <f t="shared" si="870"/>
        <v>6.2341383135644222</v>
      </c>
      <c r="Q1180" s="21">
        <f t="shared" si="870"/>
        <v>6.2341383135644222</v>
      </c>
      <c r="R1180" s="21">
        <f t="shared" si="870"/>
        <v>6.2341383135644222</v>
      </c>
      <c r="S1180" s="21">
        <f t="shared" si="870"/>
        <v>6.2341383135644222</v>
      </c>
      <c r="T1180" s="21">
        <f t="shared" si="870"/>
        <v>6.2341383135644222</v>
      </c>
      <c r="U1180" s="21">
        <f t="shared" si="870"/>
        <v>6.2341383135644222</v>
      </c>
      <c r="V1180" s="21">
        <f t="shared" si="870"/>
        <v>6.2341383135644222</v>
      </c>
      <c r="W1180" s="21">
        <f t="shared" si="870"/>
        <v>6.2341383135644222</v>
      </c>
      <c r="X1180" s="21">
        <f t="shared" si="870"/>
        <v>6.2341383135644222</v>
      </c>
      <c r="Y1180" s="21">
        <f t="shared" si="870"/>
        <v>6.2341383135644222</v>
      </c>
      <c r="Z1180" s="21">
        <f t="shared" si="870"/>
        <v>6.2341383135644222</v>
      </c>
      <c r="AA1180" s="21">
        <f t="shared" si="870"/>
        <v>6.2341383135644222</v>
      </c>
      <c r="AB1180" s="21">
        <f t="shared" si="870"/>
        <v>6.2341383135644222</v>
      </c>
      <c r="AC1180" s="21">
        <f t="shared" si="870"/>
        <v>6.2341383135644222</v>
      </c>
      <c r="AD1180" s="21">
        <f t="shared" si="870"/>
        <v>6.2341383135644222</v>
      </c>
      <c r="AE1180" s="21">
        <f t="shared" si="870"/>
        <v>6.2341383135644222</v>
      </c>
      <c r="AF1180" s="52"/>
    </row>
    <row r="1181" spans="2:32" x14ac:dyDescent="0.2">
      <c r="C1181" s="5" t="s">
        <v>471</v>
      </c>
      <c r="D1181" s="5"/>
      <c r="F1181" s="1" t="s">
        <v>55</v>
      </c>
      <c r="G1181" s="21">
        <f t="shared" si="867"/>
        <v>0</v>
      </c>
      <c r="I1181" s="21">
        <f t="shared" ref="I1181:AE1181" si="871">I1017</f>
        <v>0</v>
      </c>
      <c r="J1181" s="21">
        <f t="shared" si="871"/>
        <v>0</v>
      </c>
      <c r="K1181" s="21">
        <f t="shared" si="871"/>
        <v>0</v>
      </c>
      <c r="L1181" s="21">
        <f t="shared" si="871"/>
        <v>0</v>
      </c>
      <c r="M1181" s="21">
        <f t="shared" si="871"/>
        <v>0</v>
      </c>
      <c r="N1181" s="21">
        <f t="shared" si="871"/>
        <v>0</v>
      </c>
      <c r="O1181" s="21">
        <f t="shared" si="871"/>
        <v>0</v>
      </c>
      <c r="P1181" s="21">
        <f t="shared" si="871"/>
        <v>0</v>
      </c>
      <c r="Q1181" s="21">
        <f t="shared" si="871"/>
        <v>0</v>
      </c>
      <c r="R1181" s="21">
        <f t="shared" si="871"/>
        <v>0</v>
      </c>
      <c r="S1181" s="21">
        <f t="shared" si="871"/>
        <v>0</v>
      </c>
      <c r="T1181" s="21">
        <f t="shared" si="871"/>
        <v>0</v>
      </c>
      <c r="U1181" s="21">
        <f t="shared" si="871"/>
        <v>0</v>
      </c>
      <c r="V1181" s="21">
        <f t="shared" si="871"/>
        <v>0</v>
      </c>
      <c r="W1181" s="21">
        <f t="shared" si="871"/>
        <v>0</v>
      </c>
      <c r="X1181" s="21">
        <f t="shared" si="871"/>
        <v>0</v>
      </c>
      <c r="Y1181" s="21">
        <f t="shared" si="871"/>
        <v>0</v>
      </c>
      <c r="Z1181" s="21">
        <f t="shared" si="871"/>
        <v>0</v>
      </c>
      <c r="AA1181" s="21">
        <f t="shared" si="871"/>
        <v>0</v>
      </c>
      <c r="AB1181" s="21">
        <f t="shared" si="871"/>
        <v>0</v>
      </c>
      <c r="AC1181" s="21">
        <f t="shared" si="871"/>
        <v>0</v>
      </c>
      <c r="AD1181" s="21">
        <f t="shared" si="871"/>
        <v>0</v>
      </c>
      <c r="AE1181" s="21">
        <f t="shared" si="871"/>
        <v>0</v>
      </c>
      <c r="AF1181" s="52"/>
    </row>
    <row r="1182" spans="2:32" x14ac:dyDescent="0.2">
      <c r="C1182" s="5" t="s">
        <v>472</v>
      </c>
      <c r="D1182" s="5"/>
      <c r="F1182" s="1" t="s">
        <v>55</v>
      </c>
      <c r="G1182" s="21">
        <f t="shared" si="867"/>
        <v>71.537539464460735</v>
      </c>
      <c r="I1182" s="21">
        <f t="shared" ref="I1182:AE1182" si="872">I951</f>
        <v>0</v>
      </c>
      <c r="J1182" s="21">
        <f t="shared" si="872"/>
        <v>0</v>
      </c>
      <c r="K1182" s="21">
        <f t="shared" si="872"/>
        <v>0.39824532786748684</v>
      </c>
      <c r="L1182" s="21">
        <f t="shared" si="872"/>
        <v>0.85338284543032894</v>
      </c>
      <c r="M1182" s="21">
        <f t="shared" si="872"/>
        <v>2.8114364516465162</v>
      </c>
      <c r="N1182" s="21">
        <f t="shared" si="872"/>
        <v>3.748581935528688</v>
      </c>
      <c r="O1182" s="21">
        <f t="shared" si="872"/>
        <v>3.748581935528688</v>
      </c>
      <c r="P1182" s="21">
        <f t="shared" si="872"/>
        <v>3.748581935528688</v>
      </c>
      <c r="Q1182" s="21">
        <f t="shared" si="872"/>
        <v>3.748581935528688</v>
      </c>
      <c r="R1182" s="21">
        <f t="shared" si="872"/>
        <v>3.748581935528688</v>
      </c>
      <c r="S1182" s="21">
        <f t="shared" si="872"/>
        <v>3.748581935528688</v>
      </c>
      <c r="T1182" s="21">
        <f t="shared" si="872"/>
        <v>3.748581935528688</v>
      </c>
      <c r="U1182" s="21">
        <f t="shared" si="872"/>
        <v>3.748581935528688</v>
      </c>
      <c r="V1182" s="21">
        <f t="shared" si="872"/>
        <v>3.748581935528688</v>
      </c>
      <c r="W1182" s="21">
        <f t="shared" si="872"/>
        <v>3.748581935528688</v>
      </c>
      <c r="X1182" s="21">
        <f t="shared" si="872"/>
        <v>3.748581935528688</v>
      </c>
      <c r="Y1182" s="21">
        <f t="shared" si="872"/>
        <v>3.748581935528688</v>
      </c>
      <c r="Z1182" s="21">
        <f t="shared" si="872"/>
        <v>3.748581935528688</v>
      </c>
      <c r="AA1182" s="21">
        <f t="shared" si="872"/>
        <v>3.748581935528688</v>
      </c>
      <c r="AB1182" s="21">
        <f t="shared" si="872"/>
        <v>3.748581935528688</v>
      </c>
      <c r="AC1182" s="21">
        <f t="shared" si="872"/>
        <v>3.748581935528688</v>
      </c>
      <c r="AD1182" s="21">
        <f t="shared" si="872"/>
        <v>3.748581935528688</v>
      </c>
      <c r="AE1182" s="21">
        <f t="shared" si="872"/>
        <v>3.748581935528688</v>
      </c>
      <c r="AF1182" s="52"/>
    </row>
    <row r="1183" spans="2:32" x14ac:dyDescent="0.2">
      <c r="C1183" s="5" t="s">
        <v>776</v>
      </c>
      <c r="D1183" s="5"/>
      <c r="F1183" s="1" t="s">
        <v>55</v>
      </c>
      <c r="G1183" s="21">
        <f t="shared" si="867"/>
        <v>0</v>
      </c>
      <c r="H1183" s="21"/>
      <c r="I1183" s="21">
        <f t="shared" ref="I1183:AE1183" si="873">I1643</f>
        <v>0</v>
      </c>
      <c r="J1183" s="21">
        <f t="shared" si="873"/>
        <v>0</v>
      </c>
      <c r="K1183" s="21">
        <f t="shared" si="873"/>
        <v>0</v>
      </c>
      <c r="L1183" s="21">
        <f t="shared" si="873"/>
        <v>0</v>
      </c>
      <c r="M1183" s="21">
        <f t="shared" si="873"/>
        <v>0</v>
      </c>
      <c r="N1183" s="21">
        <f t="shared" si="873"/>
        <v>0</v>
      </c>
      <c r="O1183" s="21">
        <f t="shared" si="873"/>
        <v>0</v>
      </c>
      <c r="P1183" s="21">
        <f t="shared" si="873"/>
        <v>0</v>
      </c>
      <c r="Q1183" s="21">
        <f t="shared" si="873"/>
        <v>0</v>
      </c>
      <c r="R1183" s="21">
        <f t="shared" si="873"/>
        <v>0</v>
      </c>
      <c r="S1183" s="21">
        <f t="shared" si="873"/>
        <v>0</v>
      </c>
      <c r="T1183" s="21">
        <f t="shared" si="873"/>
        <v>0</v>
      </c>
      <c r="U1183" s="21">
        <f t="shared" si="873"/>
        <v>0</v>
      </c>
      <c r="V1183" s="21">
        <f t="shared" si="873"/>
        <v>0</v>
      </c>
      <c r="W1183" s="21">
        <f t="shared" si="873"/>
        <v>0</v>
      </c>
      <c r="X1183" s="21">
        <f t="shared" si="873"/>
        <v>0</v>
      </c>
      <c r="Y1183" s="21">
        <f t="shared" si="873"/>
        <v>0</v>
      </c>
      <c r="Z1183" s="21">
        <f t="shared" si="873"/>
        <v>0</v>
      </c>
      <c r="AA1183" s="21">
        <f t="shared" si="873"/>
        <v>0</v>
      </c>
      <c r="AB1183" s="21">
        <f t="shared" si="873"/>
        <v>0</v>
      </c>
      <c r="AC1183" s="21">
        <f t="shared" si="873"/>
        <v>0</v>
      </c>
      <c r="AD1183" s="21">
        <f t="shared" si="873"/>
        <v>0</v>
      </c>
      <c r="AE1183" s="21">
        <f t="shared" si="873"/>
        <v>0</v>
      </c>
      <c r="AF1183" s="52"/>
    </row>
    <row r="1184" spans="2:32" x14ac:dyDescent="0.2">
      <c r="C1184" s="9" t="s">
        <v>121</v>
      </c>
      <c r="D1184" s="5"/>
      <c r="F1184" s="9" t="s">
        <v>55</v>
      </c>
      <c r="G1184" s="44">
        <f t="shared" si="867"/>
        <v>2601.6161777260404</v>
      </c>
      <c r="I1184" s="44">
        <f>I1178-SUM(I1179:I1183)</f>
        <v>0</v>
      </c>
      <c r="J1184" s="44">
        <f t="shared" ref="J1184:AE1184" si="874">J1178-SUM(J1179:J1183)</f>
        <v>0</v>
      </c>
      <c r="K1184" s="44">
        <f t="shared" si="874"/>
        <v>41.069790591075815</v>
      </c>
      <c r="L1184" s="44">
        <f t="shared" si="874"/>
        <v>69.215373866180201</v>
      </c>
      <c r="M1184" s="44">
        <f t="shared" si="874"/>
        <v>135.17198078144924</v>
      </c>
      <c r="N1184" s="44">
        <f t="shared" si="874"/>
        <v>134.23483529756709</v>
      </c>
      <c r="O1184" s="44">
        <f t="shared" si="874"/>
        <v>134.23483529756706</v>
      </c>
      <c r="P1184" s="44">
        <f t="shared" si="874"/>
        <v>134.23483529756706</v>
      </c>
      <c r="Q1184" s="44">
        <f t="shared" si="874"/>
        <v>133.74119682982976</v>
      </c>
      <c r="R1184" s="44">
        <f t="shared" si="874"/>
        <v>133.24755836209249</v>
      </c>
      <c r="S1184" s="44">
        <f t="shared" si="874"/>
        <v>132.75391989435522</v>
      </c>
      <c r="T1184" s="44">
        <f t="shared" si="874"/>
        <v>132.26028142661789</v>
      </c>
      <c r="U1184" s="44">
        <f t="shared" si="874"/>
        <v>132.26028142661789</v>
      </c>
      <c r="V1184" s="44">
        <f t="shared" si="874"/>
        <v>131.52285882087907</v>
      </c>
      <c r="W1184" s="44">
        <f t="shared" si="874"/>
        <v>129.96975674223907</v>
      </c>
      <c r="X1184" s="44">
        <f t="shared" si="874"/>
        <v>128.46233413650026</v>
      </c>
      <c r="Y1184" s="44">
        <f t="shared" si="874"/>
        <v>128.46233413650026</v>
      </c>
      <c r="Z1184" s="44">
        <f t="shared" si="874"/>
        <v>128.46233413650026</v>
      </c>
      <c r="AA1184" s="44">
        <f t="shared" si="874"/>
        <v>128.46233413650026</v>
      </c>
      <c r="AB1184" s="44">
        <f t="shared" si="874"/>
        <v>128.46233413650026</v>
      </c>
      <c r="AC1184" s="44">
        <f t="shared" si="874"/>
        <v>128.46233413650026</v>
      </c>
      <c r="AD1184" s="44">
        <f t="shared" si="874"/>
        <v>128.46233413650026</v>
      </c>
      <c r="AE1184" s="44">
        <f t="shared" si="874"/>
        <v>128.46233413650026</v>
      </c>
      <c r="AF1184" s="52"/>
    </row>
    <row r="1185" spans="3:32" x14ac:dyDescent="0.2">
      <c r="C1185" s="5"/>
      <c r="D1185" s="5"/>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52"/>
    </row>
    <row r="1186" spans="3:32" x14ac:dyDescent="0.2">
      <c r="C1186" s="5" t="s">
        <v>277</v>
      </c>
      <c r="D1186" s="5"/>
      <c r="F1186" s="1" t="s">
        <v>55</v>
      </c>
      <c r="G1186" s="21">
        <f t="shared" ref="G1186:G1193" si="875">SUM(I1186:AE1186)</f>
        <v>225.02530259730761</v>
      </c>
      <c r="I1186" s="21">
        <f>I1172</f>
        <v>0</v>
      </c>
      <c r="J1186" s="21">
        <f t="shared" ref="J1186:AE1186" si="876">J1172</f>
        <v>0</v>
      </c>
      <c r="K1186" s="21">
        <f>K1172</f>
        <v>0</v>
      </c>
      <c r="L1186" s="21">
        <f t="shared" si="876"/>
        <v>0</v>
      </c>
      <c r="M1186" s="21">
        <f t="shared" si="876"/>
        <v>0</v>
      </c>
      <c r="N1186" s="21">
        <f t="shared" si="876"/>
        <v>0</v>
      </c>
      <c r="O1186" s="21">
        <f t="shared" si="876"/>
        <v>0</v>
      </c>
      <c r="P1186" s="21">
        <f t="shared" si="876"/>
        <v>2.9517146541198098</v>
      </c>
      <c r="Q1186" s="21">
        <f t="shared" si="876"/>
        <v>12.784087043419555</v>
      </c>
      <c r="R1186" s="21">
        <f t="shared" si="876"/>
        <v>13.664678679557877</v>
      </c>
      <c r="S1186" s="21">
        <f t="shared" si="876"/>
        <v>14.263469931556479</v>
      </c>
      <c r="T1186" s="21">
        <f t="shared" si="876"/>
        <v>14.665000914657275</v>
      </c>
      <c r="U1186" s="21">
        <f t="shared" si="876"/>
        <v>14.987192687190351</v>
      </c>
      <c r="V1186" s="21">
        <f t="shared" si="876"/>
        <v>15.124973637880583</v>
      </c>
      <c r="W1186" s="21">
        <f t="shared" si="876"/>
        <v>15.098028459063631</v>
      </c>
      <c r="X1186" s="21">
        <f t="shared" si="876"/>
        <v>15.029156946959558</v>
      </c>
      <c r="Y1186" s="21">
        <f t="shared" si="876"/>
        <v>15.10651519154475</v>
      </c>
      <c r="Z1186" s="21">
        <f t="shared" si="876"/>
        <v>15.160665962754384</v>
      </c>
      <c r="AA1186" s="21">
        <f t="shared" si="876"/>
        <v>15.198571502601128</v>
      </c>
      <c r="AB1186" s="21">
        <f t="shared" si="876"/>
        <v>15.225105380493847</v>
      </c>
      <c r="AC1186" s="21">
        <f t="shared" si="876"/>
        <v>15.243679095018754</v>
      </c>
      <c r="AD1186" s="21">
        <f t="shared" si="876"/>
        <v>15.256680695186185</v>
      </c>
      <c r="AE1186" s="21">
        <f t="shared" si="876"/>
        <v>15.265781815303388</v>
      </c>
      <c r="AF1186" s="52"/>
    </row>
    <row r="1187" spans="3:32" x14ac:dyDescent="0.2">
      <c r="C1187" s="5" t="s">
        <v>282</v>
      </c>
      <c r="D1187" s="5"/>
      <c r="F1187" s="1" t="s">
        <v>55</v>
      </c>
      <c r="G1187" s="21">
        <f t="shared" si="875"/>
        <v>475.1595402983159</v>
      </c>
      <c r="I1187" s="21">
        <f t="shared" ref="I1187:AE1187" si="877">-I1039</f>
        <v>0</v>
      </c>
      <c r="J1187" s="21">
        <f t="shared" si="877"/>
        <v>0</v>
      </c>
      <c r="K1187" s="21">
        <f t="shared" si="877"/>
        <v>41.069790591075815</v>
      </c>
      <c r="L1187" s="21">
        <f t="shared" si="877"/>
        <v>69.215373866180201</v>
      </c>
      <c r="M1187" s="21">
        <f t="shared" si="877"/>
        <v>109.58723008726</v>
      </c>
      <c r="N1187" s="21">
        <f t="shared" si="877"/>
        <v>76.711061061081992</v>
      </c>
      <c r="O1187" s="21">
        <f t="shared" si="877"/>
        <v>53.697742742757391</v>
      </c>
      <c r="P1187" s="21">
        <f t="shared" si="877"/>
        <v>37.588419919930182</v>
      </c>
      <c r="Q1187" s="21">
        <f t="shared" si="877"/>
        <v>26.311893943951127</v>
      </c>
      <c r="R1187" s="21">
        <f t="shared" si="877"/>
        <v>18.418325760765789</v>
      </c>
      <c r="S1187" s="21">
        <f t="shared" si="877"/>
        <v>12.892828032536054</v>
      </c>
      <c r="T1187" s="21">
        <f t="shared" si="877"/>
        <v>9.0249796227752377</v>
      </c>
      <c r="U1187" s="21">
        <f t="shared" si="877"/>
        <v>6.3174857359426664</v>
      </c>
      <c r="V1187" s="21">
        <f t="shared" si="877"/>
        <v>4.4222400151598666</v>
      </c>
      <c r="W1187" s="21">
        <f t="shared" si="877"/>
        <v>3.0955680106119066</v>
      </c>
      <c r="X1187" s="21">
        <f t="shared" si="877"/>
        <v>2.1668976074283344</v>
      </c>
      <c r="Y1187" s="21">
        <f t="shared" si="877"/>
        <v>1.5168283251998345</v>
      </c>
      <c r="Z1187" s="21">
        <f t="shared" si="877"/>
        <v>1.061779827639884</v>
      </c>
      <c r="AA1187" s="21">
        <f t="shared" si="877"/>
        <v>0.74324587934791886</v>
      </c>
      <c r="AB1187" s="21">
        <f t="shared" si="877"/>
        <v>0.52027211554354313</v>
      </c>
      <c r="AC1187" s="21">
        <f t="shared" si="877"/>
        <v>0.36419048088048028</v>
      </c>
      <c r="AD1187" s="21">
        <f t="shared" si="877"/>
        <v>0.25493333661633616</v>
      </c>
      <c r="AE1187" s="21">
        <f t="shared" si="877"/>
        <v>0.17845333563143531</v>
      </c>
      <c r="AF1187" s="52"/>
    </row>
    <row r="1188" spans="3:32" x14ac:dyDescent="0.2">
      <c r="C1188" s="20" t="s">
        <v>284</v>
      </c>
      <c r="D1188" s="20"/>
      <c r="E1188" s="9"/>
      <c r="F1188" s="9" t="s">
        <v>55</v>
      </c>
      <c r="G1188" s="44">
        <f t="shared" si="875"/>
        <v>1901.4313348304163</v>
      </c>
      <c r="H1188" s="9"/>
      <c r="I1188" s="44">
        <f>I1184-I1186-I1187</f>
        <v>0</v>
      </c>
      <c r="J1188" s="44">
        <f t="shared" ref="J1188:AE1188" si="878">J1184-J1186-J1187</f>
        <v>0</v>
      </c>
      <c r="K1188" s="44">
        <f>K1184-K1186-K1187</f>
        <v>0</v>
      </c>
      <c r="L1188" s="44">
        <f t="shared" si="878"/>
        <v>0</v>
      </c>
      <c r="M1188" s="44">
        <f t="shared" si="878"/>
        <v>25.584750694189239</v>
      </c>
      <c r="N1188" s="44">
        <f t="shared" si="878"/>
        <v>57.523774236485096</v>
      </c>
      <c r="O1188" s="44">
        <f t="shared" si="878"/>
        <v>80.537092554809675</v>
      </c>
      <c r="P1188" s="44">
        <f t="shared" si="878"/>
        <v>93.694700723517087</v>
      </c>
      <c r="Q1188" s="44">
        <f t="shared" si="878"/>
        <v>94.645215842459066</v>
      </c>
      <c r="R1188" s="44">
        <f t="shared" si="878"/>
        <v>101.16455392176883</v>
      </c>
      <c r="S1188" s="44">
        <f t="shared" si="878"/>
        <v>105.59762193026269</v>
      </c>
      <c r="T1188" s="44">
        <f t="shared" si="878"/>
        <v>108.57030088918539</v>
      </c>
      <c r="U1188" s="44">
        <f t="shared" si="878"/>
        <v>110.95560300348488</v>
      </c>
      <c r="V1188" s="44">
        <f t="shared" si="878"/>
        <v>111.97564516783861</v>
      </c>
      <c r="W1188" s="44">
        <f t="shared" si="878"/>
        <v>111.77616027256353</v>
      </c>
      <c r="X1188" s="44">
        <f t="shared" si="878"/>
        <v>111.26627958211236</v>
      </c>
      <c r="Y1188" s="44">
        <f t="shared" si="878"/>
        <v>111.83899061975568</v>
      </c>
      <c r="Z1188" s="44">
        <f t="shared" si="878"/>
        <v>112.239888346106</v>
      </c>
      <c r="AA1188" s="44">
        <f t="shared" si="878"/>
        <v>112.52051675455121</v>
      </c>
      <c r="AB1188" s="44">
        <f t="shared" si="878"/>
        <v>112.71695664046287</v>
      </c>
      <c r="AC1188" s="44">
        <f t="shared" si="878"/>
        <v>112.85446456060103</v>
      </c>
      <c r="AD1188" s="44">
        <f t="shared" si="878"/>
        <v>112.95072010469774</v>
      </c>
      <c r="AE1188" s="44">
        <f t="shared" si="878"/>
        <v>113.01809898556544</v>
      </c>
      <c r="AF1188" s="52"/>
    </row>
    <row r="1189" spans="3:32" x14ac:dyDescent="0.2">
      <c r="C1189" s="5" t="s">
        <v>283</v>
      </c>
      <c r="D1189" s="5"/>
      <c r="F1189" s="1" t="s">
        <v>55</v>
      </c>
      <c r="G1189" s="21">
        <f t="shared" si="875"/>
        <v>0</v>
      </c>
      <c r="I1189" s="21">
        <f t="shared" ref="I1189:AE1189" si="879">-I1103</f>
        <v>0</v>
      </c>
      <c r="J1189" s="21">
        <f t="shared" si="879"/>
        <v>0</v>
      </c>
      <c r="K1189" s="21">
        <f t="shared" si="879"/>
        <v>0</v>
      </c>
      <c r="L1189" s="21">
        <f t="shared" si="879"/>
        <v>0</v>
      </c>
      <c r="M1189" s="21">
        <f t="shared" si="879"/>
        <v>0</v>
      </c>
      <c r="N1189" s="21">
        <f t="shared" si="879"/>
        <v>0</v>
      </c>
      <c r="O1189" s="21">
        <f t="shared" si="879"/>
        <v>0</v>
      </c>
      <c r="P1189" s="21">
        <f t="shared" si="879"/>
        <v>0</v>
      </c>
      <c r="Q1189" s="21">
        <f t="shared" si="879"/>
        <v>0</v>
      </c>
      <c r="R1189" s="21">
        <f t="shared" si="879"/>
        <v>0</v>
      </c>
      <c r="S1189" s="21">
        <f t="shared" si="879"/>
        <v>0</v>
      </c>
      <c r="T1189" s="21">
        <f t="shared" si="879"/>
        <v>0</v>
      </c>
      <c r="U1189" s="21">
        <f t="shared" si="879"/>
        <v>0</v>
      </c>
      <c r="V1189" s="21">
        <f t="shared" si="879"/>
        <v>0</v>
      </c>
      <c r="W1189" s="21">
        <f t="shared" si="879"/>
        <v>0</v>
      </c>
      <c r="X1189" s="21">
        <f t="shared" si="879"/>
        <v>0</v>
      </c>
      <c r="Y1189" s="21">
        <f t="shared" si="879"/>
        <v>0</v>
      </c>
      <c r="Z1189" s="21">
        <f t="shared" si="879"/>
        <v>0</v>
      </c>
      <c r="AA1189" s="21">
        <f t="shared" si="879"/>
        <v>0</v>
      </c>
      <c r="AB1189" s="21">
        <f t="shared" si="879"/>
        <v>0</v>
      </c>
      <c r="AC1189" s="21">
        <f t="shared" si="879"/>
        <v>0</v>
      </c>
      <c r="AD1189" s="21">
        <f t="shared" si="879"/>
        <v>0</v>
      </c>
      <c r="AE1189" s="21">
        <f t="shared" si="879"/>
        <v>0</v>
      </c>
    </row>
    <row r="1190" spans="3:32" x14ac:dyDescent="0.2">
      <c r="C1190" s="9" t="s">
        <v>131</v>
      </c>
      <c r="D1190" s="9"/>
      <c r="E1190" s="2"/>
      <c r="F1190" s="9" t="s">
        <v>55</v>
      </c>
      <c r="G1190" s="44">
        <f t="shared" si="875"/>
        <v>1901.4313348304163</v>
      </c>
      <c r="I1190" s="44">
        <f>I1188-I1189</f>
        <v>0</v>
      </c>
      <c r="J1190" s="44">
        <f t="shared" ref="J1190:AE1190" si="880">J1188-J1189</f>
        <v>0</v>
      </c>
      <c r="K1190" s="44">
        <f>K1188-K1189</f>
        <v>0</v>
      </c>
      <c r="L1190" s="44">
        <f t="shared" si="880"/>
        <v>0</v>
      </c>
      <c r="M1190" s="44">
        <f t="shared" si="880"/>
        <v>25.584750694189239</v>
      </c>
      <c r="N1190" s="44">
        <f t="shared" si="880"/>
        <v>57.523774236485096</v>
      </c>
      <c r="O1190" s="44">
        <f t="shared" si="880"/>
        <v>80.537092554809675</v>
      </c>
      <c r="P1190" s="44">
        <f t="shared" si="880"/>
        <v>93.694700723517087</v>
      </c>
      <c r="Q1190" s="44">
        <f t="shared" si="880"/>
        <v>94.645215842459066</v>
      </c>
      <c r="R1190" s="44">
        <f t="shared" si="880"/>
        <v>101.16455392176883</v>
      </c>
      <c r="S1190" s="44">
        <f t="shared" si="880"/>
        <v>105.59762193026269</v>
      </c>
      <c r="T1190" s="44">
        <f t="shared" si="880"/>
        <v>108.57030088918539</v>
      </c>
      <c r="U1190" s="44">
        <f t="shared" si="880"/>
        <v>110.95560300348488</v>
      </c>
      <c r="V1190" s="44">
        <f t="shared" si="880"/>
        <v>111.97564516783861</v>
      </c>
      <c r="W1190" s="44">
        <f t="shared" si="880"/>
        <v>111.77616027256353</v>
      </c>
      <c r="X1190" s="44">
        <f t="shared" si="880"/>
        <v>111.26627958211236</v>
      </c>
      <c r="Y1190" s="44">
        <f t="shared" si="880"/>
        <v>111.83899061975568</v>
      </c>
      <c r="Z1190" s="44">
        <f t="shared" si="880"/>
        <v>112.239888346106</v>
      </c>
      <c r="AA1190" s="44">
        <f t="shared" si="880"/>
        <v>112.52051675455121</v>
      </c>
      <c r="AB1190" s="44">
        <f t="shared" si="880"/>
        <v>112.71695664046287</v>
      </c>
      <c r="AC1190" s="44">
        <f t="shared" si="880"/>
        <v>112.85446456060103</v>
      </c>
      <c r="AD1190" s="44">
        <f t="shared" si="880"/>
        <v>112.95072010469774</v>
      </c>
      <c r="AE1190" s="44">
        <f t="shared" si="880"/>
        <v>113.01809898556544</v>
      </c>
    </row>
    <row r="1191" spans="3:32" x14ac:dyDescent="0.2">
      <c r="C1191" s="5"/>
      <c r="D1191" s="5"/>
    </row>
    <row r="1192" spans="3:32" x14ac:dyDescent="0.2">
      <c r="C1192" s="1" t="s">
        <v>285</v>
      </c>
      <c r="D1192" s="5"/>
      <c r="F1192" s="1" t="s">
        <v>55</v>
      </c>
      <c r="G1192" s="21">
        <f t="shared" si="875"/>
        <v>285.21470022456248</v>
      </c>
      <c r="I1192" s="21">
        <f>I1190*$E$960</f>
        <v>0</v>
      </c>
      <c r="J1192" s="21">
        <f t="shared" ref="J1192:AD1192" si="881">J1190*$E$960</f>
        <v>0</v>
      </c>
      <c r="K1192" s="21">
        <f>K1190*$E$960</f>
        <v>0</v>
      </c>
      <c r="L1192" s="21">
        <f t="shared" si="881"/>
        <v>0</v>
      </c>
      <c r="M1192" s="21">
        <f t="shared" si="881"/>
        <v>3.8377126041283858</v>
      </c>
      <c r="N1192" s="21">
        <f t="shared" si="881"/>
        <v>8.6285661354727647</v>
      </c>
      <c r="O1192" s="21">
        <f t="shared" si="881"/>
        <v>12.080563883221451</v>
      </c>
      <c r="P1192" s="21">
        <f t="shared" si="881"/>
        <v>14.054205108527563</v>
      </c>
      <c r="Q1192" s="21">
        <f t="shared" si="881"/>
        <v>14.19678237636886</v>
      </c>
      <c r="R1192" s="21">
        <f t="shared" si="881"/>
        <v>15.174683088265324</v>
      </c>
      <c r="S1192" s="21">
        <f t="shared" si="881"/>
        <v>15.839643289539403</v>
      </c>
      <c r="T1192" s="21">
        <f t="shared" si="881"/>
        <v>16.285545133377809</v>
      </c>
      <c r="U1192" s="21">
        <f t="shared" si="881"/>
        <v>16.643340450522732</v>
      </c>
      <c r="V1192" s="21">
        <f t="shared" si="881"/>
        <v>16.796346775175792</v>
      </c>
      <c r="W1192" s="21">
        <f t="shared" si="881"/>
        <v>16.76642404088453</v>
      </c>
      <c r="X1192" s="21">
        <f t="shared" si="881"/>
        <v>16.689941937316853</v>
      </c>
      <c r="Y1192" s="21">
        <f t="shared" si="881"/>
        <v>16.775848592963349</v>
      </c>
      <c r="Z1192" s="21">
        <f t="shared" si="881"/>
        <v>16.835983251915899</v>
      </c>
      <c r="AA1192" s="21">
        <f t="shared" si="881"/>
        <v>16.878077513182681</v>
      </c>
      <c r="AB1192" s="21">
        <f t="shared" si="881"/>
        <v>16.90754349606943</v>
      </c>
      <c r="AC1192" s="21">
        <f t="shared" si="881"/>
        <v>16.928169684090154</v>
      </c>
      <c r="AD1192" s="21">
        <f t="shared" si="881"/>
        <v>16.942608015704661</v>
      </c>
      <c r="AE1192" s="21">
        <f>AE1190*$E$960</f>
        <v>16.952714847834816</v>
      </c>
    </row>
    <row r="1193" spans="3:32" x14ac:dyDescent="0.2">
      <c r="C1193" s="1" t="s">
        <v>286</v>
      </c>
      <c r="D1193" s="5"/>
      <c r="F1193" s="1" t="s">
        <v>55</v>
      </c>
      <c r="G1193" s="21">
        <f t="shared" si="875"/>
        <v>47.557593141478939</v>
      </c>
      <c r="I1193" s="21">
        <f t="shared" ref="I1193:AE1193" si="882">-I1094</f>
        <v>0</v>
      </c>
      <c r="J1193" s="21">
        <f t="shared" si="882"/>
        <v>0</v>
      </c>
      <c r="K1193" s="21">
        <f t="shared" si="882"/>
        <v>0</v>
      </c>
      <c r="L1193" s="21">
        <f t="shared" si="882"/>
        <v>0</v>
      </c>
      <c r="M1193" s="21">
        <f t="shared" si="882"/>
        <v>3.8377126041283858</v>
      </c>
      <c r="N1193" s="21">
        <f t="shared" si="882"/>
        <v>8.6285661354727647</v>
      </c>
      <c r="O1193" s="21">
        <f t="shared" si="882"/>
        <v>12.080563883221451</v>
      </c>
      <c r="P1193" s="21">
        <f t="shared" si="882"/>
        <v>14.054205108527563</v>
      </c>
      <c r="Q1193" s="21">
        <f t="shared" si="882"/>
        <v>8.9565454101287738</v>
      </c>
      <c r="R1193" s="21">
        <f t="shared" si="882"/>
        <v>0</v>
      </c>
      <c r="S1193" s="21">
        <f t="shared" si="882"/>
        <v>0</v>
      </c>
      <c r="T1193" s="21">
        <f t="shared" si="882"/>
        <v>0</v>
      </c>
      <c r="U1193" s="21">
        <f t="shared" si="882"/>
        <v>0</v>
      </c>
      <c r="V1193" s="21">
        <f t="shared" si="882"/>
        <v>0</v>
      </c>
      <c r="W1193" s="21">
        <f t="shared" si="882"/>
        <v>0</v>
      </c>
      <c r="X1193" s="21">
        <f t="shared" si="882"/>
        <v>0</v>
      </c>
      <c r="Y1193" s="21">
        <f t="shared" si="882"/>
        <v>0</v>
      </c>
      <c r="Z1193" s="21">
        <f t="shared" si="882"/>
        <v>0</v>
      </c>
      <c r="AA1193" s="21">
        <f t="shared" si="882"/>
        <v>0</v>
      </c>
      <c r="AB1193" s="21">
        <f t="shared" si="882"/>
        <v>0</v>
      </c>
      <c r="AC1193" s="21">
        <f t="shared" si="882"/>
        <v>0</v>
      </c>
      <c r="AD1193" s="21">
        <f t="shared" si="882"/>
        <v>0</v>
      </c>
      <c r="AE1193" s="21">
        <f t="shared" si="882"/>
        <v>0</v>
      </c>
    </row>
    <row r="1194" spans="3:32" x14ac:dyDescent="0.2">
      <c r="C1194" s="9" t="s">
        <v>132</v>
      </c>
      <c r="D1194" s="5"/>
      <c r="F1194" s="9" t="s">
        <v>55</v>
      </c>
      <c r="G1194" s="44">
        <f>SUM(I1194:AE1194)</f>
        <v>237.6571070830835</v>
      </c>
      <c r="I1194" s="44">
        <f>I1192-I1193</f>
        <v>0</v>
      </c>
      <c r="J1194" s="44">
        <f t="shared" ref="J1194:AE1194" si="883">J1192-J1193</f>
        <v>0</v>
      </c>
      <c r="K1194" s="44">
        <f>K1192-K1193</f>
        <v>0</v>
      </c>
      <c r="L1194" s="44">
        <f t="shared" si="883"/>
        <v>0</v>
      </c>
      <c r="M1194" s="44">
        <f t="shared" si="883"/>
        <v>0</v>
      </c>
      <c r="N1194" s="44">
        <f t="shared" si="883"/>
        <v>0</v>
      </c>
      <c r="O1194" s="44">
        <f t="shared" si="883"/>
        <v>0</v>
      </c>
      <c r="P1194" s="44">
        <f t="shared" si="883"/>
        <v>0</v>
      </c>
      <c r="Q1194" s="44">
        <f t="shared" si="883"/>
        <v>5.2402369662400865</v>
      </c>
      <c r="R1194" s="44">
        <f t="shared" si="883"/>
        <v>15.174683088265324</v>
      </c>
      <c r="S1194" s="44">
        <f t="shared" si="883"/>
        <v>15.839643289539403</v>
      </c>
      <c r="T1194" s="44">
        <f t="shared" si="883"/>
        <v>16.285545133377809</v>
      </c>
      <c r="U1194" s="44">
        <f t="shared" si="883"/>
        <v>16.643340450522732</v>
      </c>
      <c r="V1194" s="44">
        <f t="shared" si="883"/>
        <v>16.796346775175792</v>
      </c>
      <c r="W1194" s="44">
        <f t="shared" si="883"/>
        <v>16.76642404088453</v>
      </c>
      <c r="X1194" s="44">
        <f t="shared" si="883"/>
        <v>16.689941937316853</v>
      </c>
      <c r="Y1194" s="44">
        <f t="shared" si="883"/>
        <v>16.775848592963349</v>
      </c>
      <c r="Z1194" s="44">
        <f t="shared" si="883"/>
        <v>16.835983251915899</v>
      </c>
      <c r="AA1194" s="44">
        <f t="shared" si="883"/>
        <v>16.878077513182681</v>
      </c>
      <c r="AB1194" s="44">
        <f t="shared" si="883"/>
        <v>16.90754349606943</v>
      </c>
      <c r="AC1194" s="44">
        <f t="shared" si="883"/>
        <v>16.928169684090154</v>
      </c>
      <c r="AD1194" s="44">
        <f t="shared" si="883"/>
        <v>16.942608015704661</v>
      </c>
      <c r="AE1194" s="44">
        <f t="shared" si="883"/>
        <v>16.952714847834816</v>
      </c>
      <c r="AF1194" s="1"/>
    </row>
    <row r="1195" spans="3:32" x14ac:dyDescent="0.2">
      <c r="C1195" s="5"/>
      <c r="D1195" s="5"/>
      <c r="AF1195" s="1"/>
    </row>
    <row r="1196" spans="3:32" x14ac:dyDescent="0.2">
      <c r="C1196" s="20" t="s">
        <v>287</v>
      </c>
      <c r="D1196" s="5"/>
      <c r="F1196" s="9" t="s">
        <v>55</v>
      </c>
      <c r="G1196" s="44">
        <f>SUM(I1196:AE1196)</f>
        <v>225.02530259730761</v>
      </c>
      <c r="I1196" s="44">
        <f>I1172</f>
        <v>0</v>
      </c>
      <c r="J1196" s="44">
        <f t="shared" ref="J1196:AE1196" si="884">J1172</f>
        <v>0</v>
      </c>
      <c r="K1196" s="44">
        <f>K1172</f>
        <v>0</v>
      </c>
      <c r="L1196" s="44">
        <f t="shared" si="884"/>
        <v>0</v>
      </c>
      <c r="M1196" s="44">
        <f t="shared" si="884"/>
        <v>0</v>
      </c>
      <c r="N1196" s="44">
        <f t="shared" si="884"/>
        <v>0</v>
      </c>
      <c r="O1196" s="44">
        <f t="shared" si="884"/>
        <v>0</v>
      </c>
      <c r="P1196" s="44">
        <f t="shared" si="884"/>
        <v>2.9517146541198098</v>
      </c>
      <c r="Q1196" s="44">
        <f t="shared" si="884"/>
        <v>12.784087043419555</v>
      </c>
      <c r="R1196" s="44">
        <f t="shared" si="884"/>
        <v>13.664678679557877</v>
      </c>
      <c r="S1196" s="44">
        <f t="shared" si="884"/>
        <v>14.263469931556479</v>
      </c>
      <c r="T1196" s="44">
        <f>T1172</f>
        <v>14.665000914657275</v>
      </c>
      <c r="U1196" s="44">
        <f t="shared" si="884"/>
        <v>14.987192687190351</v>
      </c>
      <c r="V1196" s="44">
        <f t="shared" si="884"/>
        <v>15.124973637880583</v>
      </c>
      <c r="W1196" s="44">
        <f t="shared" si="884"/>
        <v>15.098028459063631</v>
      </c>
      <c r="X1196" s="44">
        <f t="shared" si="884"/>
        <v>15.029156946959558</v>
      </c>
      <c r="Y1196" s="44">
        <f t="shared" si="884"/>
        <v>15.10651519154475</v>
      </c>
      <c r="Z1196" s="44">
        <f t="shared" si="884"/>
        <v>15.160665962754384</v>
      </c>
      <c r="AA1196" s="44">
        <f t="shared" si="884"/>
        <v>15.198571502601128</v>
      </c>
      <c r="AB1196" s="44">
        <f t="shared" si="884"/>
        <v>15.225105380493847</v>
      </c>
      <c r="AC1196" s="44">
        <f t="shared" si="884"/>
        <v>15.243679095018754</v>
      </c>
      <c r="AD1196" s="44">
        <f t="shared" si="884"/>
        <v>15.256680695186185</v>
      </c>
      <c r="AE1196" s="44">
        <f t="shared" si="884"/>
        <v>15.265781815303388</v>
      </c>
      <c r="AF1196" s="1"/>
    </row>
    <row r="1197" spans="3:32" x14ac:dyDescent="0.2">
      <c r="C1197" s="5"/>
      <c r="D1197" s="5"/>
      <c r="AF1197" s="1"/>
    </row>
    <row r="1198" spans="3:32" x14ac:dyDescent="0.2">
      <c r="C1198" s="9" t="s">
        <v>288</v>
      </c>
      <c r="D1198" s="5"/>
      <c r="F1198" s="9" t="s">
        <v>55</v>
      </c>
      <c r="G1198" s="44">
        <f>SUM(I1198:AE1198)</f>
        <v>462.68240968039112</v>
      </c>
      <c r="I1198" s="44">
        <f>I1196+I1194</f>
        <v>0</v>
      </c>
      <c r="J1198" s="44">
        <f t="shared" ref="J1198:AE1198" si="885">J1196+J1194</f>
        <v>0</v>
      </c>
      <c r="K1198" s="44">
        <f>K1196+K1194</f>
        <v>0</v>
      </c>
      <c r="L1198" s="44">
        <f t="shared" si="885"/>
        <v>0</v>
      </c>
      <c r="M1198" s="44">
        <f t="shared" si="885"/>
        <v>0</v>
      </c>
      <c r="N1198" s="44">
        <f t="shared" si="885"/>
        <v>0</v>
      </c>
      <c r="O1198" s="44">
        <f t="shared" si="885"/>
        <v>0</v>
      </c>
      <c r="P1198" s="44">
        <f t="shared" si="885"/>
        <v>2.9517146541198098</v>
      </c>
      <c r="Q1198" s="44">
        <f t="shared" si="885"/>
        <v>18.024324009659644</v>
      </c>
      <c r="R1198" s="44">
        <f t="shared" si="885"/>
        <v>28.839361767823199</v>
      </c>
      <c r="S1198" s="44">
        <f t="shared" si="885"/>
        <v>30.103113221095882</v>
      </c>
      <c r="T1198" s="44">
        <f t="shared" si="885"/>
        <v>30.950546048035086</v>
      </c>
      <c r="U1198" s="44">
        <f t="shared" si="885"/>
        <v>31.630533137713083</v>
      </c>
      <c r="V1198" s="44">
        <f t="shared" si="885"/>
        <v>31.921320413056375</v>
      </c>
      <c r="W1198" s="44">
        <f t="shared" si="885"/>
        <v>31.864452499948161</v>
      </c>
      <c r="X1198" s="44">
        <f t="shared" si="885"/>
        <v>31.719098884276413</v>
      </c>
      <c r="Y1198" s="44">
        <f t="shared" si="885"/>
        <v>31.882363784508101</v>
      </c>
      <c r="Z1198" s="44">
        <f t="shared" si="885"/>
        <v>31.996649214670285</v>
      </c>
      <c r="AA1198" s="44">
        <f t="shared" si="885"/>
        <v>32.076649015783808</v>
      </c>
      <c r="AB1198" s="44">
        <f t="shared" si="885"/>
        <v>32.13264887656328</v>
      </c>
      <c r="AC1198" s="44">
        <f t="shared" si="885"/>
        <v>32.171848779108906</v>
      </c>
      <c r="AD1198" s="44">
        <f t="shared" si="885"/>
        <v>32.199288710890848</v>
      </c>
      <c r="AE1198" s="44">
        <f t="shared" si="885"/>
        <v>32.218496663138204</v>
      </c>
      <c r="AF1198" s="1"/>
    </row>
    <row r="1199" spans="3:32" x14ac:dyDescent="0.2">
      <c r="C1199" s="5"/>
      <c r="D1199" s="5"/>
      <c r="AF1199" s="1"/>
    </row>
    <row r="1200" spans="3:32" x14ac:dyDescent="0.2">
      <c r="C1200" s="22"/>
      <c r="D1200" s="22"/>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1"/>
    </row>
    <row r="1201" spans="2:32" x14ac:dyDescent="0.2">
      <c r="C1201" s="5"/>
      <c r="D1201" s="5"/>
      <c r="AF1201" s="1"/>
    </row>
    <row r="1202" spans="2:32" x14ac:dyDescent="0.2">
      <c r="B1202" s="24">
        <f>B1176+0.01</f>
        <v>9.129999999999999</v>
      </c>
      <c r="C1202" s="20" t="s">
        <v>290</v>
      </c>
      <c r="D1202" s="5"/>
      <c r="AF1202" s="1"/>
    </row>
    <row r="1203" spans="2:32" x14ac:dyDescent="0.2">
      <c r="C1203" s="5"/>
      <c r="D1203" s="5"/>
      <c r="AF1203" s="1"/>
    </row>
    <row r="1204" spans="2:32" x14ac:dyDescent="0.2">
      <c r="C1204" s="5" t="s">
        <v>114</v>
      </c>
      <c r="D1204" s="5"/>
      <c r="F1204" s="1" t="s">
        <v>55</v>
      </c>
      <c r="G1204" s="21">
        <f>SUM(I1204:AE1204)</f>
        <v>237.6571070830835</v>
      </c>
      <c r="H1204" s="21"/>
      <c r="I1204" s="21">
        <f t="shared" ref="I1204" si="886">I1194</f>
        <v>0</v>
      </c>
      <c r="J1204" s="21">
        <f t="shared" ref="J1204:AE1204" si="887">J1194</f>
        <v>0</v>
      </c>
      <c r="K1204" s="21">
        <f t="shared" si="887"/>
        <v>0</v>
      </c>
      <c r="L1204" s="21">
        <f t="shared" si="887"/>
        <v>0</v>
      </c>
      <c r="M1204" s="21">
        <f t="shared" si="887"/>
        <v>0</v>
      </c>
      <c r="N1204" s="21">
        <f t="shared" si="887"/>
        <v>0</v>
      </c>
      <c r="O1204" s="21">
        <f t="shared" si="887"/>
        <v>0</v>
      </c>
      <c r="P1204" s="21">
        <f t="shared" si="887"/>
        <v>0</v>
      </c>
      <c r="Q1204" s="21">
        <f t="shared" si="887"/>
        <v>5.2402369662400865</v>
      </c>
      <c r="R1204" s="21">
        <f t="shared" si="887"/>
        <v>15.174683088265324</v>
      </c>
      <c r="S1204" s="21">
        <f t="shared" si="887"/>
        <v>15.839643289539403</v>
      </c>
      <c r="T1204" s="21">
        <f t="shared" si="887"/>
        <v>16.285545133377809</v>
      </c>
      <c r="U1204" s="21">
        <f t="shared" si="887"/>
        <v>16.643340450522732</v>
      </c>
      <c r="V1204" s="21">
        <f t="shared" si="887"/>
        <v>16.796346775175792</v>
      </c>
      <c r="W1204" s="21">
        <f t="shared" si="887"/>
        <v>16.76642404088453</v>
      </c>
      <c r="X1204" s="21">
        <f t="shared" si="887"/>
        <v>16.689941937316853</v>
      </c>
      <c r="Y1204" s="21">
        <f t="shared" si="887"/>
        <v>16.775848592963349</v>
      </c>
      <c r="Z1204" s="21">
        <f t="shared" si="887"/>
        <v>16.835983251915899</v>
      </c>
      <c r="AA1204" s="21">
        <f t="shared" si="887"/>
        <v>16.878077513182681</v>
      </c>
      <c r="AB1204" s="21">
        <f t="shared" si="887"/>
        <v>16.90754349606943</v>
      </c>
      <c r="AC1204" s="21">
        <f t="shared" si="887"/>
        <v>16.928169684090154</v>
      </c>
      <c r="AD1204" s="21">
        <f t="shared" si="887"/>
        <v>16.942608015704661</v>
      </c>
      <c r="AE1204" s="21">
        <f t="shared" si="887"/>
        <v>16.952714847834816</v>
      </c>
      <c r="AF1204" s="1"/>
    </row>
    <row r="1205" spans="2:32" x14ac:dyDescent="0.2">
      <c r="B1205" s="1" t="s">
        <v>337</v>
      </c>
      <c r="C1205" s="5" t="s">
        <v>305</v>
      </c>
      <c r="D1205" s="5"/>
      <c r="F1205" s="1" t="s">
        <v>55</v>
      </c>
      <c r="G1205" s="21">
        <f>SUM(I1205:AE1205)</f>
        <v>225.02530259730761</v>
      </c>
      <c r="H1205" s="21"/>
      <c r="I1205" s="21">
        <f t="shared" ref="I1205" si="888">I1196</f>
        <v>0</v>
      </c>
      <c r="J1205" s="21">
        <f t="shared" ref="J1205:AE1205" si="889">J1196</f>
        <v>0</v>
      </c>
      <c r="K1205" s="21">
        <f t="shared" si="889"/>
        <v>0</v>
      </c>
      <c r="L1205" s="21">
        <f t="shared" si="889"/>
        <v>0</v>
      </c>
      <c r="M1205" s="21">
        <f t="shared" si="889"/>
        <v>0</v>
      </c>
      <c r="N1205" s="21">
        <f t="shared" si="889"/>
        <v>0</v>
      </c>
      <c r="O1205" s="21">
        <f t="shared" si="889"/>
        <v>0</v>
      </c>
      <c r="P1205" s="21">
        <f t="shared" si="889"/>
        <v>2.9517146541198098</v>
      </c>
      <c r="Q1205" s="21">
        <f t="shared" si="889"/>
        <v>12.784087043419555</v>
      </c>
      <c r="R1205" s="21">
        <f t="shared" si="889"/>
        <v>13.664678679557877</v>
      </c>
      <c r="S1205" s="21">
        <f t="shared" si="889"/>
        <v>14.263469931556479</v>
      </c>
      <c r="T1205" s="21">
        <f t="shared" si="889"/>
        <v>14.665000914657275</v>
      </c>
      <c r="U1205" s="21">
        <f t="shared" si="889"/>
        <v>14.987192687190351</v>
      </c>
      <c r="V1205" s="21">
        <f t="shared" si="889"/>
        <v>15.124973637880583</v>
      </c>
      <c r="W1205" s="21">
        <f t="shared" si="889"/>
        <v>15.098028459063631</v>
      </c>
      <c r="X1205" s="21">
        <f t="shared" si="889"/>
        <v>15.029156946959558</v>
      </c>
      <c r="Y1205" s="21">
        <f t="shared" si="889"/>
        <v>15.10651519154475</v>
      </c>
      <c r="Z1205" s="21">
        <f t="shared" si="889"/>
        <v>15.160665962754384</v>
      </c>
      <c r="AA1205" s="21">
        <f t="shared" si="889"/>
        <v>15.198571502601128</v>
      </c>
      <c r="AB1205" s="21">
        <f t="shared" si="889"/>
        <v>15.225105380493847</v>
      </c>
      <c r="AC1205" s="21">
        <f t="shared" si="889"/>
        <v>15.243679095018754</v>
      </c>
      <c r="AD1205" s="21">
        <f t="shared" si="889"/>
        <v>15.256680695186185</v>
      </c>
      <c r="AE1205" s="21">
        <f t="shared" si="889"/>
        <v>15.265781815303388</v>
      </c>
      <c r="AF1205" s="1"/>
    </row>
    <row r="1206" spans="2:32" x14ac:dyDescent="0.2">
      <c r="C1206" s="5" t="s">
        <v>118</v>
      </c>
      <c r="D1206" s="5"/>
      <c r="F1206" s="1" t="s">
        <v>55</v>
      </c>
      <c r="G1206" s="21">
        <f>SUM(I1206:AE1206)</f>
        <v>0</v>
      </c>
      <c r="I1206" s="21">
        <f t="shared" ref="I1206:AE1206" si="890">$E$1001*$E$1002*(I$2&gt;0)</f>
        <v>0</v>
      </c>
      <c r="J1206" s="21">
        <f t="shared" si="890"/>
        <v>0</v>
      </c>
      <c r="K1206" s="21">
        <f t="shared" si="890"/>
        <v>0</v>
      </c>
      <c r="L1206" s="21">
        <f t="shared" si="890"/>
        <v>0</v>
      </c>
      <c r="M1206" s="21">
        <f t="shared" si="890"/>
        <v>0</v>
      </c>
      <c r="N1206" s="21">
        <f t="shared" si="890"/>
        <v>0</v>
      </c>
      <c r="O1206" s="21">
        <f t="shared" si="890"/>
        <v>0</v>
      </c>
      <c r="P1206" s="21">
        <f t="shared" si="890"/>
        <v>0</v>
      </c>
      <c r="Q1206" s="21">
        <f t="shared" si="890"/>
        <v>0</v>
      </c>
      <c r="R1206" s="21">
        <f t="shared" si="890"/>
        <v>0</v>
      </c>
      <c r="S1206" s="21">
        <f t="shared" si="890"/>
        <v>0</v>
      </c>
      <c r="T1206" s="21">
        <f t="shared" si="890"/>
        <v>0</v>
      </c>
      <c r="U1206" s="21">
        <f t="shared" si="890"/>
        <v>0</v>
      </c>
      <c r="V1206" s="21">
        <f t="shared" si="890"/>
        <v>0</v>
      </c>
      <c r="W1206" s="21">
        <f t="shared" si="890"/>
        <v>0</v>
      </c>
      <c r="X1206" s="21">
        <f t="shared" si="890"/>
        <v>0</v>
      </c>
      <c r="Y1206" s="21">
        <f t="shared" si="890"/>
        <v>0</v>
      </c>
      <c r="Z1206" s="21">
        <f t="shared" si="890"/>
        <v>0</v>
      </c>
      <c r="AA1206" s="21">
        <f t="shared" si="890"/>
        <v>0</v>
      </c>
      <c r="AB1206" s="21">
        <f t="shared" si="890"/>
        <v>0</v>
      </c>
      <c r="AC1206" s="21">
        <f t="shared" si="890"/>
        <v>0</v>
      </c>
      <c r="AD1206" s="21">
        <f t="shared" si="890"/>
        <v>0</v>
      </c>
      <c r="AE1206" s="21">
        <f t="shared" si="890"/>
        <v>0</v>
      </c>
      <c r="AF1206" s="1"/>
    </row>
    <row r="1207" spans="2:32" x14ac:dyDescent="0.2">
      <c r="C1207" s="20" t="s">
        <v>45</v>
      </c>
      <c r="D1207" s="5"/>
      <c r="F1207" s="9" t="s">
        <v>55</v>
      </c>
      <c r="G1207" s="44">
        <f>SUM(I1207:AE1207)</f>
        <v>462.68240968039112</v>
      </c>
      <c r="I1207" s="44">
        <f>SUM(I1204:I1206)</f>
        <v>0</v>
      </c>
      <c r="J1207" s="44">
        <f t="shared" ref="J1207:AE1207" si="891">SUM(J1204:J1206)</f>
        <v>0</v>
      </c>
      <c r="K1207" s="44">
        <f t="shared" si="891"/>
        <v>0</v>
      </c>
      <c r="L1207" s="44">
        <f t="shared" si="891"/>
        <v>0</v>
      </c>
      <c r="M1207" s="44">
        <f t="shared" si="891"/>
        <v>0</v>
      </c>
      <c r="N1207" s="44">
        <f t="shared" si="891"/>
        <v>0</v>
      </c>
      <c r="O1207" s="44">
        <f t="shared" si="891"/>
        <v>0</v>
      </c>
      <c r="P1207" s="44">
        <f t="shared" si="891"/>
        <v>2.9517146541198098</v>
      </c>
      <c r="Q1207" s="44">
        <f t="shared" si="891"/>
        <v>18.024324009659644</v>
      </c>
      <c r="R1207" s="44">
        <f t="shared" si="891"/>
        <v>28.839361767823199</v>
      </c>
      <c r="S1207" s="44">
        <f t="shared" si="891"/>
        <v>30.103113221095882</v>
      </c>
      <c r="T1207" s="44">
        <f t="shared" si="891"/>
        <v>30.950546048035086</v>
      </c>
      <c r="U1207" s="44">
        <f t="shared" si="891"/>
        <v>31.630533137713083</v>
      </c>
      <c r="V1207" s="44">
        <f t="shared" si="891"/>
        <v>31.921320413056375</v>
      </c>
      <c r="W1207" s="44">
        <f t="shared" si="891"/>
        <v>31.864452499948161</v>
      </c>
      <c r="X1207" s="44">
        <f t="shared" si="891"/>
        <v>31.719098884276413</v>
      </c>
      <c r="Y1207" s="44">
        <f t="shared" si="891"/>
        <v>31.882363784508101</v>
      </c>
      <c r="Z1207" s="44">
        <f t="shared" si="891"/>
        <v>31.996649214670285</v>
      </c>
      <c r="AA1207" s="44">
        <f t="shared" si="891"/>
        <v>32.076649015783808</v>
      </c>
      <c r="AB1207" s="44">
        <f t="shared" si="891"/>
        <v>32.13264887656328</v>
      </c>
      <c r="AC1207" s="44">
        <f t="shared" si="891"/>
        <v>32.171848779108906</v>
      </c>
      <c r="AD1207" s="44">
        <f t="shared" si="891"/>
        <v>32.199288710890848</v>
      </c>
      <c r="AE1207" s="44">
        <f t="shared" si="891"/>
        <v>32.218496663138204</v>
      </c>
      <c r="AF1207" s="1"/>
    </row>
    <row r="1208" spans="2:32" x14ac:dyDescent="0.2">
      <c r="C1208" s="5"/>
      <c r="D1208" s="5"/>
      <c r="AF1208" s="1"/>
    </row>
    <row r="1209" spans="2:32" x14ac:dyDescent="0.2">
      <c r="B1209" s="6"/>
      <c r="C1209" s="6"/>
      <c r="D1209" s="6"/>
      <c r="E1209" s="7"/>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1"/>
    </row>
    <row r="1210" spans="2:32" x14ac:dyDescent="0.2">
      <c r="C1210" s="5"/>
      <c r="D1210" s="5"/>
      <c r="AF1210" s="1"/>
    </row>
    <row r="1211" spans="2:32" x14ac:dyDescent="0.2">
      <c r="B1211" s="8">
        <f>B955+1</f>
        <v>10</v>
      </c>
      <c r="C1211" s="20" t="s">
        <v>133</v>
      </c>
      <c r="D1211" s="20"/>
      <c r="AF1211" s="1"/>
    </row>
    <row r="1212" spans="2:32" x14ac:dyDescent="0.2">
      <c r="C1212" s="5"/>
      <c r="D1212" s="5"/>
      <c r="AF1212" s="1"/>
    </row>
    <row r="1213" spans="2:32" x14ac:dyDescent="0.2">
      <c r="C1213" s="1" t="s">
        <v>104</v>
      </c>
      <c r="G1213" s="21">
        <f t="shared" ref="G1213:G1221" si="892">SUM(I1213:AE1213)</f>
        <v>5808.2909072500015</v>
      </c>
      <c r="I1213" s="41">
        <f>SUMIF('Quarterly Plant Model'!$I$2:$V$2,'Plant model'!I$2,'Quarterly Plant Model'!$I1213:$V1213)</f>
        <v>0</v>
      </c>
      <c r="J1213" s="41">
        <f>SUMIF('Quarterly Plant Model'!$I$2:$V$2,'Plant model'!J$2,'Quarterly Plant Model'!$I1213:$V1213)</f>
        <v>0</v>
      </c>
      <c r="K1213" s="41">
        <f>SUMIF('Quarterly Plant Model'!$I$2:$V$2,'Plant model'!K$2,'Quarterly Plant Model'!$I1213:$V1213)</f>
        <v>91.613421249999988</v>
      </c>
      <c r="L1213" s="41">
        <f>SUMIF('Quarterly Plant Model'!$I$2:$V$2,'Plant model'!L$2,'Quarterly Plant Model'!$I1213:$V1213)</f>
        <v>146.58147399999999</v>
      </c>
      <c r="M1213" s="21">
        <f t="shared" ref="M1213:AE1213" si="893">M137</f>
        <v>293.16294799999997</v>
      </c>
      <c r="N1213" s="21">
        <f t="shared" si="893"/>
        <v>293.16294799999997</v>
      </c>
      <c r="O1213" s="21">
        <f t="shared" si="893"/>
        <v>293.16294799999997</v>
      </c>
      <c r="P1213" s="21">
        <f t="shared" si="893"/>
        <v>293.16294799999997</v>
      </c>
      <c r="Q1213" s="21">
        <f t="shared" si="893"/>
        <v>293.16294799999997</v>
      </c>
      <c r="R1213" s="21">
        <f t="shared" si="893"/>
        <v>293.16294799999997</v>
      </c>
      <c r="S1213" s="21">
        <f t="shared" si="893"/>
        <v>293.16294799999997</v>
      </c>
      <c r="T1213" s="21">
        <f t="shared" si="893"/>
        <v>293.16294799999997</v>
      </c>
      <c r="U1213" s="21">
        <f t="shared" si="893"/>
        <v>293.16294799999997</v>
      </c>
      <c r="V1213" s="21">
        <f t="shared" si="893"/>
        <v>293.16294799999997</v>
      </c>
      <c r="W1213" s="21">
        <f t="shared" si="893"/>
        <v>293.16294799999997</v>
      </c>
      <c r="X1213" s="21">
        <f t="shared" si="893"/>
        <v>293.16294799999997</v>
      </c>
      <c r="Y1213" s="21">
        <f t="shared" si="893"/>
        <v>293.16294799999997</v>
      </c>
      <c r="Z1213" s="21">
        <f t="shared" si="893"/>
        <v>293.16294799999997</v>
      </c>
      <c r="AA1213" s="21">
        <f t="shared" si="893"/>
        <v>293.16294799999997</v>
      </c>
      <c r="AB1213" s="21">
        <f t="shared" si="893"/>
        <v>293.16294799999997</v>
      </c>
      <c r="AC1213" s="21">
        <f t="shared" si="893"/>
        <v>293.16294799999997</v>
      </c>
      <c r="AD1213" s="21">
        <f t="shared" si="893"/>
        <v>293.16294799999997</v>
      </c>
      <c r="AE1213" s="21">
        <f t="shared" si="893"/>
        <v>293.16294799999997</v>
      </c>
      <c r="AF1213" s="1"/>
    </row>
    <row r="1214" spans="2:32" x14ac:dyDescent="0.2">
      <c r="C1214" s="1" t="s">
        <v>120</v>
      </c>
      <c r="G1214" s="21">
        <f t="shared" si="892"/>
        <v>-3011.2789445794592</v>
      </c>
      <c r="I1214" s="41">
        <f>SUMIF('Quarterly Plant Model'!$I$2:$V$2,'Plant model'!I$2,'Quarterly Plant Model'!$I1214:$V1214)</f>
        <v>0</v>
      </c>
      <c r="J1214" s="41">
        <f>SUMIF('Quarterly Plant Model'!$I$2:$V$2,'Plant model'!J$2,'Quarterly Plant Model'!$I1214:$V1214)</f>
        <v>0</v>
      </c>
      <c r="K1214" s="41">
        <f>SUMIF('Quarterly Plant Model'!$I$2:$V$2,'Plant model'!K$2,'Quarterly Plant Model'!$I1214:$V1214)</f>
        <v>-47.852836965524475</v>
      </c>
      <c r="L1214" s="41">
        <f>SUMIF('Quarterly Plant Model'!$I$2:$V$2,'Plant model'!L$2,'Quarterly Plant Model'!$I1214:$V1214)</f>
        <v>-73.395648131607246</v>
      </c>
      <c r="M1214" s="21">
        <f t="shared" ref="M1214:AE1214" si="894">-M791</f>
        <v>-148.94539245333979</v>
      </c>
      <c r="N1214" s="21">
        <f t="shared" si="894"/>
        <v>-148.94539245333979</v>
      </c>
      <c r="O1214" s="21">
        <f t="shared" si="894"/>
        <v>-148.94539245333982</v>
      </c>
      <c r="P1214" s="21">
        <f t="shared" si="894"/>
        <v>-148.94539245333982</v>
      </c>
      <c r="Q1214" s="21">
        <f t="shared" si="894"/>
        <v>-149.43903092107712</v>
      </c>
      <c r="R1214" s="21">
        <f t="shared" si="894"/>
        <v>-149.93266938881439</v>
      </c>
      <c r="S1214" s="21">
        <f t="shared" si="894"/>
        <v>-150.42630785655166</v>
      </c>
      <c r="T1214" s="21">
        <f t="shared" si="894"/>
        <v>-150.91994632428899</v>
      </c>
      <c r="U1214" s="21">
        <f t="shared" si="894"/>
        <v>-150.91994632428899</v>
      </c>
      <c r="V1214" s="21">
        <f t="shared" si="894"/>
        <v>-151.65736893002781</v>
      </c>
      <c r="W1214" s="21">
        <f t="shared" si="894"/>
        <v>-153.21047100866781</v>
      </c>
      <c r="X1214" s="21">
        <f t="shared" si="894"/>
        <v>-154.71789361440662</v>
      </c>
      <c r="Y1214" s="21">
        <f t="shared" si="894"/>
        <v>-154.71789361440662</v>
      </c>
      <c r="Z1214" s="21">
        <f t="shared" si="894"/>
        <v>-154.71789361440662</v>
      </c>
      <c r="AA1214" s="21">
        <f t="shared" si="894"/>
        <v>-154.71789361440662</v>
      </c>
      <c r="AB1214" s="21">
        <f t="shared" si="894"/>
        <v>-154.71789361440662</v>
      </c>
      <c r="AC1214" s="21">
        <f t="shared" si="894"/>
        <v>-154.71789361440662</v>
      </c>
      <c r="AD1214" s="21">
        <f t="shared" si="894"/>
        <v>-154.71789361440662</v>
      </c>
      <c r="AE1214" s="21">
        <f t="shared" si="894"/>
        <v>-154.71789361440662</v>
      </c>
    </row>
    <row r="1215" spans="2:32" x14ac:dyDescent="0.2">
      <c r="C1215" s="1" t="s">
        <v>444</v>
      </c>
      <c r="G1215" s="21">
        <f t="shared" si="892"/>
        <v>-123.85824548003839</v>
      </c>
      <c r="I1215" s="41">
        <f>SUMIF('Quarterly Plant Model'!$I$2:$V$2,'Plant model'!I$2,'Quarterly Plant Model'!$I1215:$V1215)</f>
        <v>0</v>
      </c>
      <c r="J1215" s="41">
        <f>SUMIF('Quarterly Plant Model'!$I$2:$V$2,'Plant model'!J$2,'Quarterly Plant Model'!$I1215:$V1215)</f>
        <v>0</v>
      </c>
      <c r="K1215" s="41">
        <f>SUMIF('Quarterly Plant Model'!$I$2:$V$2,'Plant model'!K$2,'Quarterly Plant Model'!$I1215:$V1215)</f>
        <v>-2.2925483655322112</v>
      </c>
      <c r="L1215" s="41">
        <f>SUMIF('Quarterly Plant Model'!$I$2:$V$2,'Plant model'!L$2,'Quarterly Plant Model'!$I1215:$V1215)</f>
        <v>-3.1170691567822111</v>
      </c>
      <c r="M1215" s="21">
        <f t="shared" ref="M1215:AE1215" si="895">-M804</f>
        <v>-6.2341383135644222</v>
      </c>
      <c r="N1215" s="21">
        <f t="shared" si="895"/>
        <v>-6.2341383135644222</v>
      </c>
      <c r="O1215" s="21">
        <f t="shared" si="895"/>
        <v>-6.2341383135644222</v>
      </c>
      <c r="P1215" s="21">
        <f t="shared" si="895"/>
        <v>-6.2341383135644222</v>
      </c>
      <c r="Q1215" s="21">
        <f t="shared" si="895"/>
        <v>-6.2341383135644222</v>
      </c>
      <c r="R1215" s="21">
        <f t="shared" si="895"/>
        <v>-6.2341383135644222</v>
      </c>
      <c r="S1215" s="21">
        <f t="shared" si="895"/>
        <v>-6.2341383135644222</v>
      </c>
      <c r="T1215" s="21">
        <f t="shared" si="895"/>
        <v>-6.2341383135644222</v>
      </c>
      <c r="U1215" s="21">
        <f t="shared" si="895"/>
        <v>-6.2341383135644222</v>
      </c>
      <c r="V1215" s="21">
        <f t="shared" si="895"/>
        <v>-6.2341383135644222</v>
      </c>
      <c r="W1215" s="21">
        <f t="shared" si="895"/>
        <v>-6.2341383135644222</v>
      </c>
      <c r="X1215" s="21">
        <f t="shared" si="895"/>
        <v>-6.2341383135644222</v>
      </c>
      <c r="Y1215" s="21">
        <f t="shared" si="895"/>
        <v>-6.2341383135644222</v>
      </c>
      <c r="Z1215" s="21">
        <f t="shared" si="895"/>
        <v>-6.2341383135644222</v>
      </c>
      <c r="AA1215" s="21">
        <f t="shared" si="895"/>
        <v>-6.2341383135644222</v>
      </c>
      <c r="AB1215" s="21">
        <f t="shared" si="895"/>
        <v>-6.2341383135644222</v>
      </c>
      <c r="AC1215" s="21">
        <f t="shared" si="895"/>
        <v>-6.2341383135644222</v>
      </c>
      <c r="AD1215" s="21">
        <f t="shared" si="895"/>
        <v>-6.2341383135644222</v>
      </c>
      <c r="AE1215" s="21">
        <f t="shared" si="895"/>
        <v>-6.2341383135644222</v>
      </c>
    </row>
    <row r="1216" spans="2:32" x14ac:dyDescent="0.2">
      <c r="C1216" s="1" t="s">
        <v>134</v>
      </c>
      <c r="G1216" s="21">
        <f t="shared" si="892"/>
        <v>-37.731628074363698</v>
      </c>
      <c r="I1216" s="41">
        <f>SUMIF('Quarterly Plant Model'!$I$2:$V$2,'Plant model'!I$2,'Quarterly Plant Model'!$I1216:$V1216)</f>
        <v>0</v>
      </c>
      <c r="J1216" s="41">
        <f>SUMIF('Quarterly Plant Model'!$I$2:$V$2,'Plant model'!J$2,'Quarterly Plant Model'!$I1216:$V1216)</f>
        <v>0</v>
      </c>
      <c r="K1216" s="41">
        <f>SUMIF('Quarterly Plant Model'!$I$2:$V$2,'Plant model'!K$2,'Quarterly Plant Model'!$I1216:$V1216)</f>
        <v>-14.160716131695661</v>
      </c>
      <c r="L1216" s="41">
        <f>SUMIF('Quarterly Plant Model'!$I$2:$V$2,'Plant model'!L$2,'Quarterly Plant Model'!$I1216:$V1216)</f>
        <v>-5.0492683477797407</v>
      </c>
      <c r="M1216" s="21">
        <f t="shared" ref="M1216:AE1216" si="896">-M937</f>
        <v>-18.996095745112967</v>
      </c>
      <c r="N1216" s="21">
        <f t="shared" si="896"/>
        <v>0</v>
      </c>
      <c r="O1216" s="21">
        <f t="shared" si="896"/>
        <v>0</v>
      </c>
      <c r="P1216" s="21">
        <f t="shared" si="896"/>
        <v>0</v>
      </c>
      <c r="Q1216" s="21">
        <f t="shared" si="896"/>
        <v>4.0573024745537367E-2</v>
      </c>
      <c r="R1216" s="21">
        <f t="shared" si="896"/>
        <v>4.0573024745530262E-2</v>
      </c>
      <c r="S1216" s="21">
        <f t="shared" si="896"/>
        <v>4.0573024745530262E-2</v>
      </c>
      <c r="T1216" s="21">
        <f t="shared" si="896"/>
        <v>4.0573024745526709E-2</v>
      </c>
      <c r="U1216" s="21">
        <f t="shared" si="896"/>
        <v>0</v>
      </c>
      <c r="V1216" s="21">
        <f t="shared" si="896"/>
        <v>6.0610077184019673E-2</v>
      </c>
      <c r="W1216" s="21">
        <f t="shared" si="896"/>
        <v>0.12765222564164702</v>
      </c>
      <c r="X1216" s="21">
        <f t="shared" si="896"/>
        <v>0.1238977484168835</v>
      </c>
      <c r="Y1216" s="21">
        <f t="shared" si="896"/>
        <v>0</v>
      </c>
      <c r="Z1216" s="21">
        <f t="shared" si="896"/>
        <v>0</v>
      </c>
      <c r="AA1216" s="21">
        <f t="shared" si="896"/>
        <v>0</v>
      </c>
      <c r="AB1216" s="21">
        <f t="shared" si="896"/>
        <v>0</v>
      </c>
      <c r="AC1216" s="21">
        <f t="shared" si="896"/>
        <v>0</v>
      </c>
      <c r="AD1216" s="21">
        <f t="shared" si="896"/>
        <v>0</v>
      </c>
      <c r="AE1216" s="21">
        <f t="shared" si="896"/>
        <v>0</v>
      </c>
    </row>
    <row r="1217" spans="3:32" x14ac:dyDescent="0.2">
      <c r="C1217" s="1" t="s">
        <v>135</v>
      </c>
      <c r="G1217" s="21">
        <f t="shared" si="892"/>
        <v>-462.68240968039112</v>
      </c>
      <c r="H1217" s="21"/>
      <c r="I1217" s="41">
        <f>SUMIF('Quarterly Plant Model'!$I$2:$V$2,'Plant model'!I$2,'Quarterly Plant Model'!$I1217:$V1217)</f>
        <v>0</v>
      </c>
      <c r="J1217" s="41">
        <f>SUMIF('Quarterly Plant Model'!$I$2:$V$2,'Plant model'!J$2,'Quarterly Plant Model'!$I1217:$V1217)</f>
        <v>0</v>
      </c>
      <c r="K1217" s="41">
        <f>SUMIF('Quarterly Plant Model'!$I$2:$V$2,'Plant model'!K$2,'Quarterly Plant Model'!$I1217:$V1217)</f>
        <v>0</v>
      </c>
      <c r="L1217" s="41">
        <f>SUMIF('Quarterly Plant Model'!$I$2:$V$2,'Plant model'!L$2,'Quarterly Plant Model'!$I1217:$V1217)</f>
        <v>0</v>
      </c>
      <c r="M1217" s="21">
        <f t="shared" ref="M1217:AE1217" si="897">-M1207</f>
        <v>0</v>
      </c>
      <c r="N1217" s="21">
        <f t="shared" si="897"/>
        <v>0</v>
      </c>
      <c r="O1217" s="21">
        <f t="shared" si="897"/>
        <v>0</v>
      </c>
      <c r="P1217" s="21">
        <f t="shared" si="897"/>
        <v>-2.9517146541198098</v>
      </c>
      <c r="Q1217" s="21">
        <f t="shared" si="897"/>
        <v>-18.024324009659644</v>
      </c>
      <c r="R1217" s="21">
        <f t="shared" si="897"/>
        <v>-28.839361767823199</v>
      </c>
      <c r="S1217" s="21">
        <f t="shared" si="897"/>
        <v>-30.103113221095882</v>
      </c>
      <c r="T1217" s="21">
        <f t="shared" si="897"/>
        <v>-30.950546048035086</v>
      </c>
      <c r="U1217" s="21">
        <f t="shared" si="897"/>
        <v>-31.630533137713083</v>
      </c>
      <c r="V1217" s="21">
        <f t="shared" si="897"/>
        <v>-31.921320413056375</v>
      </c>
      <c r="W1217" s="21">
        <f t="shared" si="897"/>
        <v>-31.864452499948161</v>
      </c>
      <c r="X1217" s="21">
        <f t="shared" si="897"/>
        <v>-31.719098884276413</v>
      </c>
      <c r="Y1217" s="21">
        <f t="shared" si="897"/>
        <v>-31.882363784508101</v>
      </c>
      <c r="Z1217" s="21">
        <f t="shared" si="897"/>
        <v>-31.996649214670285</v>
      </c>
      <c r="AA1217" s="21">
        <f t="shared" si="897"/>
        <v>-32.076649015783808</v>
      </c>
      <c r="AB1217" s="21">
        <f t="shared" si="897"/>
        <v>-32.13264887656328</v>
      </c>
      <c r="AC1217" s="21">
        <f t="shared" si="897"/>
        <v>-32.171848779108906</v>
      </c>
      <c r="AD1217" s="21">
        <f t="shared" si="897"/>
        <v>-32.199288710890848</v>
      </c>
      <c r="AE1217" s="21">
        <f t="shared" si="897"/>
        <v>-32.218496663138204</v>
      </c>
    </row>
    <row r="1218" spans="3:32" x14ac:dyDescent="0.2">
      <c r="C1218" s="9" t="s">
        <v>136</v>
      </c>
      <c r="D1218" s="9"/>
      <c r="E1218" s="9"/>
      <c r="F1218" s="9"/>
      <c r="G1218" s="44">
        <f t="shared" si="892"/>
        <v>2172.7396794357455</v>
      </c>
      <c r="H1218" s="9"/>
      <c r="I1218" s="44">
        <f>SUM(I1213:I1217)</f>
        <v>0</v>
      </c>
      <c r="J1218" s="44">
        <f t="shared" ref="J1218:AE1218" si="898">SUM(J1213:J1217)</f>
        <v>0</v>
      </c>
      <c r="K1218" s="44">
        <f>SUM(K1213:K1217)</f>
        <v>27.307319787247639</v>
      </c>
      <c r="L1218" s="44">
        <f t="shared" si="898"/>
        <v>65.019488363830789</v>
      </c>
      <c r="M1218" s="44">
        <f t="shared" si="898"/>
        <v>118.9873214879828</v>
      </c>
      <c r="N1218" s="44">
        <f t="shared" si="898"/>
        <v>137.98341723309576</v>
      </c>
      <c r="O1218" s="44">
        <f t="shared" si="898"/>
        <v>137.98341723309574</v>
      </c>
      <c r="P1218" s="44">
        <f t="shared" si="898"/>
        <v>135.03170257897594</v>
      </c>
      <c r="Q1218" s="44">
        <f t="shared" si="898"/>
        <v>119.50602778044433</v>
      </c>
      <c r="R1218" s="44">
        <f t="shared" si="898"/>
        <v>108.1973515545435</v>
      </c>
      <c r="S1218" s="44">
        <f t="shared" si="898"/>
        <v>106.43996163353354</v>
      </c>
      <c r="T1218" s="44">
        <f t="shared" si="898"/>
        <v>105.09889033885702</v>
      </c>
      <c r="U1218" s="44">
        <f t="shared" si="898"/>
        <v>104.37833022443348</v>
      </c>
      <c r="V1218" s="44">
        <f t="shared" si="898"/>
        <v>103.41073042053537</v>
      </c>
      <c r="W1218" s="44">
        <f t="shared" si="898"/>
        <v>101.98153840346123</v>
      </c>
      <c r="X1218" s="44">
        <f t="shared" si="898"/>
        <v>100.61571493616941</v>
      </c>
      <c r="Y1218" s="44">
        <f t="shared" si="898"/>
        <v>100.32855228752084</v>
      </c>
      <c r="Z1218" s="44">
        <f t="shared" si="898"/>
        <v>100.21426685735865</v>
      </c>
      <c r="AA1218" s="44">
        <f t="shared" si="898"/>
        <v>100.13426705624514</v>
      </c>
      <c r="AB1218" s="44">
        <f t="shared" si="898"/>
        <v>100.07826719546566</v>
      </c>
      <c r="AC1218" s="44">
        <f t="shared" si="898"/>
        <v>100.03906729292004</v>
      </c>
      <c r="AD1218" s="44">
        <f t="shared" si="898"/>
        <v>100.0116273611381</v>
      </c>
      <c r="AE1218" s="44">
        <f t="shared" si="898"/>
        <v>99.992419408890726</v>
      </c>
      <c r="AF1218" s="20"/>
    </row>
    <row r="1220" spans="3:32" x14ac:dyDescent="0.2">
      <c r="C1220" s="1" t="s">
        <v>360</v>
      </c>
      <c r="G1220" s="21">
        <f t="shared" si="892"/>
        <v>-475.57593141478935</v>
      </c>
      <c r="I1220" s="41">
        <f>SUMIF('Quarterly Plant Model'!$I$2:$V$2,'Plant model'!I$2,'Quarterly Plant Model'!$I1220:$V1220)</f>
        <v>-56.557541166478941</v>
      </c>
      <c r="J1220" s="41">
        <f>SUMIF('Quarterly Plant Model'!$I$2:$V$2,'Plant model'!J$2,'Quarterly Plant Model'!$I1220:$V1220)</f>
        <v>-267.7061937697539</v>
      </c>
      <c r="K1220" s="41">
        <f>SUMIF('Quarterly Plant Model'!$I$2:$V$2,'Plant model'!K$2,'Quarterly Plant Model'!$I1220:$V1220)</f>
        <v>-151.31219647855653</v>
      </c>
      <c r="L1220" s="41">
        <f>SUMIF('Quarterly Plant Model'!$I$2:$V$2,'Plant model'!L$2,'Quarterly Plant Model'!$I1220:$V1220)</f>
        <v>0</v>
      </c>
      <c r="M1220" s="21">
        <f t="shared" ref="M1220:AE1220" si="899">-M897</f>
        <v>0</v>
      </c>
      <c r="N1220" s="21">
        <f t="shared" si="899"/>
        <v>0</v>
      </c>
      <c r="O1220" s="21">
        <f t="shared" si="899"/>
        <v>0</v>
      </c>
      <c r="P1220" s="21">
        <f t="shared" si="899"/>
        <v>0</v>
      </c>
      <c r="Q1220" s="21">
        <f t="shared" si="899"/>
        <v>0</v>
      </c>
      <c r="R1220" s="21">
        <f t="shared" si="899"/>
        <v>0</v>
      </c>
      <c r="S1220" s="21">
        <f t="shared" si="899"/>
        <v>0</v>
      </c>
      <c r="T1220" s="21">
        <f t="shared" si="899"/>
        <v>0</v>
      </c>
      <c r="U1220" s="21">
        <f t="shared" si="899"/>
        <v>0</v>
      </c>
      <c r="V1220" s="21">
        <f t="shared" si="899"/>
        <v>0</v>
      </c>
      <c r="W1220" s="21">
        <f t="shared" si="899"/>
        <v>0</v>
      </c>
      <c r="X1220" s="21">
        <f t="shared" si="899"/>
        <v>0</v>
      </c>
      <c r="Y1220" s="21">
        <f t="shared" si="899"/>
        <v>0</v>
      </c>
      <c r="Z1220" s="21">
        <f t="shared" si="899"/>
        <v>0</v>
      </c>
      <c r="AA1220" s="21">
        <f t="shared" si="899"/>
        <v>0</v>
      </c>
      <c r="AB1220" s="21">
        <f t="shared" si="899"/>
        <v>0</v>
      </c>
      <c r="AC1220" s="21">
        <f t="shared" si="899"/>
        <v>0</v>
      </c>
      <c r="AD1220" s="21">
        <f t="shared" si="899"/>
        <v>0</v>
      </c>
      <c r="AE1220" s="21">
        <f t="shared" si="899"/>
        <v>0</v>
      </c>
    </row>
    <row r="1221" spans="3:32" x14ac:dyDescent="0.2">
      <c r="C1221" s="9" t="s">
        <v>331</v>
      </c>
      <c r="D1221" s="9"/>
      <c r="E1221" s="9"/>
      <c r="F1221" s="9"/>
      <c r="G1221" s="21">
        <f t="shared" si="892"/>
        <v>1697.1637480209565</v>
      </c>
      <c r="H1221" s="9"/>
      <c r="I1221" s="44">
        <f>I1218+I1220</f>
        <v>-56.557541166478941</v>
      </c>
      <c r="J1221" s="44">
        <f t="shared" ref="J1221:AE1221" si="900">J1218+J1220</f>
        <v>-267.7061937697539</v>
      </c>
      <c r="K1221" s="44">
        <f>K1218+K1220</f>
        <v>-124.00487669130889</v>
      </c>
      <c r="L1221" s="44">
        <f t="shared" si="900"/>
        <v>65.019488363830789</v>
      </c>
      <c r="M1221" s="44">
        <f t="shared" si="900"/>
        <v>118.9873214879828</v>
      </c>
      <c r="N1221" s="44">
        <f t="shared" si="900"/>
        <v>137.98341723309576</v>
      </c>
      <c r="O1221" s="44">
        <f t="shared" si="900"/>
        <v>137.98341723309574</v>
      </c>
      <c r="P1221" s="44">
        <f t="shared" si="900"/>
        <v>135.03170257897594</v>
      </c>
      <c r="Q1221" s="44">
        <f t="shared" si="900"/>
        <v>119.50602778044433</v>
      </c>
      <c r="R1221" s="44">
        <f t="shared" si="900"/>
        <v>108.1973515545435</v>
      </c>
      <c r="S1221" s="44">
        <f t="shared" si="900"/>
        <v>106.43996163353354</v>
      </c>
      <c r="T1221" s="44">
        <f t="shared" si="900"/>
        <v>105.09889033885702</v>
      </c>
      <c r="U1221" s="44">
        <f t="shared" si="900"/>
        <v>104.37833022443348</v>
      </c>
      <c r="V1221" s="44">
        <f t="shared" si="900"/>
        <v>103.41073042053537</v>
      </c>
      <c r="W1221" s="44">
        <f t="shared" si="900"/>
        <v>101.98153840346123</v>
      </c>
      <c r="X1221" s="44">
        <f t="shared" si="900"/>
        <v>100.61571493616941</v>
      </c>
      <c r="Y1221" s="44">
        <f t="shared" si="900"/>
        <v>100.32855228752084</v>
      </c>
      <c r="Z1221" s="44">
        <f t="shared" si="900"/>
        <v>100.21426685735865</v>
      </c>
      <c r="AA1221" s="44">
        <f t="shared" si="900"/>
        <v>100.13426705624514</v>
      </c>
      <c r="AB1221" s="44">
        <f t="shared" si="900"/>
        <v>100.07826719546566</v>
      </c>
      <c r="AC1221" s="44">
        <f t="shared" si="900"/>
        <v>100.03906729292004</v>
      </c>
      <c r="AD1221" s="44">
        <f t="shared" si="900"/>
        <v>100.0116273611381</v>
      </c>
      <c r="AE1221" s="44">
        <f t="shared" si="900"/>
        <v>99.992419408890726</v>
      </c>
      <c r="AF1221" s="20"/>
    </row>
    <row r="1223" spans="3:32" x14ac:dyDescent="0.2">
      <c r="C1223" s="1" t="s">
        <v>463</v>
      </c>
      <c r="G1223" s="21">
        <f t="shared" ref="G1223:G1241" si="901">SUM(I1223:AE1223)</f>
        <v>330</v>
      </c>
      <c r="I1223" s="41">
        <f>SUMIF('Quarterly Plant Model'!$I$2:$V$2,'Plant model'!I$2,'Quarterly Plant Model'!$I1223:$V1223)</f>
        <v>33</v>
      </c>
      <c r="J1223" s="41">
        <f>SUMIF('Quarterly Plant Model'!$I$2:$V$2,'Plant model'!J$2,'Quarterly Plant Model'!$I1223:$V1223)</f>
        <v>189.75</v>
      </c>
      <c r="K1223" s="41">
        <f>SUMIF('Quarterly Plant Model'!$I$2:$V$2,'Plant model'!K$2,'Quarterly Plant Model'!$I1223:$V1223)</f>
        <v>107.25</v>
      </c>
      <c r="L1223" s="41">
        <f>SUMIF('Quarterly Plant Model'!$I$2:$V$2,'Plant model'!L$2,'Quarterly Plant Model'!$I1223:$V1223)</f>
        <v>0</v>
      </c>
      <c r="M1223" s="21">
        <f t="shared" ref="M1223:AE1223" si="902">M1556</f>
        <v>0</v>
      </c>
      <c r="N1223" s="21">
        <f t="shared" si="902"/>
        <v>0</v>
      </c>
      <c r="O1223" s="21">
        <f t="shared" si="902"/>
        <v>0</v>
      </c>
      <c r="P1223" s="21">
        <f t="shared" si="902"/>
        <v>0</v>
      </c>
      <c r="Q1223" s="21">
        <f t="shared" si="902"/>
        <v>0</v>
      </c>
      <c r="R1223" s="21">
        <f t="shared" si="902"/>
        <v>0</v>
      </c>
      <c r="S1223" s="21">
        <f t="shared" si="902"/>
        <v>0</v>
      </c>
      <c r="T1223" s="21">
        <f t="shared" si="902"/>
        <v>0</v>
      </c>
      <c r="U1223" s="21">
        <f t="shared" si="902"/>
        <v>0</v>
      </c>
      <c r="V1223" s="21">
        <f t="shared" si="902"/>
        <v>0</v>
      </c>
      <c r="W1223" s="21">
        <f t="shared" si="902"/>
        <v>0</v>
      </c>
      <c r="X1223" s="21">
        <f t="shared" si="902"/>
        <v>0</v>
      </c>
      <c r="Y1223" s="21">
        <f t="shared" si="902"/>
        <v>0</v>
      </c>
      <c r="Z1223" s="21">
        <f t="shared" si="902"/>
        <v>0</v>
      </c>
      <c r="AA1223" s="21">
        <f t="shared" si="902"/>
        <v>0</v>
      </c>
      <c r="AB1223" s="21">
        <f t="shared" si="902"/>
        <v>0</v>
      </c>
      <c r="AC1223" s="21">
        <f t="shared" si="902"/>
        <v>0</v>
      </c>
      <c r="AD1223" s="21">
        <f t="shared" si="902"/>
        <v>0</v>
      </c>
      <c r="AE1223" s="21">
        <f t="shared" si="902"/>
        <v>0</v>
      </c>
    </row>
    <row r="1224" spans="3:32" x14ac:dyDescent="0.2">
      <c r="C1224" s="1" t="s">
        <v>464</v>
      </c>
      <c r="G1224" s="21">
        <f t="shared" si="901"/>
        <v>-312.63157894736844</v>
      </c>
      <c r="I1224" s="41">
        <f>SUMIF('Quarterly Plant Model'!$I$2:$V$2,'Plant model'!I$2,'Quarterly Plant Model'!$I1224:$V1224)</f>
        <v>0</v>
      </c>
      <c r="J1224" s="41">
        <f>SUMIF('Quarterly Plant Model'!$I$2:$V$2,'Plant model'!J$2,'Quarterly Plant Model'!$I1224:$V1224)</f>
        <v>0</v>
      </c>
      <c r="K1224" s="41">
        <f>SUMIF('Quarterly Plant Model'!$I$2:$V$2,'Plant model'!K$2,'Quarterly Plant Model'!$I1224:$V1224)</f>
        <v>-17.368421052631579</v>
      </c>
      <c r="L1224" s="41">
        <f>SUMIF('Quarterly Plant Model'!$I$2:$V$2,'Plant model'!L$2,'Quarterly Plant Model'!$I1224:$V1224)</f>
        <v>-17.368421052631579</v>
      </c>
      <c r="M1224" s="21">
        <f t="shared" ref="M1224:AE1224" si="903">M1557</f>
        <v>-34.736842105263158</v>
      </c>
      <c r="N1224" s="21">
        <f t="shared" si="903"/>
        <v>-34.736842105263158</v>
      </c>
      <c r="O1224" s="21">
        <f t="shared" si="903"/>
        <v>-34.736842105263158</v>
      </c>
      <c r="P1224" s="21">
        <f t="shared" si="903"/>
        <v>-34.736842105263158</v>
      </c>
      <c r="Q1224" s="21">
        <f t="shared" si="903"/>
        <v>-34.736842105263158</v>
      </c>
      <c r="R1224" s="21">
        <f t="shared" si="903"/>
        <v>-34.736842105263158</v>
      </c>
      <c r="S1224" s="21">
        <f t="shared" si="903"/>
        <v>-34.736842105263158</v>
      </c>
      <c r="T1224" s="21">
        <f t="shared" si="903"/>
        <v>-34.736842105263158</v>
      </c>
      <c r="U1224" s="21">
        <f t="shared" si="903"/>
        <v>0</v>
      </c>
      <c r="V1224" s="21">
        <f t="shared" si="903"/>
        <v>0</v>
      </c>
      <c r="W1224" s="21">
        <f t="shared" si="903"/>
        <v>0</v>
      </c>
      <c r="X1224" s="21">
        <f t="shared" si="903"/>
        <v>0</v>
      </c>
      <c r="Y1224" s="21">
        <f t="shared" si="903"/>
        <v>0</v>
      </c>
      <c r="Z1224" s="21">
        <f t="shared" si="903"/>
        <v>0</v>
      </c>
      <c r="AA1224" s="21">
        <f t="shared" si="903"/>
        <v>0</v>
      </c>
      <c r="AB1224" s="21">
        <f t="shared" si="903"/>
        <v>0</v>
      </c>
      <c r="AC1224" s="21">
        <f t="shared" si="903"/>
        <v>0</v>
      </c>
      <c r="AD1224" s="21">
        <f t="shared" si="903"/>
        <v>0</v>
      </c>
      <c r="AE1224" s="21">
        <f t="shared" si="903"/>
        <v>0</v>
      </c>
    </row>
    <row r="1225" spans="3:32" x14ac:dyDescent="0.2">
      <c r="C1225" s="1" t="s">
        <v>465</v>
      </c>
      <c r="G1225" s="21">
        <f t="shared" si="901"/>
        <v>-12.168536276993446</v>
      </c>
      <c r="I1225" s="41">
        <f>SUMIF('Quarterly Plant Model'!$I$2:$V$2,'Plant model'!I$2,'Quarterly Plant Model'!$I1225:$V1225)</f>
        <v>-9.8466004862175804</v>
      </c>
      <c r="J1225" s="41">
        <f>SUMIF('Quarterly Plant Model'!$I$2:$V$2,'Plant model'!J$2,'Quarterly Plant Model'!$I1225:$V1225)</f>
        <v>-2.0445363821433498</v>
      </c>
      <c r="K1225" s="41">
        <f>SUMIF('Quarterly Plant Model'!$I$2:$V$2,'Plant model'!K$2,'Quarterly Plant Model'!$I1225:$V1225)</f>
        <v>-0.27739940863251478</v>
      </c>
      <c r="L1225" s="41">
        <f>SUMIF('Quarterly Plant Model'!$I$2:$V$2,'Plant model'!L$2,'Quarterly Plant Model'!$I1225:$V1225)</f>
        <v>0</v>
      </c>
      <c r="M1225" s="21">
        <f t="shared" ref="M1225:AE1225" si="904">-M1571</f>
        <v>0</v>
      </c>
      <c r="N1225" s="21">
        <f t="shared" si="904"/>
        <v>0</v>
      </c>
      <c r="O1225" s="21">
        <f t="shared" si="904"/>
        <v>0</v>
      </c>
      <c r="P1225" s="21">
        <f t="shared" si="904"/>
        <v>0</v>
      </c>
      <c r="Q1225" s="21">
        <f t="shared" si="904"/>
        <v>0</v>
      </c>
      <c r="R1225" s="21">
        <f t="shared" si="904"/>
        <v>0</v>
      </c>
      <c r="S1225" s="21">
        <f t="shared" si="904"/>
        <v>0</v>
      </c>
      <c r="T1225" s="21">
        <f t="shared" si="904"/>
        <v>0</v>
      </c>
      <c r="U1225" s="21">
        <f t="shared" si="904"/>
        <v>0</v>
      </c>
      <c r="V1225" s="21">
        <f t="shared" si="904"/>
        <v>0</v>
      </c>
      <c r="W1225" s="21">
        <f t="shared" si="904"/>
        <v>0</v>
      </c>
      <c r="X1225" s="21">
        <f t="shared" si="904"/>
        <v>0</v>
      </c>
      <c r="Y1225" s="21">
        <f t="shared" si="904"/>
        <v>0</v>
      </c>
      <c r="Z1225" s="21">
        <f t="shared" si="904"/>
        <v>0</v>
      </c>
      <c r="AA1225" s="21">
        <f t="shared" si="904"/>
        <v>0</v>
      </c>
      <c r="AB1225" s="21">
        <f t="shared" si="904"/>
        <v>0</v>
      </c>
      <c r="AC1225" s="21">
        <f t="shared" si="904"/>
        <v>0</v>
      </c>
      <c r="AD1225" s="21">
        <f t="shared" si="904"/>
        <v>0</v>
      </c>
      <c r="AE1225" s="21">
        <f t="shared" si="904"/>
        <v>0</v>
      </c>
    </row>
    <row r="1226" spans="3:32" x14ac:dyDescent="0.2">
      <c r="C1226" s="1" t="s">
        <v>466</v>
      </c>
      <c r="E1226" s="21"/>
      <c r="G1226" s="21">
        <f t="shared" si="901"/>
        <v>0</v>
      </c>
      <c r="I1226" s="41">
        <f>SUMIF('Quarterly Plant Model'!$I$2:$V$2,'Plant model'!I$2,'Quarterly Plant Model'!$I1226:$V1226)</f>
        <v>0</v>
      </c>
      <c r="J1226" s="41">
        <f>SUMIF('Quarterly Plant Model'!$I$2:$V$2,'Plant model'!J$2,'Quarterly Plant Model'!$I1226:$V1226)</f>
        <v>0</v>
      </c>
      <c r="K1226" s="41">
        <f>SUMIF('Quarterly Plant Model'!$I$2:$V$2,'Plant model'!K$2,'Quarterly Plant Model'!$I1226:$V1226)</f>
        <v>0</v>
      </c>
      <c r="L1226" s="41">
        <f>SUMIF('Quarterly Plant Model'!$I$2:$V$2,'Plant model'!L$2,'Quarterly Plant Model'!$I1226:$V1226)</f>
        <v>0</v>
      </c>
      <c r="M1226" s="21">
        <f t="shared" ref="M1226:AE1226" si="905">-M1560</f>
        <v>0</v>
      </c>
      <c r="N1226" s="21">
        <f t="shared" si="905"/>
        <v>0</v>
      </c>
      <c r="O1226" s="21">
        <f t="shared" si="905"/>
        <v>0</v>
      </c>
      <c r="P1226" s="21">
        <f t="shared" si="905"/>
        <v>0</v>
      </c>
      <c r="Q1226" s="21">
        <f t="shared" si="905"/>
        <v>0</v>
      </c>
      <c r="R1226" s="21">
        <f t="shared" si="905"/>
        <v>0</v>
      </c>
      <c r="S1226" s="21">
        <f t="shared" si="905"/>
        <v>0</v>
      </c>
      <c r="T1226" s="21">
        <f t="shared" si="905"/>
        <v>0</v>
      </c>
      <c r="U1226" s="21">
        <f t="shared" si="905"/>
        <v>0</v>
      </c>
      <c r="V1226" s="21">
        <f t="shared" si="905"/>
        <v>0</v>
      </c>
      <c r="W1226" s="21">
        <f t="shared" si="905"/>
        <v>0</v>
      </c>
      <c r="X1226" s="21">
        <f t="shared" si="905"/>
        <v>0</v>
      </c>
      <c r="Y1226" s="21">
        <f t="shared" si="905"/>
        <v>0</v>
      </c>
      <c r="Z1226" s="21">
        <f t="shared" si="905"/>
        <v>0</v>
      </c>
      <c r="AA1226" s="21">
        <f t="shared" si="905"/>
        <v>0</v>
      </c>
      <c r="AB1226" s="21">
        <f t="shared" si="905"/>
        <v>0</v>
      </c>
      <c r="AC1226" s="21">
        <f t="shared" si="905"/>
        <v>0</v>
      </c>
      <c r="AD1226" s="21">
        <f t="shared" si="905"/>
        <v>0</v>
      </c>
      <c r="AE1226" s="21">
        <f t="shared" si="905"/>
        <v>0</v>
      </c>
    </row>
    <row r="1227" spans="3:32" x14ac:dyDescent="0.2">
      <c r="C1227" s="1" t="s">
        <v>467</v>
      </c>
      <c r="E1227" s="21"/>
      <c r="G1227" s="21">
        <f t="shared" si="901"/>
        <v>46.857274194108598</v>
      </c>
      <c r="I1227" s="41">
        <f>SUMIF('Quarterly Plant Model'!$I$2:$V$2,'Plant model'!I$2,'Quarterly Plant Model'!$I1227:$V1227)</f>
        <v>0</v>
      </c>
      <c r="J1227" s="41">
        <f>SUMIF('Quarterly Plant Model'!$I$2:$V$2,'Plant model'!J$2,'Quarterly Plant Model'!$I1227:$V1227)</f>
        <v>0</v>
      </c>
      <c r="K1227" s="41">
        <f>SUMIF('Quarterly Plant Model'!$I$2:$V$2,'Plant model'!K$2,'Quarterly Plant Model'!$I1227:$V1227)</f>
        <v>17.57147782279073</v>
      </c>
      <c r="L1227" s="41">
        <f>SUMIF('Quarterly Plant Model'!$I$2:$V$2,'Plant model'!L$2,'Quarterly Plant Model'!$I1227:$V1227)</f>
        <v>5.8571592742635694</v>
      </c>
      <c r="M1227" s="21">
        <f t="shared" ref="M1227:AE1227" si="906">M947</f>
        <v>23.428637097054299</v>
      </c>
      <c r="N1227" s="21">
        <f t="shared" si="906"/>
        <v>0</v>
      </c>
      <c r="O1227" s="21">
        <f t="shared" si="906"/>
        <v>0</v>
      </c>
      <c r="P1227" s="21">
        <f t="shared" si="906"/>
        <v>0</v>
      </c>
      <c r="Q1227" s="21">
        <f t="shared" si="906"/>
        <v>0</v>
      </c>
      <c r="R1227" s="21">
        <f t="shared" si="906"/>
        <v>0</v>
      </c>
      <c r="S1227" s="21">
        <f t="shared" si="906"/>
        <v>0</v>
      </c>
      <c r="T1227" s="21">
        <f t="shared" si="906"/>
        <v>0</v>
      </c>
      <c r="U1227" s="21">
        <f t="shared" si="906"/>
        <v>0</v>
      </c>
      <c r="V1227" s="21">
        <f t="shared" si="906"/>
        <v>0</v>
      </c>
      <c r="W1227" s="21">
        <f t="shared" si="906"/>
        <v>0</v>
      </c>
      <c r="X1227" s="21">
        <f t="shared" si="906"/>
        <v>0</v>
      </c>
      <c r="Y1227" s="21">
        <f t="shared" si="906"/>
        <v>0</v>
      </c>
      <c r="Z1227" s="21">
        <f t="shared" si="906"/>
        <v>0</v>
      </c>
      <c r="AA1227" s="21">
        <f t="shared" si="906"/>
        <v>0</v>
      </c>
      <c r="AB1227" s="21">
        <f t="shared" si="906"/>
        <v>0</v>
      </c>
      <c r="AC1227" s="21">
        <f t="shared" si="906"/>
        <v>0</v>
      </c>
      <c r="AD1227" s="21">
        <f t="shared" si="906"/>
        <v>0</v>
      </c>
      <c r="AE1227" s="21">
        <f t="shared" si="906"/>
        <v>0</v>
      </c>
    </row>
    <row r="1228" spans="3:32" x14ac:dyDescent="0.2">
      <c r="C1228" s="1" t="s">
        <v>468</v>
      </c>
      <c r="E1228" s="21"/>
      <c r="G1228" s="21">
        <f t="shared" si="901"/>
        <v>0</v>
      </c>
      <c r="I1228" s="41">
        <f>SUMIF('Quarterly Plant Model'!$I$2:$V$2,'Plant model'!I$2,'Quarterly Plant Model'!$I1228:$V1228)</f>
        <v>0</v>
      </c>
      <c r="J1228" s="41">
        <f>SUMIF('Quarterly Plant Model'!$I$2:$V$2,'Plant model'!J$2,'Quarterly Plant Model'!$I1228:$V1228)</f>
        <v>0</v>
      </c>
      <c r="K1228" s="41">
        <f>SUMIF('Quarterly Plant Model'!$I$2:$V$2,'Plant model'!K$2,'Quarterly Plant Model'!$I1228:$V1228)</f>
        <v>0</v>
      </c>
      <c r="L1228" s="41">
        <f>SUMIF('Quarterly Plant Model'!$I$2:$V$2,'Plant model'!L$2,'Quarterly Plant Model'!$I1228:$V1228)</f>
        <v>0</v>
      </c>
      <c r="M1228" s="21">
        <f t="shared" ref="M1228:AE1228" si="907">M948</f>
        <v>0</v>
      </c>
      <c r="N1228" s="21">
        <f t="shared" si="907"/>
        <v>0</v>
      </c>
      <c r="O1228" s="21">
        <f t="shared" si="907"/>
        <v>0</v>
      </c>
      <c r="P1228" s="21">
        <f t="shared" si="907"/>
        <v>0</v>
      </c>
      <c r="Q1228" s="21">
        <f t="shared" si="907"/>
        <v>0</v>
      </c>
      <c r="R1228" s="21">
        <f t="shared" si="907"/>
        <v>0</v>
      </c>
      <c r="S1228" s="21">
        <f t="shared" si="907"/>
        <v>0</v>
      </c>
      <c r="T1228" s="21">
        <f t="shared" si="907"/>
        <v>0</v>
      </c>
      <c r="U1228" s="21">
        <f t="shared" si="907"/>
        <v>0</v>
      </c>
      <c r="V1228" s="21">
        <f t="shared" si="907"/>
        <v>0</v>
      </c>
      <c r="W1228" s="21">
        <f t="shared" si="907"/>
        <v>0</v>
      </c>
      <c r="X1228" s="21">
        <f t="shared" si="907"/>
        <v>0</v>
      </c>
      <c r="Y1228" s="21">
        <f t="shared" si="907"/>
        <v>0</v>
      </c>
      <c r="Z1228" s="21">
        <f t="shared" si="907"/>
        <v>0</v>
      </c>
      <c r="AA1228" s="21">
        <f t="shared" si="907"/>
        <v>0</v>
      </c>
      <c r="AB1228" s="21">
        <f t="shared" si="907"/>
        <v>0</v>
      </c>
      <c r="AC1228" s="21">
        <f t="shared" si="907"/>
        <v>0</v>
      </c>
      <c r="AD1228" s="21">
        <f t="shared" si="907"/>
        <v>0</v>
      </c>
      <c r="AE1228" s="21">
        <f t="shared" si="907"/>
        <v>0</v>
      </c>
    </row>
    <row r="1229" spans="3:32" x14ac:dyDescent="0.2">
      <c r="C1229" s="1" t="s">
        <v>469</v>
      </c>
      <c r="E1229" s="21"/>
      <c r="G1229" s="21">
        <f t="shared" si="901"/>
        <v>-71.537539464460735</v>
      </c>
      <c r="I1229" s="41">
        <f>SUMIF('Quarterly Plant Model'!$I$2:$V$2,'Plant model'!I$2,'Quarterly Plant Model'!$I1229:$V1229)</f>
        <v>0</v>
      </c>
      <c r="J1229" s="41">
        <f>SUMIF('Quarterly Plant Model'!$I$2:$V$2,'Plant model'!J$2,'Quarterly Plant Model'!$I1229:$V1229)</f>
        <v>0</v>
      </c>
      <c r="K1229" s="41">
        <f>SUMIF('Quarterly Plant Model'!$I$2:$V$2,'Plant model'!K$2,'Quarterly Plant Model'!$I1229:$V1229)</f>
        <v>-0.39824532786748684</v>
      </c>
      <c r="L1229" s="41">
        <f>SUMIF('Quarterly Plant Model'!$I$2:$V$2,'Plant model'!L$2,'Quarterly Plant Model'!$I1229:$V1229)</f>
        <v>-0.85338284543032894</v>
      </c>
      <c r="M1229" s="21">
        <f t="shared" ref="M1229:AE1229" si="908">-M951</f>
        <v>-2.8114364516465162</v>
      </c>
      <c r="N1229" s="21">
        <f t="shared" si="908"/>
        <v>-3.748581935528688</v>
      </c>
      <c r="O1229" s="21">
        <f t="shared" si="908"/>
        <v>-3.748581935528688</v>
      </c>
      <c r="P1229" s="21">
        <f t="shared" si="908"/>
        <v>-3.748581935528688</v>
      </c>
      <c r="Q1229" s="21">
        <f t="shared" si="908"/>
        <v>-3.748581935528688</v>
      </c>
      <c r="R1229" s="21">
        <f t="shared" si="908"/>
        <v>-3.748581935528688</v>
      </c>
      <c r="S1229" s="21">
        <f t="shared" si="908"/>
        <v>-3.748581935528688</v>
      </c>
      <c r="T1229" s="21">
        <f t="shared" si="908"/>
        <v>-3.748581935528688</v>
      </c>
      <c r="U1229" s="21">
        <f t="shared" si="908"/>
        <v>-3.748581935528688</v>
      </c>
      <c r="V1229" s="21">
        <f t="shared" si="908"/>
        <v>-3.748581935528688</v>
      </c>
      <c r="W1229" s="21">
        <f t="shared" si="908"/>
        <v>-3.748581935528688</v>
      </c>
      <c r="X1229" s="21">
        <f t="shared" si="908"/>
        <v>-3.748581935528688</v>
      </c>
      <c r="Y1229" s="21">
        <f t="shared" si="908"/>
        <v>-3.748581935528688</v>
      </c>
      <c r="Z1229" s="21">
        <f t="shared" si="908"/>
        <v>-3.748581935528688</v>
      </c>
      <c r="AA1229" s="21">
        <f t="shared" si="908"/>
        <v>-3.748581935528688</v>
      </c>
      <c r="AB1229" s="21">
        <f t="shared" si="908"/>
        <v>-3.748581935528688</v>
      </c>
      <c r="AC1229" s="21">
        <f t="shared" si="908"/>
        <v>-3.748581935528688</v>
      </c>
      <c r="AD1229" s="21">
        <f t="shared" si="908"/>
        <v>-3.748581935528688</v>
      </c>
      <c r="AE1229" s="21">
        <f t="shared" si="908"/>
        <v>-3.748581935528688</v>
      </c>
    </row>
    <row r="1230" spans="3:32" x14ac:dyDescent="0.2">
      <c r="C1230" s="1" t="s">
        <v>769</v>
      </c>
      <c r="E1230" s="21"/>
      <c r="G1230" s="21">
        <f t="shared" si="901"/>
        <v>0</v>
      </c>
      <c r="I1230" s="41">
        <f>SUMIF('Quarterly Plant Model'!$I$2:$V$2,'Plant model'!I$2,'Quarterly Plant Model'!$I1230:$V1230)</f>
        <v>0</v>
      </c>
      <c r="J1230" s="41">
        <f>SUMIF('Quarterly Plant Model'!$I$2:$V$2,'Plant model'!J$2,'Quarterly Plant Model'!$I1230:$V1230)</f>
        <v>0</v>
      </c>
      <c r="K1230" s="41">
        <f>SUMIF('Quarterly Plant Model'!$I$2:$V$2,'Plant model'!K$2,'Quarterly Plant Model'!$I1230:$V1230)</f>
        <v>0</v>
      </c>
      <c r="L1230" s="41">
        <f>SUMIF('Quarterly Plant Model'!$I$2:$V$2,'Plant model'!L$2,'Quarterly Plant Model'!$I1230:$V1230)</f>
        <v>0</v>
      </c>
      <c r="M1230" s="21">
        <f t="shared" ref="M1230:AE1230" si="909">M1639</f>
        <v>0</v>
      </c>
      <c r="N1230" s="21">
        <f t="shared" si="909"/>
        <v>0</v>
      </c>
      <c r="O1230" s="21">
        <f t="shared" si="909"/>
        <v>0</v>
      </c>
      <c r="P1230" s="21">
        <f t="shared" si="909"/>
        <v>0</v>
      </c>
      <c r="Q1230" s="21">
        <f t="shared" si="909"/>
        <v>0</v>
      </c>
      <c r="R1230" s="21">
        <f t="shared" si="909"/>
        <v>0</v>
      </c>
      <c r="S1230" s="21">
        <f t="shared" si="909"/>
        <v>0</v>
      </c>
      <c r="T1230" s="21">
        <f t="shared" si="909"/>
        <v>0</v>
      </c>
      <c r="U1230" s="21">
        <f t="shared" si="909"/>
        <v>0</v>
      </c>
      <c r="V1230" s="21">
        <f t="shared" si="909"/>
        <v>0</v>
      </c>
      <c r="W1230" s="21">
        <f t="shared" si="909"/>
        <v>0</v>
      </c>
      <c r="X1230" s="21">
        <f t="shared" si="909"/>
        <v>0</v>
      </c>
      <c r="Y1230" s="21">
        <f t="shared" si="909"/>
        <v>0</v>
      </c>
      <c r="Z1230" s="21">
        <f t="shared" si="909"/>
        <v>0</v>
      </c>
      <c r="AA1230" s="21">
        <f t="shared" si="909"/>
        <v>0</v>
      </c>
      <c r="AB1230" s="21">
        <f t="shared" si="909"/>
        <v>0</v>
      </c>
      <c r="AC1230" s="21">
        <f t="shared" si="909"/>
        <v>0</v>
      </c>
      <c r="AD1230" s="21">
        <f t="shared" si="909"/>
        <v>0</v>
      </c>
      <c r="AE1230" s="21">
        <f t="shared" si="909"/>
        <v>0</v>
      </c>
    </row>
    <row r="1231" spans="3:32" x14ac:dyDescent="0.2">
      <c r="C1231" s="1" t="s">
        <v>770</v>
      </c>
      <c r="E1231" s="21"/>
      <c r="G1231" s="21">
        <f t="shared" si="901"/>
        <v>0</v>
      </c>
      <c r="I1231" s="41">
        <f>SUMIF('Quarterly Plant Model'!$I$2:$V$2,'Plant model'!I$2,'Quarterly Plant Model'!$I1231:$V1231)</f>
        <v>0</v>
      </c>
      <c r="J1231" s="41">
        <f>SUMIF('Quarterly Plant Model'!$I$2:$V$2,'Plant model'!J$2,'Quarterly Plant Model'!$I1231:$V1231)</f>
        <v>0</v>
      </c>
      <c r="K1231" s="41">
        <f>SUMIF('Quarterly Plant Model'!$I$2:$V$2,'Plant model'!K$2,'Quarterly Plant Model'!$I1231:$V1231)</f>
        <v>0</v>
      </c>
      <c r="L1231" s="41">
        <f>SUMIF('Quarterly Plant Model'!$I$2:$V$2,'Plant model'!L$2,'Quarterly Plant Model'!$I1231:$V1231)</f>
        <v>0</v>
      </c>
      <c r="M1231" s="21">
        <f t="shared" ref="M1231:AE1231" si="910">M1640</f>
        <v>0</v>
      </c>
      <c r="N1231" s="21">
        <f t="shared" si="910"/>
        <v>0</v>
      </c>
      <c r="O1231" s="21">
        <f t="shared" si="910"/>
        <v>0</v>
      </c>
      <c r="P1231" s="21">
        <f t="shared" si="910"/>
        <v>0</v>
      </c>
      <c r="Q1231" s="21">
        <f t="shared" si="910"/>
        <v>0</v>
      </c>
      <c r="R1231" s="21">
        <f t="shared" si="910"/>
        <v>0</v>
      </c>
      <c r="S1231" s="21">
        <f t="shared" si="910"/>
        <v>0</v>
      </c>
      <c r="T1231" s="21">
        <f t="shared" si="910"/>
        <v>0</v>
      </c>
      <c r="U1231" s="21">
        <f t="shared" si="910"/>
        <v>0</v>
      </c>
      <c r="V1231" s="21">
        <f t="shared" si="910"/>
        <v>0</v>
      </c>
      <c r="W1231" s="21">
        <f t="shared" si="910"/>
        <v>0</v>
      </c>
      <c r="X1231" s="21">
        <f t="shared" si="910"/>
        <v>0</v>
      </c>
      <c r="Y1231" s="21">
        <f t="shared" si="910"/>
        <v>0</v>
      </c>
      <c r="Z1231" s="21">
        <f t="shared" si="910"/>
        <v>0</v>
      </c>
      <c r="AA1231" s="21">
        <f t="shared" si="910"/>
        <v>0</v>
      </c>
      <c r="AB1231" s="21">
        <f t="shared" si="910"/>
        <v>0</v>
      </c>
      <c r="AC1231" s="21">
        <f t="shared" si="910"/>
        <v>0</v>
      </c>
      <c r="AD1231" s="21">
        <f t="shared" si="910"/>
        <v>0</v>
      </c>
      <c r="AE1231" s="21">
        <f t="shared" si="910"/>
        <v>0</v>
      </c>
    </row>
    <row r="1232" spans="3:32" x14ac:dyDescent="0.2">
      <c r="C1232" s="1" t="s">
        <v>771</v>
      </c>
      <c r="E1232" s="21"/>
      <c r="G1232" s="21">
        <f t="shared" si="901"/>
        <v>0</v>
      </c>
      <c r="I1232" s="41">
        <f>SUMIF('Quarterly Plant Model'!$I$2:$V$2,'Plant model'!I$2,'Quarterly Plant Model'!$I1232:$V1232)</f>
        <v>0</v>
      </c>
      <c r="J1232" s="41">
        <f>SUMIF('Quarterly Plant Model'!$I$2:$V$2,'Plant model'!J$2,'Quarterly Plant Model'!$I1232:$V1232)</f>
        <v>0</v>
      </c>
      <c r="K1232" s="41">
        <f>SUMIF('Quarterly Plant Model'!$I$2:$V$2,'Plant model'!K$2,'Quarterly Plant Model'!$I1232:$V1232)</f>
        <v>0</v>
      </c>
      <c r="L1232" s="41">
        <f>SUMIF('Quarterly Plant Model'!$I$2:$V$2,'Plant model'!L$2,'Quarterly Plant Model'!$I1232:$V1232)</f>
        <v>0</v>
      </c>
      <c r="M1232" s="21">
        <f t="shared" ref="M1232:AE1232" si="911">-M1643</f>
        <v>0</v>
      </c>
      <c r="N1232" s="21">
        <f t="shared" si="911"/>
        <v>0</v>
      </c>
      <c r="O1232" s="21">
        <f t="shared" si="911"/>
        <v>0</v>
      </c>
      <c r="P1232" s="21">
        <f t="shared" si="911"/>
        <v>0</v>
      </c>
      <c r="Q1232" s="21">
        <f t="shared" si="911"/>
        <v>0</v>
      </c>
      <c r="R1232" s="21">
        <f t="shared" si="911"/>
        <v>0</v>
      </c>
      <c r="S1232" s="21">
        <f t="shared" si="911"/>
        <v>0</v>
      </c>
      <c r="T1232" s="21">
        <f t="shared" si="911"/>
        <v>0</v>
      </c>
      <c r="U1232" s="21">
        <f t="shared" si="911"/>
        <v>0</v>
      </c>
      <c r="V1232" s="21">
        <f t="shared" si="911"/>
        <v>0</v>
      </c>
      <c r="W1232" s="21">
        <f t="shared" si="911"/>
        <v>0</v>
      </c>
      <c r="X1232" s="21">
        <f t="shared" si="911"/>
        <v>0</v>
      </c>
      <c r="Y1232" s="21">
        <f t="shared" si="911"/>
        <v>0</v>
      </c>
      <c r="Z1232" s="21">
        <f t="shared" si="911"/>
        <v>0</v>
      </c>
      <c r="AA1232" s="21">
        <f t="shared" si="911"/>
        <v>0</v>
      </c>
      <c r="AB1232" s="21">
        <f t="shared" si="911"/>
        <v>0</v>
      </c>
      <c r="AC1232" s="21">
        <f t="shared" si="911"/>
        <v>0</v>
      </c>
      <c r="AD1232" s="21">
        <f t="shared" si="911"/>
        <v>0</v>
      </c>
      <c r="AE1232" s="21">
        <f t="shared" si="911"/>
        <v>0</v>
      </c>
    </row>
    <row r="1233" spans="3:32" x14ac:dyDescent="0.2">
      <c r="C1233" s="1" t="s">
        <v>772</v>
      </c>
      <c r="E1233" s="21"/>
      <c r="G1233" s="21">
        <f t="shared" si="901"/>
        <v>-0.57980024272866759</v>
      </c>
      <c r="I1233" s="41">
        <f>SUMIF('Quarterly Plant Model'!$I$2:$V$2,'Plant model'!I$2,'Quarterly Plant Model'!$I1233:$V1233)</f>
        <v>-0.23192009709146702</v>
      </c>
      <c r="J1233" s="41">
        <f>SUMIF('Quarterly Plant Model'!$I$2:$V$2,'Plant model'!J$2,'Quarterly Plant Model'!$I1233:$V1233)</f>
        <v>-0.23192009709146702</v>
      </c>
      <c r="K1233" s="41">
        <f>SUMIF('Quarterly Plant Model'!$I$2:$V$2,'Plant model'!K$2,'Quarterly Plant Model'!$I1233:$V1233)</f>
        <v>-0.11596004854573351</v>
      </c>
      <c r="L1233" s="41">
        <f>SUMIF('Quarterly Plant Model'!$I$2:$V$2,'Plant model'!L$2,'Quarterly Plant Model'!$I1233:$V1233)</f>
        <v>0</v>
      </c>
      <c r="M1233" s="21">
        <f t="shared" ref="M1233:AE1233" si="912">-M1654</f>
        <v>0</v>
      </c>
      <c r="N1233" s="21">
        <f t="shared" si="912"/>
        <v>0</v>
      </c>
      <c r="O1233" s="21">
        <f t="shared" si="912"/>
        <v>0</v>
      </c>
      <c r="P1233" s="21">
        <f t="shared" si="912"/>
        <v>0</v>
      </c>
      <c r="Q1233" s="21">
        <f t="shared" si="912"/>
        <v>0</v>
      </c>
      <c r="R1233" s="21">
        <f t="shared" si="912"/>
        <v>0</v>
      </c>
      <c r="S1233" s="21">
        <f t="shared" si="912"/>
        <v>0</v>
      </c>
      <c r="T1233" s="21">
        <f t="shared" si="912"/>
        <v>0</v>
      </c>
      <c r="U1233" s="21">
        <f t="shared" si="912"/>
        <v>0</v>
      </c>
      <c r="V1233" s="21">
        <f t="shared" si="912"/>
        <v>0</v>
      </c>
      <c r="W1233" s="21">
        <f t="shared" si="912"/>
        <v>0</v>
      </c>
      <c r="X1233" s="21">
        <f t="shared" si="912"/>
        <v>0</v>
      </c>
      <c r="Y1233" s="21">
        <f t="shared" si="912"/>
        <v>0</v>
      </c>
      <c r="Z1233" s="21">
        <f t="shared" si="912"/>
        <v>0</v>
      </c>
      <c r="AA1233" s="21">
        <f t="shared" si="912"/>
        <v>0</v>
      </c>
      <c r="AB1233" s="21">
        <f t="shared" si="912"/>
        <v>0</v>
      </c>
      <c r="AC1233" s="21">
        <f t="shared" si="912"/>
        <v>0</v>
      </c>
      <c r="AD1233" s="21">
        <f t="shared" si="912"/>
        <v>0</v>
      </c>
      <c r="AE1233" s="21">
        <f t="shared" si="912"/>
        <v>0</v>
      </c>
    </row>
    <row r="1234" spans="3:32" x14ac:dyDescent="0.2">
      <c r="C1234" s="1" t="s">
        <v>956</v>
      </c>
      <c r="E1234" s="21"/>
      <c r="G1234" s="21">
        <f t="shared" si="901"/>
        <v>9.9999422500000001</v>
      </c>
      <c r="I1234" s="41">
        <f>SUMIF('Quarterly Plant Model'!$I$2:$V$2,'Plant model'!I$2,'Quarterly Plant Model'!$I1234:$V1234)</f>
        <v>9.9999422500000001</v>
      </c>
      <c r="J1234" s="41">
        <f>SUMIF('Quarterly Plant Model'!$I$2:$V$2,'Plant model'!J$2,'Quarterly Plant Model'!$I1234:$V1234)</f>
        <v>0</v>
      </c>
      <c r="K1234" s="41">
        <f>SUMIF('Quarterly Plant Model'!$I$2:$V$2,'Plant model'!K$2,'Quarterly Plant Model'!$I1234:$V1234)</f>
        <v>0</v>
      </c>
      <c r="L1234" s="41">
        <f>SUMIF('Quarterly Plant Model'!$I$2:$V$2,'Plant model'!L$2,'Quarterly Plant Model'!$I1234:$V1234)</f>
        <v>0</v>
      </c>
      <c r="M1234" s="52">
        <f>M1716</f>
        <v>0</v>
      </c>
      <c r="N1234" s="52">
        <f t="shared" ref="N1234:AE1234" si="913">N1716</f>
        <v>0</v>
      </c>
      <c r="O1234" s="52">
        <f t="shared" si="913"/>
        <v>0</v>
      </c>
      <c r="P1234" s="52">
        <f t="shared" si="913"/>
        <v>0</v>
      </c>
      <c r="Q1234" s="52">
        <f t="shared" si="913"/>
        <v>0</v>
      </c>
      <c r="R1234" s="52">
        <f t="shared" si="913"/>
        <v>0</v>
      </c>
      <c r="S1234" s="52">
        <f t="shared" si="913"/>
        <v>0</v>
      </c>
      <c r="T1234" s="52">
        <f t="shared" si="913"/>
        <v>0</v>
      </c>
      <c r="U1234" s="52">
        <f t="shared" si="913"/>
        <v>0</v>
      </c>
      <c r="V1234" s="52">
        <f t="shared" si="913"/>
        <v>0</v>
      </c>
      <c r="W1234" s="52">
        <f t="shared" si="913"/>
        <v>0</v>
      </c>
      <c r="X1234" s="52">
        <f t="shared" si="913"/>
        <v>0</v>
      </c>
      <c r="Y1234" s="52">
        <f t="shared" si="913"/>
        <v>0</v>
      </c>
      <c r="Z1234" s="52">
        <f t="shared" si="913"/>
        <v>0</v>
      </c>
      <c r="AA1234" s="52">
        <f t="shared" si="913"/>
        <v>0</v>
      </c>
      <c r="AB1234" s="52">
        <f t="shared" si="913"/>
        <v>0</v>
      </c>
      <c r="AC1234" s="52">
        <f t="shared" si="913"/>
        <v>0</v>
      </c>
      <c r="AD1234" s="52">
        <f t="shared" si="913"/>
        <v>0</v>
      </c>
      <c r="AE1234" s="52">
        <f t="shared" si="913"/>
        <v>0</v>
      </c>
    </row>
    <row r="1235" spans="3:32" x14ac:dyDescent="0.2">
      <c r="C1235" s="1" t="s">
        <v>957</v>
      </c>
      <c r="E1235" s="21"/>
      <c r="G1235" s="21">
        <f t="shared" si="901"/>
        <v>0</v>
      </c>
      <c r="I1235" s="41">
        <f>SUMIF('Quarterly Plant Model'!$I$2:$V$2,'Plant model'!I$2,'Quarterly Plant Model'!$I1235:$V1235)</f>
        <v>0</v>
      </c>
      <c r="J1235" s="41">
        <f>SUMIF('Quarterly Plant Model'!$I$2:$V$2,'Plant model'!J$2,'Quarterly Plant Model'!$I1235:$V1235)</f>
        <v>0</v>
      </c>
      <c r="K1235" s="41">
        <f>SUMIF('Quarterly Plant Model'!$I$2:$V$2,'Plant model'!K$2,'Quarterly Plant Model'!$I1235:$V1235)</f>
        <v>0</v>
      </c>
      <c r="L1235" s="41">
        <f>SUMIF('Quarterly Plant Model'!$I$2:$V$2,'Plant model'!L$2,'Quarterly Plant Model'!$I1235:$V1235)</f>
        <v>0</v>
      </c>
      <c r="M1235" s="52">
        <f>M1717</f>
        <v>0</v>
      </c>
      <c r="N1235" s="52">
        <f t="shared" ref="N1235:AE1235" si="914">N1717</f>
        <v>0</v>
      </c>
      <c r="O1235" s="52">
        <f t="shared" si="914"/>
        <v>0</v>
      </c>
      <c r="P1235" s="52">
        <f t="shared" si="914"/>
        <v>0</v>
      </c>
      <c r="Q1235" s="52">
        <f t="shared" si="914"/>
        <v>0</v>
      </c>
      <c r="R1235" s="52">
        <f t="shared" si="914"/>
        <v>0</v>
      </c>
      <c r="S1235" s="52">
        <f t="shared" si="914"/>
        <v>0</v>
      </c>
      <c r="T1235" s="52">
        <f t="shared" si="914"/>
        <v>0</v>
      </c>
      <c r="U1235" s="52">
        <f t="shared" si="914"/>
        <v>0</v>
      </c>
      <c r="V1235" s="52">
        <f t="shared" si="914"/>
        <v>0</v>
      </c>
      <c r="W1235" s="52">
        <f t="shared" si="914"/>
        <v>0</v>
      </c>
      <c r="X1235" s="52">
        <f t="shared" si="914"/>
        <v>0</v>
      </c>
      <c r="Y1235" s="52">
        <f t="shared" si="914"/>
        <v>0</v>
      </c>
      <c r="Z1235" s="52">
        <f t="shared" si="914"/>
        <v>0</v>
      </c>
      <c r="AA1235" s="52">
        <f t="shared" si="914"/>
        <v>0</v>
      </c>
      <c r="AB1235" s="52">
        <f t="shared" si="914"/>
        <v>0</v>
      </c>
      <c r="AC1235" s="52">
        <f t="shared" si="914"/>
        <v>0</v>
      </c>
      <c r="AD1235" s="52">
        <f t="shared" si="914"/>
        <v>0</v>
      </c>
      <c r="AE1235" s="52">
        <f t="shared" si="914"/>
        <v>0</v>
      </c>
    </row>
    <row r="1236" spans="3:32" x14ac:dyDescent="0.2">
      <c r="C1236" s="1" t="s">
        <v>958</v>
      </c>
      <c r="E1236" s="21"/>
      <c r="G1236" s="21">
        <f t="shared" si="901"/>
        <v>-6.1732363881177683</v>
      </c>
      <c r="I1236" s="41">
        <f>SUMIF('Quarterly Plant Model'!$I$2:$V$2,'Plant model'!I$2,'Quarterly Plant Model'!$I1236:$V1236)</f>
        <v>-1.0099932893521877</v>
      </c>
      <c r="J1236" s="41">
        <f>SUMIF('Quarterly Plant Model'!$I$2:$V$2,'Plant model'!J$2,'Quarterly Plant Model'!$I1236:$V1236)</f>
        <v>-1.2644676976568752</v>
      </c>
      <c r="K1236" s="41">
        <f>SUMIF('Quarterly Plant Model'!$I$2:$V$2,'Plant model'!K$2,'Quarterly Plant Model'!$I1236:$V1236)</f>
        <v>-1.2644676976568752</v>
      </c>
      <c r="L1236" s="41">
        <f>SUMIF('Quarterly Plant Model'!$I$2:$V$2,'Plant model'!L$2,'Quarterly Plant Model'!$I1236:$V1236)</f>
        <v>-0.63223384882843758</v>
      </c>
      <c r="M1236" s="52">
        <f>-M1720</f>
        <v>-0.10537230813807293</v>
      </c>
      <c r="N1236" s="52">
        <f t="shared" ref="N1236:AE1236" si="915">-N1720</f>
        <v>-0.10537230813807293</v>
      </c>
      <c r="O1236" s="52">
        <f t="shared" si="915"/>
        <v>-0.10537230813807293</v>
      </c>
      <c r="P1236" s="52">
        <f t="shared" si="915"/>
        <v>-0.10537230813807293</v>
      </c>
      <c r="Q1236" s="52">
        <f t="shared" si="915"/>
        <v>-0.10537230813807293</v>
      </c>
      <c r="R1236" s="52">
        <f t="shared" si="915"/>
        <v>-0.10537230813807293</v>
      </c>
      <c r="S1236" s="52">
        <f t="shared" si="915"/>
        <v>-0.10537230813807293</v>
      </c>
      <c r="T1236" s="52">
        <f t="shared" si="915"/>
        <v>-0.10537230813807293</v>
      </c>
      <c r="U1236" s="52">
        <f t="shared" si="915"/>
        <v>-0.10537230813807293</v>
      </c>
      <c r="V1236" s="52">
        <f t="shared" si="915"/>
        <v>-0.10537230813807293</v>
      </c>
      <c r="W1236" s="52">
        <f t="shared" si="915"/>
        <v>-0.10537230813807293</v>
      </c>
      <c r="X1236" s="52">
        <f t="shared" si="915"/>
        <v>-0.10537230813807293</v>
      </c>
      <c r="Y1236" s="52">
        <f t="shared" si="915"/>
        <v>-0.10537230813807293</v>
      </c>
      <c r="Z1236" s="52">
        <f t="shared" si="915"/>
        <v>-0.10537230813807293</v>
      </c>
      <c r="AA1236" s="52">
        <f t="shared" si="915"/>
        <v>-0.10537230813807293</v>
      </c>
      <c r="AB1236" s="52">
        <f t="shared" si="915"/>
        <v>-0.10537230813807293</v>
      </c>
      <c r="AC1236" s="52">
        <f t="shared" si="915"/>
        <v>-0.10537230813807293</v>
      </c>
      <c r="AD1236" s="52">
        <f t="shared" si="915"/>
        <v>-0.10537230813807293</v>
      </c>
      <c r="AE1236" s="52">
        <f t="shared" si="915"/>
        <v>-0.10537230813807293</v>
      </c>
    </row>
    <row r="1237" spans="3:32" x14ac:dyDescent="0.2">
      <c r="C1237" s="1" t="s">
        <v>959</v>
      </c>
      <c r="E1237" s="21"/>
      <c r="G1237" s="21">
        <f t="shared" si="901"/>
        <v>-0.35</v>
      </c>
      <c r="I1237" s="41">
        <f>SUMIF('Quarterly Plant Model'!$I$2:$V$2,'Plant model'!I$2,'Quarterly Plant Model'!$I1237:$V1237)</f>
        <v>-0.35</v>
      </c>
      <c r="J1237" s="41">
        <f>SUMIF('Quarterly Plant Model'!$I$2:$V$2,'Plant model'!J$2,'Quarterly Plant Model'!$I1237:$V1237)</f>
        <v>0</v>
      </c>
      <c r="K1237" s="41">
        <f>SUMIF('Quarterly Plant Model'!$I$2:$V$2,'Plant model'!K$2,'Quarterly Plant Model'!$I1237:$V1237)</f>
        <v>0</v>
      </c>
      <c r="L1237" s="41">
        <f>SUMIF('Quarterly Plant Model'!$I$2:$V$2,'Plant model'!L$2,'Quarterly Plant Model'!$I1237:$V1237)</f>
        <v>0</v>
      </c>
      <c r="M1237" s="52">
        <f>M1724</f>
        <v>0</v>
      </c>
      <c r="N1237" s="52">
        <f t="shared" ref="N1237:AE1237" si="916">N1724</f>
        <v>0</v>
      </c>
      <c r="O1237" s="52">
        <f t="shared" si="916"/>
        <v>0</v>
      </c>
      <c r="P1237" s="52">
        <f t="shared" si="916"/>
        <v>0</v>
      </c>
      <c r="Q1237" s="52">
        <f t="shared" si="916"/>
        <v>0</v>
      </c>
      <c r="R1237" s="52">
        <f t="shared" si="916"/>
        <v>0</v>
      </c>
      <c r="S1237" s="52">
        <f t="shared" si="916"/>
        <v>0</v>
      </c>
      <c r="T1237" s="52">
        <f t="shared" si="916"/>
        <v>0</v>
      </c>
      <c r="U1237" s="52">
        <f t="shared" si="916"/>
        <v>0</v>
      </c>
      <c r="V1237" s="52">
        <f t="shared" si="916"/>
        <v>0</v>
      </c>
      <c r="W1237" s="52">
        <f t="shared" si="916"/>
        <v>0</v>
      </c>
      <c r="X1237" s="52">
        <f t="shared" si="916"/>
        <v>0</v>
      </c>
      <c r="Y1237" s="52">
        <f t="shared" si="916"/>
        <v>0</v>
      </c>
      <c r="Z1237" s="52">
        <f>Z1724</f>
        <v>0</v>
      </c>
      <c r="AA1237" s="52">
        <f t="shared" si="916"/>
        <v>0</v>
      </c>
      <c r="AB1237" s="52">
        <f t="shared" si="916"/>
        <v>0</v>
      </c>
      <c r="AC1237" s="52">
        <f t="shared" si="916"/>
        <v>0</v>
      </c>
      <c r="AD1237" s="52">
        <f t="shared" si="916"/>
        <v>0</v>
      </c>
      <c r="AE1237" s="52">
        <f t="shared" si="916"/>
        <v>0</v>
      </c>
    </row>
    <row r="1238" spans="3:32" x14ac:dyDescent="0.2">
      <c r="C1238" s="1" t="s">
        <v>293</v>
      </c>
      <c r="G1238" s="21">
        <f ca="1">SUM(I1238:AE1238)</f>
        <v>0</v>
      </c>
      <c r="I1238" s="41">
        <f>SUMIF('Quarterly Plant Model'!$I$2:$V$2,'Plant model'!I$2,'Quarterly Plant Model'!$I1238:$V1238)</f>
        <v>24.996112789140177</v>
      </c>
      <c r="J1238" s="41">
        <f>SUMIF('Quarterly Plant Model'!$I$2:$V$2,'Plant model'!J$2,'Quarterly Plant Model'!$I1238:$V1238)</f>
        <v>81.497117946645588</v>
      </c>
      <c r="K1238" s="41">
        <f>SUMIF('Quarterly Plant Model'!$I$2:$V$2,'Plant model'!K$2,'Quarterly Plant Model'!$I1238:$V1238)</f>
        <v>38.329538430666908</v>
      </c>
      <c r="L1238" s="41">
        <f>SUMIF('Quarterly Plant Model'!$I$2:$V$2,'Plant model'!L$2,'Quarterly Plant Model'!$I1238:$V1238)</f>
        <v>0</v>
      </c>
      <c r="M1238" s="45">
        <f t="shared" ref="M1238:AE1238" ca="1" si="917">-MIN(SUM(M1223:M1238,M1221,M1246),0)</f>
        <v>0</v>
      </c>
      <c r="N1238" s="45">
        <f t="shared" ca="1" si="917"/>
        <v>0</v>
      </c>
      <c r="O1238" s="45">
        <f t="shared" ca="1" si="917"/>
        <v>0</v>
      </c>
      <c r="P1238" s="45">
        <f t="shared" ca="1" si="917"/>
        <v>0</v>
      </c>
      <c r="Q1238" s="45">
        <f t="shared" ca="1" si="917"/>
        <v>0</v>
      </c>
      <c r="R1238" s="45">
        <f t="shared" ca="1" si="917"/>
        <v>0</v>
      </c>
      <c r="S1238" s="45">
        <f t="shared" ca="1" si="917"/>
        <v>0</v>
      </c>
      <c r="T1238" s="45">
        <f t="shared" ca="1" si="917"/>
        <v>0</v>
      </c>
      <c r="U1238" s="45">
        <f t="shared" ca="1" si="917"/>
        <v>0</v>
      </c>
      <c r="V1238" s="45">
        <f t="shared" ca="1" si="917"/>
        <v>0</v>
      </c>
      <c r="W1238" s="45">
        <f t="shared" ca="1" si="917"/>
        <v>0</v>
      </c>
      <c r="X1238" s="45">
        <f t="shared" ca="1" si="917"/>
        <v>0</v>
      </c>
      <c r="Y1238" s="45">
        <f t="shared" ca="1" si="917"/>
        <v>0</v>
      </c>
      <c r="Z1238" s="45">
        <f t="shared" ca="1" si="917"/>
        <v>0</v>
      </c>
      <c r="AA1238" s="45">
        <f t="shared" ca="1" si="917"/>
        <v>0</v>
      </c>
      <c r="AB1238" s="45">
        <f t="shared" ca="1" si="917"/>
        <v>0</v>
      </c>
      <c r="AC1238" s="45">
        <f t="shared" ca="1" si="917"/>
        <v>0</v>
      </c>
      <c r="AD1238" s="45">
        <f t="shared" ca="1" si="917"/>
        <v>0</v>
      </c>
      <c r="AE1238" s="45">
        <f t="shared" ca="1" si="917"/>
        <v>0</v>
      </c>
    </row>
    <row r="1239" spans="3:32" x14ac:dyDescent="0.2">
      <c r="C1239" s="20" t="s">
        <v>137</v>
      </c>
      <c r="D1239" s="20"/>
      <c r="E1239" s="20"/>
      <c r="F1239" s="20"/>
      <c r="G1239" s="44">
        <f ca="1">SUM(I1239:AE1239)</f>
        <v>0</v>
      </c>
      <c r="H1239" s="20"/>
      <c r="I1239" s="54">
        <f t="shared" ref="I1239:L1239" si="918">SUM(I1223:I1238)</f>
        <v>56.557541166478934</v>
      </c>
      <c r="J1239" s="54">
        <f t="shared" si="918"/>
        <v>267.7061937697539</v>
      </c>
      <c r="K1239" s="54">
        <f t="shared" si="918"/>
        <v>143.72652271812345</v>
      </c>
      <c r="L1239" s="54">
        <f t="shared" si="918"/>
        <v>-12.996878472626776</v>
      </c>
      <c r="M1239" s="54">
        <f t="shared" ref="M1239:AE1239" ca="1" si="919">SUM(M1223:M1238)</f>
        <v>0</v>
      </c>
      <c r="N1239" s="54">
        <f t="shared" ca="1" si="919"/>
        <v>0</v>
      </c>
      <c r="O1239" s="54">
        <f t="shared" ca="1" si="919"/>
        <v>0</v>
      </c>
      <c r="P1239" s="54">
        <f t="shared" ca="1" si="919"/>
        <v>0</v>
      </c>
      <c r="Q1239" s="54">
        <f t="shared" ca="1" si="919"/>
        <v>0</v>
      </c>
      <c r="R1239" s="54">
        <f t="shared" ca="1" si="919"/>
        <v>0</v>
      </c>
      <c r="S1239" s="54">
        <f t="shared" ca="1" si="919"/>
        <v>0</v>
      </c>
      <c r="T1239" s="54">
        <f t="shared" ca="1" si="919"/>
        <v>0</v>
      </c>
      <c r="U1239" s="54">
        <f t="shared" ca="1" si="919"/>
        <v>0</v>
      </c>
      <c r="V1239" s="54">
        <f t="shared" ca="1" si="919"/>
        <v>0</v>
      </c>
      <c r="W1239" s="54">
        <f t="shared" ca="1" si="919"/>
        <v>0</v>
      </c>
      <c r="X1239" s="54">
        <f t="shared" ca="1" si="919"/>
        <v>0</v>
      </c>
      <c r="Y1239" s="54">
        <f t="shared" ca="1" si="919"/>
        <v>0</v>
      </c>
      <c r="Z1239" s="54">
        <f t="shared" ca="1" si="919"/>
        <v>0</v>
      </c>
      <c r="AA1239" s="54">
        <f t="shared" ca="1" si="919"/>
        <v>0</v>
      </c>
      <c r="AB1239" s="54">
        <f t="shared" ca="1" si="919"/>
        <v>0</v>
      </c>
      <c r="AC1239" s="54">
        <f t="shared" ca="1" si="919"/>
        <v>0</v>
      </c>
      <c r="AD1239" s="54">
        <f t="shared" ca="1" si="919"/>
        <v>0</v>
      </c>
      <c r="AE1239" s="54">
        <f t="shared" ca="1" si="919"/>
        <v>0</v>
      </c>
    </row>
    <row r="1240" spans="3:32" x14ac:dyDescent="0.2">
      <c r="C1240" s="5"/>
      <c r="D1240" s="5"/>
      <c r="E1240" s="5"/>
      <c r="F1240" s="5"/>
      <c r="G1240" s="5"/>
      <c r="H1240" s="5"/>
    </row>
    <row r="1241" spans="3:32" x14ac:dyDescent="0.2">
      <c r="C1241" s="5" t="s">
        <v>138</v>
      </c>
      <c r="D1241" s="5"/>
      <c r="E1241" s="5"/>
      <c r="F1241" s="5"/>
      <c r="G1241" s="21">
        <f t="shared" si="901"/>
        <v>0</v>
      </c>
      <c r="H1241" s="5"/>
      <c r="I1241" s="58">
        <v>0</v>
      </c>
      <c r="J1241" s="58">
        <v>0</v>
      </c>
      <c r="K1241" s="58">
        <v>0</v>
      </c>
      <c r="L1241" s="58">
        <v>0</v>
      </c>
      <c r="M1241" s="58">
        <v>0</v>
      </c>
      <c r="N1241" s="58">
        <v>0</v>
      </c>
      <c r="O1241" s="58">
        <v>0</v>
      </c>
      <c r="P1241" s="58">
        <v>0</v>
      </c>
      <c r="Q1241" s="58">
        <v>0</v>
      </c>
      <c r="R1241" s="58">
        <v>0</v>
      </c>
      <c r="S1241" s="58">
        <v>0</v>
      </c>
      <c r="T1241" s="58">
        <v>0</v>
      </c>
      <c r="U1241" s="58">
        <v>0</v>
      </c>
      <c r="V1241" s="58">
        <v>0</v>
      </c>
      <c r="W1241" s="58">
        <v>0</v>
      </c>
      <c r="X1241" s="58">
        <v>0</v>
      </c>
      <c r="Y1241" s="58">
        <v>0</v>
      </c>
      <c r="Z1241" s="58">
        <v>0</v>
      </c>
      <c r="AA1241" s="58">
        <v>0</v>
      </c>
      <c r="AB1241" s="58">
        <v>0</v>
      </c>
      <c r="AC1241" s="58">
        <v>0</v>
      </c>
      <c r="AD1241" s="58">
        <v>0</v>
      </c>
      <c r="AE1241" s="58">
        <v>0</v>
      </c>
    </row>
    <row r="1243" spans="3:32" x14ac:dyDescent="0.2">
      <c r="C1243" s="9" t="s">
        <v>139</v>
      </c>
      <c r="D1243" s="9"/>
      <c r="E1243" s="9"/>
      <c r="F1243" s="9"/>
      <c r="G1243" s="44">
        <f ca="1">SUM(I1243:AE1243)</f>
        <v>0</v>
      </c>
      <c r="H1243" s="9"/>
      <c r="I1243" s="44">
        <f t="shared" ref="I1243:L1243" si="920">I1221+I1239+I1241</f>
        <v>-7.1054273576010019E-15</v>
      </c>
      <c r="J1243" s="44">
        <f t="shared" si="920"/>
        <v>0</v>
      </c>
      <c r="K1243" s="44">
        <f t="shared" si="920"/>
        <v>19.721646026814554</v>
      </c>
      <c r="L1243" s="44">
        <f t="shared" si="920"/>
        <v>52.022609891204013</v>
      </c>
      <c r="M1243" s="44">
        <f t="shared" ref="M1243:AE1243" ca="1" si="921">M1221+M1239+M1241</f>
        <v>0</v>
      </c>
      <c r="N1243" s="44">
        <f t="shared" ca="1" si="921"/>
        <v>0</v>
      </c>
      <c r="O1243" s="44">
        <f t="shared" ca="1" si="921"/>
        <v>0</v>
      </c>
      <c r="P1243" s="44">
        <f t="shared" ca="1" si="921"/>
        <v>0</v>
      </c>
      <c r="Q1243" s="44">
        <f t="shared" ca="1" si="921"/>
        <v>0</v>
      </c>
      <c r="R1243" s="44">
        <f t="shared" ca="1" si="921"/>
        <v>0</v>
      </c>
      <c r="S1243" s="44">
        <f t="shared" ca="1" si="921"/>
        <v>0</v>
      </c>
      <c r="T1243" s="44">
        <f t="shared" ca="1" si="921"/>
        <v>0</v>
      </c>
      <c r="U1243" s="44">
        <f t="shared" ca="1" si="921"/>
        <v>0</v>
      </c>
      <c r="V1243" s="44">
        <f t="shared" ca="1" si="921"/>
        <v>0</v>
      </c>
      <c r="W1243" s="44">
        <f t="shared" ca="1" si="921"/>
        <v>0</v>
      </c>
      <c r="X1243" s="44">
        <f t="shared" ca="1" si="921"/>
        <v>0</v>
      </c>
      <c r="Y1243" s="44">
        <f t="shared" ca="1" si="921"/>
        <v>0</v>
      </c>
      <c r="Z1243" s="44">
        <f t="shared" ca="1" si="921"/>
        <v>0</v>
      </c>
      <c r="AA1243" s="44">
        <f t="shared" ca="1" si="921"/>
        <v>0</v>
      </c>
      <c r="AB1243" s="44">
        <f t="shared" ca="1" si="921"/>
        <v>0</v>
      </c>
      <c r="AC1243" s="44">
        <f t="shared" ca="1" si="921"/>
        <v>0</v>
      </c>
      <c r="AD1243" s="44">
        <f t="shared" ca="1" si="921"/>
        <v>0</v>
      </c>
      <c r="AE1243" s="44">
        <f t="shared" ca="1" si="921"/>
        <v>0</v>
      </c>
      <c r="AF1243" s="20"/>
    </row>
    <row r="1244" spans="3:32" x14ac:dyDescent="0.2">
      <c r="C1244" s="9"/>
      <c r="D1244" s="9"/>
    </row>
    <row r="1245" spans="3:32" x14ac:dyDescent="0.2">
      <c r="C1245" s="9" t="s">
        <v>140</v>
      </c>
      <c r="D1245" s="9"/>
      <c r="E1245" s="9"/>
      <c r="F1245" s="9"/>
      <c r="G1245" s="9"/>
      <c r="H1245" s="9"/>
      <c r="I1245" s="44"/>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20"/>
    </row>
    <row r="1246" spans="3:32" x14ac:dyDescent="0.2">
      <c r="C1246" s="1" t="s">
        <v>125</v>
      </c>
      <c r="I1246" s="21">
        <f>H1248</f>
        <v>0</v>
      </c>
      <c r="J1246" s="21">
        <f t="shared" ref="J1246:M1246" si="922">I1248</f>
        <v>-7.1054273576010019E-15</v>
      </c>
      <c r="K1246" s="21">
        <f t="shared" si="922"/>
        <v>-7.1054273576010019E-15</v>
      </c>
      <c r="L1246" s="21">
        <f t="shared" si="922"/>
        <v>19.721646026814547</v>
      </c>
      <c r="M1246" s="21">
        <f t="shared" si="922"/>
        <v>71.744255918018553</v>
      </c>
      <c r="N1246" s="21">
        <f t="shared" ref="N1246:AE1246" ca="1" si="923">M1248</f>
        <v>0</v>
      </c>
      <c r="O1246" s="21">
        <f t="shared" ca="1" si="923"/>
        <v>0</v>
      </c>
      <c r="P1246" s="21">
        <f t="shared" ca="1" si="923"/>
        <v>0</v>
      </c>
      <c r="Q1246" s="21">
        <f t="shared" ca="1" si="923"/>
        <v>0</v>
      </c>
      <c r="R1246" s="21">
        <f t="shared" ca="1" si="923"/>
        <v>0</v>
      </c>
      <c r="S1246" s="21">
        <f t="shared" ca="1" si="923"/>
        <v>0</v>
      </c>
      <c r="T1246" s="21">
        <f t="shared" ca="1" si="923"/>
        <v>0</v>
      </c>
      <c r="U1246" s="21">
        <f t="shared" ca="1" si="923"/>
        <v>0</v>
      </c>
      <c r="V1246" s="21">
        <f t="shared" ca="1" si="923"/>
        <v>0</v>
      </c>
      <c r="W1246" s="21">
        <f t="shared" ca="1" si="923"/>
        <v>0</v>
      </c>
      <c r="X1246" s="21">
        <f t="shared" ca="1" si="923"/>
        <v>0</v>
      </c>
      <c r="Y1246" s="21">
        <f t="shared" ca="1" si="923"/>
        <v>0</v>
      </c>
      <c r="Z1246" s="21">
        <f t="shared" ca="1" si="923"/>
        <v>0</v>
      </c>
      <c r="AA1246" s="21">
        <f t="shared" ca="1" si="923"/>
        <v>0</v>
      </c>
      <c r="AB1246" s="21">
        <f t="shared" ca="1" si="923"/>
        <v>0</v>
      </c>
      <c r="AC1246" s="21">
        <f t="shared" ca="1" si="923"/>
        <v>0</v>
      </c>
      <c r="AD1246" s="21">
        <f t="shared" ca="1" si="923"/>
        <v>0</v>
      </c>
      <c r="AE1246" s="21">
        <f t="shared" ca="1" si="923"/>
        <v>0</v>
      </c>
    </row>
    <row r="1247" spans="3:32" x14ac:dyDescent="0.2">
      <c r="C1247" s="1" t="s">
        <v>141</v>
      </c>
      <c r="I1247" s="21">
        <f>I1243</f>
        <v>-7.1054273576010019E-15</v>
      </c>
      <c r="J1247" s="21">
        <f t="shared" ref="J1247:L1247" si="924">J1243</f>
        <v>0</v>
      </c>
      <c r="K1247" s="21">
        <f>K1243</f>
        <v>19.721646026814554</v>
      </c>
      <c r="L1247" s="21">
        <f t="shared" si="924"/>
        <v>52.022609891204013</v>
      </c>
      <c r="M1247" s="21">
        <f t="shared" ref="M1247:AE1247" ca="1" si="925">M1243</f>
        <v>0</v>
      </c>
      <c r="N1247" s="21">
        <f t="shared" ca="1" si="925"/>
        <v>0</v>
      </c>
      <c r="O1247" s="21">
        <f t="shared" ca="1" si="925"/>
        <v>0</v>
      </c>
      <c r="P1247" s="21">
        <f t="shared" ca="1" si="925"/>
        <v>0</v>
      </c>
      <c r="Q1247" s="21">
        <f t="shared" ca="1" si="925"/>
        <v>0</v>
      </c>
      <c r="R1247" s="21">
        <f t="shared" ca="1" si="925"/>
        <v>0</v>
      </c>
      <c r="S1247" s="21">
        <f t="shared" ca="1" si="925"/>
        <v>0</v>
      </c>
      <c r="T1247" s="21">
        <f t="shared" ca="1" si="925"/>
        <v>0</v>
      </c>
      <c r="U1247" s="21">
        <f t="shared" ca="1" si="925"/>
        <v>0</v>
      </c>
      <c r="V1247" s="21">
        <f t="shared" ca="1" si="925"/>
        <v>0</v>
      </c>
      <c r="W1247" s="21">
        <f t="shared" ca="1" si="925"/>
        <v>0</v>
      </c>
      <c r="X1247" s="21">
        <f t="shared" ca="1" si="925"/>
        <v>0</v>
      </c>
      <c r="Y1247" s="21">
        <f t="shared" ca="1" si="925"/>
        <v>0</v>
      </c>
      <c r="Z1247" s="21">
        <f t="shared" ca="1" si="925"/>
        <v>0</v>
      </c>
      <c r="AA1247" s="21">
        <f t="shared" ca="1" si="925"/>
        <v>0</v>
      </c>
      <c r="AB1247" s="21">
        <f t="shared" ca="1" si="925"/>
        <v>0</v>
      </c>
      <c r="AC1247" s="21">
        <f t="shared" ca="1" si="925"/>
        <v>0</v>
      </c>
      <c r="AD1247" s="21">
        <f t="shared" ca="1" si="925"/>
        <v>0</v>
      </c>
      <c r="AE1247" s="21">
        <f t="shared" ca="1" si="925"/>
        <v>0</v>
      </c>
    </row>
    <row r="1248" spans="3:32" x14ac:dyDescent="0.2">
      <c r="C1248" s="1" t="s">
        <v>127</v>
      </c>
      <c r="H1248" s="109">
        <v>0</v>
      </c>
      <c r="I1248" s="21">
        <f>SUM(I1246:I1247)</f>
        <v>-7.1054273576010019E-15</v>
      </c>
      <c r="J1248" s="21">
        <f t="shared" ref="J1248:L1248" si="926">SUM(J1246:J1247)</f>
        <v>-7.1054273576010019E-15</v>
      </c>
      <c r="K1248" s="21">
        <f>SUM(K1246:K1247)</f>
        <v>19.721646026814547</v>
      </c>
      <c r="L1248" s="21">
        <f t="shared" si="926"/>
        <v>71.744255918018553</v>
      </c>
      <c r="M1248" s="21">
        <f t="shared" ref="M1248:AE1248" ca="1" si="927">SUM(M1246:M1247)</f>
        <v>0</v>
      </c>
      <c r="N1248" s="21">
        <f t="shared" ca="1" si="927"/>
        <v>0</v>
      </c>
      <c r="O1248" s="21">
        <f t="shared" ca="1" si="927"/>
        <v>0</v>
      </c>
      <c r="P1248" s="21">
        <f t="shared" ca="1" si="927"/>
        <v>0</v>
      </c>
      <c r="Q1248" s="21">
        <f t="shared" ca="1" si="927"/>
        <v>0</v>
      </c>
      <c r="R1248" s="21">
        <f t="shared" ca="1" si="927"/>
        <v>0</v>
      </c>
      <c r="S1248" s="21">
        <f t="shared" ca="1" si="927"/>
        <v>0</v>
      </c>
      <c r="T1248" s="21">
        <f t="shared" ca="1" si="927"/>
        <v>0</v>
      </c>
      <c r="U1248" s="21">
        <f t="shared" ca="1" si="927"/>
        <v>0</v>
      </c>
      <c r="V1248" s="21">
        <f t="shared" ca="1" si="927"/>
        <v>0</v>
      </c>
      <c r="W1248" s="21">
        <f t="shared" ca="1" si="927"/>
        <v>0</v>
      </c>
      <c r="X1248" s="21">
        <f t="shared" ca="1" si="927"/>
        <v>0</v>
      </c>
      <c r="Y1248" s="21">
        <f t="shared" ca="1" si="927"/>
        <v>0</v>
      </c>
      <c r="Z1248" s="21">
        <f t="shared" ca="1" si="927"/>
        <v>0</v>
      </c>
      <c r="AA1248" s="21">
        <f t="shared" ca="1" si="927"/>
        <v>0</v>
      </c>
      <c r="AB1248" s="21">
        <f t="shared" ca="1" si="927"/>
        <v>0</v>
      </c>
      <c r="AC1248" s="21">
        <f t="shared" ca="1" si="927"/>
        <v>0</v>
      </c>
      <c r="AD1248" s="21">
        <f t="shared" ca="1" si="927"/>
        <v>0</v>
      </c>
      <c r="AE1248" s="21">
        <f t="shared" ca="1" si="927"/>
        <v>0</v>
      </c>
    </row>
    <row r="1249" spans="2:31" x14ac:dyDescent="0.2">
      <c r="C1249" s="47"/>
      <c r="D1249" s="47"/>
    </row>
    <row r="1250" spans="2:31" x14ac:dyDescent="0.2">
      <c r="B1250" s="6"/>
      <c r="C1250" s="6"/>
      <c r="D1250" s="6"/>
      <c r="E1250" s="7"/>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row>
    <row r="1251" spans="2:31" x14ac:dyDescent="0.2">
      <c r="C1251" s="5"/>
      <c r="D1251" s="5"/>
    </row>
    <row r="1252" spans="2:31" x14ac:dyDescent="0.2">
      <c r="B1252" s="8">
        <f>B1211+1</f>
        <v>11</v>
      </c>
      <c r="C1252" s="20" t="s">
        <v>142</v>
      </c>
      <c r="D1252" s="20"/>
      <c r="M1252" s="33"/>
      <c r="N1252" s="21"/>
      <c r="O1252" s="121"/>
    </row>
    <row r="1253" spans="2:31" x14ac:dyDescent="0.2">
      <c r="C1253" s="5"/>
      <c r="D1253" s="5"/>
      <c r="M1253" s="274"/>
    </row>
    <row r="1254" spans="2:31" x14ac:dyDescent="0.2">
      <c r="C1254" s="1" t="s">
        <v>104</v>
      </c>
      <c r="F1254" s="1" t="s">
        <v>55</v>
      </c>
      <c r="G1254" s="21">
        <f>SUM(I1254:AE1254)</f>
        <v>5808.2909072500015</v>
      </c>
      <c r="I1254" s="41">
        <f>SUMIF('Quarterly Plant Model'!$I$2:$V$2,'Plant model'!I$2,'Quarterly Plant Model'!$I1254:$V1254)</f>
        <v>0</v>
      </c>
      <c r="J1254" s="41">
        <f>SUMIF('Quarterly Plant Model'!$I$2:$V$2,'Plant model'!J$2,'Quarterly Plant Model'!$I1254:$V1254)</f>
        <v>0</v>
      </c>
      <c r="K1254" s="41">
        <f>SUMIF('Quarterly Plant Model'!$I$2:$V$2,'Plant model'!K$2,'Quarterly Plant Model'!$I1254:$V1254)</f>
        <v>91.613421249999988</v>
      </c>
      <c r="L1254" s="41">
        <f>SUMIF('Quarterly Plant Model'!$I$2:$V$2,'Plant model'!L$2,'Quarterly Plant Model'!$I1254:$V1254)</f>
        <v>146.58147399999999</v>
      </c>
      <c r="M1254" s="21">
        <f t="shared" ref="M1254:AE1254" si="928">M1213</f>
        <v>293.16294799999997</v>
      </c>
      <c r="N1254" s="21">
        <f t="shared" si="928"/>
        <v>293.16294799999997</v>
      </c>
      <c r="O1254" s="21">
        <f t="shared" si="928"/>
        <v>293.16294799999997</v>
      </c>
      <c r="P1254" s="21">
        <f t="shared" si="928"/>
        <v>293.16294799999997</v>
      </c>
      <c r="Q1254" s="21">
        <f t="shared" si="928"/>
        <v>293.16294799999997</v>
      </c>
      <c r="R1254" s="21">
        <f t="shared" si="928"/>
        <v>293.16294799999997</v>
      </c>
      <c r="S1254" s="21">
        <f t="shared" si="928"/>
        <v>293.16294799999997</v>
      </c>
      <c r="T1254" s="21">
        <f t="shared" si="928"/>
        <v>293.16294799999997</v>
      </c>
      <c r="U1254" s="21">
        <f t="shared" si="928"/>
        <v>293.16294799999997</v>
      </c>
      <c r="V1254" s="21">
        <f t="shared" si="928"/>
        <v>293.16294799999997</v>
      </c>
      <c r="W1254" s="21">
        <f t="shared" si="928"/>
        <v>293.16294799999997</v>
      </c>
      <c r="X1254" s="21">
        <f t="shared" si="928"/>
        <v>293.16294799999997</v>
      </c>
      <c r="Y1254" s="21">
        <f t="shared" si="928"/>
        <v>293.16294799999997</v>
      </c>
      <c r="Z1254" s="21">
        <f t="shared" si="928"/>
        <v>293.16294799999997</v>
      </c>
      <c r="AA1254" s="21">
        <f t="shared" si="928"/>
        <v>293.16294799999997</v>
      </c>
      <c r="AB1254" s="21">
        <f t="shared" si="928"/>
        <v>293.16294799999997</v>
      </c>
      <c r="AC1254" s="21">
        <f t="shared" si="928"/>
        <v>293.16294799999997</v>
      </c>
      <c r="AD1254" s="21">
        <f t="shared" si="928"/>
        <v>293.16294799999997</v>
      </c>
      <c r="AE1254" s="21">
        <f t="shared" si="928"/>
        <v>293.16294799999997</v>
      </c>
    </row>
    <row r="1255" spans="2:31" x14ac:dyDescent="0.2">
      <c r="C1255" s="1" t="s">
        <v>120</v>
      </c>
      <c r="F1255" s="1" t="s">
        <v>55</v>
      </c>
      <c r="G1255" s="21">
        <f>SUM(I1255:AE1255)</f>
        <v>-3011.2789445794592</v>
      </c>
      <c r="I1255" s="41">
        <f>SUMIF('Quarterly Plant Model'!$I$2:$V$2,'Plant model'!I$2,'Quarterly Plant Model'!$I1255:$V1255)</f>
        <v>0</v>
      </c>
      <c r="J1255" s="41">
        <f>SUMIF('Quarterly Plant Model'!$I$2:$V$2,'Plant model'!J$2,'Quarterly Plant Model'!$I1255:$V1255)</f>
        <v>0</v>
      </c>
      <c r="K1255" s="41">
        <f>SUMIF('Quarterly Plant Model'!$I$2:$V$2,'Plant model'!K$2,'Quarterly Plant Model'!$I1255:$V1255)</f>
        <v>-47.852836965524475</v>
      </c>
      <c r="L1255" s="41">
        <f>SUMIF('Quarterly Plant Model'!$I$2:$V$2,'Plant model'!L$2,'Quarterly Plant Model'!$I1255:$V1255)</f>
        <v>-73.395648131607246</v>
      </c>
      <c r="M1255" s="21">
        <f t="shared" ref="M1255:AE1255" si="929">M1214</f>
        <v>-148.94539245333979</v>
      </c>
      <c r="N1255" s="21">
        <f t="shared" si="929"/>
        <v>-148.94539245333979</v>
      </c>
      <c r="O1255" s="21">
        <f t="shared" si="929"/>
        <v>-148.94539245333982</v>
      </c>
      <c r="P1255" s="21">
        <f t="shared" si="929"/>
        <v>-148.94539245333982</v>
      </c>
      <c r="Q1255" s="21">
        <f t="shared" si="929"/>
        <v>-149.43903092107712</v>
      </c>
      <c r="R1255" s="21">
        <f t="shared" si="929"/>
        <v>-149.93266938881439</v>
      </c>
      <c r="S1255" s="21">
        <f t="shared" si="929"/>
        <v>-150.42630785655166</v>
      </c>
      <c r="T1255" s="21">
        <f t="shared" si="929"/>
        <v>-150.91994632428899</v>
      </c>
      <c r="U1255" s="21">
        <f t="shared" si="929"/>
        <v>-150.91994632428899</v>
      </c>
      <c r="V1255" s="21">
        <f t="shared" si="929"/>
        <v>-151.65736893002781</v>
      </c>
      <c r="W1255" s="21">
        <f t="shared" si="929"/>
        <v>-153.21047100866781</v>
      </c>
      <c r="X1255" s="21">
        <f t="shared" si="929"/>
        <v>-154.71789361440662</v>
      </c>
      <c r="Y1255" s="21">
        <f t="shared" si="929"/>
        <v>-154.71789361440662</v>
      </c>
      <c r="Z1255" s="21">
        <f t="shared" si="929"/>
        <v>-154.71789361440662</v>
      </c>
      <c r="AA1255" s="21">
        <f t="shared" si="929"/>
        <v>-154.71789361440662</v>
      </c>
      <c r="AB1255" s="21">
        <f t="shared" si="929"/>
        <v>-154.71789361440662</v>
      </c>
      <c r="AC1255" s="21">
        <f t="shared" si="929"/>
        <v>-154.71789361440662</v>
      </c>
      <c r="AD1255" s="21">
        <f t="shared" si="929"/>
        <v>-154.71789361440662</v>
      </c>
      <c r="AE1255" s="21">
        <f t="shared" si="929"/>
        <v>-154.71789361440662</v>
      </c>
    </row>
    <row r="1256" spans="2:31" x14ac:dyDescent="0.2">
      <c r="C1256" s="1" t="s">
        <v>444</v>
      </c>
      <c r="F1256" s="1" t="s">
        <v>55</v>
      </c>
      <c r="G1256" s="21">
        <f>SUM(I1256:AE1256)</f>
        <v>-123.85824548003839</v>
      </c>
      <c r="I1256" s="41">
        <f>SUMIF('Quarterly Plant Model'!$I$2:$V$2,'Plant model'!I$2,'Quarterly Plant Model'!$I1256:$V1256)</f>
        <v>0</v>
      </c>
      <c r="J1256" s="41">
        <f>SUMIF('Quarterly Plant Model'!$I$2:$V$2,'Plant model'!J$2,'Quarterly Plant Model'!$I1256:$V1256)</f>
        <v>0</v>
      </c>
      <c r="K1256" s="41">
        <f>SUMIF('Quarterly Plant Model'!$I$2:$V$2,'Plant model'!K$2,'Quarterly Plant Model'!$I1256:$V1256)</f>
        <v>-2.2925483655322112</v>
      </c>
      <c r="L1256" s="41">
        <f>SUMIF('Quarterly Plant Model'!$I$2:$V$2,'Plant model'!L$2,'Quarterly Plant Model'!$I1256:$V1256)</f>
        <v>-3.1170691567822111</v>
      </c>
      <c r="M1256" s="21">
        <f t="shared" ref="M1256:AE1256" si="930">M1215</f>
        <v>-6.2341383135644222</v>
      </c>
      <c r="N1256" s="21">
        <f t="shared" si="930"/>
        <v>-6.2341383135644222</v>
      </c>
      <c r="O1256" s="21">
        <f t="shared" si="930"/>
        <v>-6.2341383135644222</v>
      </c>
      <c r="P1256" s="21">
        <f t="shared" si="930"/>
        <v>-6.2341383135644222</v>
      </c>
      <c r="Q1256" s="21">
        <f t="shared" si="930"/>
        <v>-6.2341383135644222</v>
      </c>
      <c r="R1256" s="21">
        <f t="shared" si="930"/>
        <v>-6.2341383135644222</v>
      </c>
      <c r="S1256" s="21">
        <f t="shared" si="930"/>
        <v>-6.2341383135644222</v>
      </c>
      <c r="T1256" s="21">
        <f t="shared" si="930"/>
        <v>-6.2341383135644222</v>
      </c>
      <c r="U1256" s="21">
        <f t="shared" si="930"/>
        <v>-6.2341383135644222</v>
      </c>
      <c r="V1256" s="21">
        <f t="shared" si="930"/>
        <v>-6.2341383135644222</v>
      </c>
      <c r="W1256" s="21">
        <f t="shared" si="930"/>
        <v>-6.2341383135644222</v>
      </c>
      <c r="X1256" s="21">
        <f t="shared" si="930"/>
        <v>-6.2341383135644222</v>
      </c>
      <c r="Y1256" s="21">
        <f t="shared" si="930"/>
        <v>-6.2341383135644222</v>
      </c>
      <c r="Z1256" s="21">
        <f t="shared" si="930"/>
        <v>-6.2341383135644222</v>
      </c>
      <c r="AA1256" s="21">
        <f t="shared" si="930"/>
        <v>-6.2341383135644222</v>
      </c>
      <c r="AB1256" s="21">
        <f t="shared" si="930"/>
        <v>-6.2341383135644222</v>
      </c>
      <c r="AC1256" s="21">
        <f t="shared" si="930"/>
        <v>-6.2341383135644222</v>
      </c>
      <c r="AD1256" s="21">
        <f t="shared" si="930"/>
        <v>-6.2341383135644222</v>
      </c>
      <c r="AE1256" s="21">
        <f t="shared" si="930"/>
        <v>-6.2341383135644222</v>
      </c>
    </row>
    <row r="1257" spans="2:31" x14ac:dyDescent="0.2">
      <c r="C1257" s="20" t="s">
        <v>143</v>
      </c>
      <c r="D1257" s="20"/>
      <c r="F1257" s="9" t="s">
        <v>55</v>
      </c>
      <c r="G1257" s="44">
        <f>SUM(I1257:AE1257)</f>
        <v>2673.1537171905002</v>
      </c>
      <c r="I1257" s="44">
        <f>SUM(I1254:I1256)</f>
        <v>0</v>
      </c>
      <c r="J1257" s="44">
        <f t="shared" ref="J1257:AE1257" si="931">SUM(J1254:J1256)</f>
        <v>0</v>
      </c>
      <c r="K1257" s="44">
        <f t="shared" si="931"/>
        <v>41.468035918943301</v>
      </c>
      <c r="L1257" s="44">
        <f t="shared" si="931"/>
        <v>70.068756711610533</v>
      </c>
      <c r="M1257" s="44">
        <f t="shared" si="931"/>
        <v>137.98341723309576</v>
      </c>
      <c r="N1257" s="44">
        <f t="shared" si="931"/>
        <v>137.98341723309576</v>
      </c>
      <c r="O1257" s="44">
        <f t="shared" si="931"/>
        <v>137.98341723309574</v>
      </c>
      <c r="P1257" s="44">
        <f t="shared" si="931"/>
        <v>137.98341723309574</v>
      </c>
      <c r="Q1257" s="44">
        <f t="shared" si="931"/>
        <v>137.48977876535844</v>
      </c>
      <c r="R1257" s="44">
        <f t="shared" si="931"/>
        <v>136.99614029762117</v>
      </c>
      <c r="S1257" s="44">
        <f t="shared" si="931"/>
        <v>136.5025018298839</v>
      </c>
      <c r="T1257" s="44">
        <f t="shared" si="931"/>
        <v>136.00886336214657</v>
      </c>
      <c r="U1257" s="44">
        <f t="shared" si="931"/>
        <v>136.00886336214657</v>
      </c>
      <c r="V1257" s="44">
        <f t="shared" si="931"/>
        <v>135.27144075640774</v>
      </c>
      <c r="W1257" s="44">
        <f t="shared" si="931"/>
        <v>133.71833867776775</v>
      </c>
      <c r="X1257" s="44">
        <f t="shared" si="931"/>
        <v>132.21091607202894</v>
      </c>
      <c r="Y1257" s="44">
        <f t="shared" si="931"/>
        <v>132.21091607202894</v>
      </c>
      <c r="Z1257" s="44">
        <f t="shared" si="931"/>
        <v>132.21091607202894</v>
      </c>
      <c r="AA1257" s="44">
        <f t="shared" si="931"/>
        <v>132.21091607202894</v>
      </c>
      <c r="AB1257" s="44">
        <f t="shared" si="931"/>
        <v>132.21091607202894</v>
      </c>
      <c r="AC1257" s="44">
        <f t="shared" si="931"/>
        <v>132.21091607202894</v>
      </c>
      <c r="AD1257" s="44">
        <f t="shared" si="931"/>
        <v>132.21091607202894</v>
      </c>
      <c r="AE1257" s="44">
        <f t="shared" si="931"/>
        <v>132.21091607202894</v>
      </c>
    </row>
    <row r="1259" spans="2:31" x14ac:dyDescent="0.2">
      <c r="C1259" s="1" t="s">
        <v>128</v>
      </c>
      <c r="F1259" s="1" t="s">
        <v>55</v>
      </c>
      <c r="G1259" s="21">
        <f>SUM(I1259:AE1259)</f>
        <v>-463.68653312941967</v>
      </c>
      <c r="I1259" s="41">
        <f>SUMIF('Quarterly Plant Model'!$I$2:$V$2,'Plant model'!I$2,'Quarterly Plant Model'!$I1259:$V1259)</f>
        <v>0</v>
      </c>
      <c r="J1259" s="41">
        <f>SUMIF('Quarterly Plant Model'!$I$2:$V$2,'Plant model'!J$2,'Quarterly Plant Model'!$I1259:$V1259)</f>
        <v>0</v>
      </c>
      <c r="K1259" s="41">
        <f>SUMIF('Quarterly Plant Model'!$I$2:$V$2,'Plant model'!K$2,'Quarterly Plant Model'!$I1259:$V1259)</f>
        <v>0</v>
      </c>
      <c r="L1259" s="41">
        <f>SUMIF('Quarterly Plant Model'!$I$2:$V$2,'Plant model'!L$2,'Quarterly Plant Model'!$I1259:$V1259)</f>
        <v>-11.889398285369733</v>
      </c>
      <c r="M1259" s="21">
        <f t="shared" ref="M1259:AE1259" si="932">M1323</f>
        <v>-23.778796570739466</v>
      </c>
      <c r="N1259" s="21">
        <f t="shared" si="932"/>
        <v>-23.778796570739466</v>
      </c>
      <c r="O1259" s="21">
        <f t="shared" si="932"/>
        <v>-23.778796570739466</v>
      </c>
      <c r="P1259" s="21">
        <f t="shared" si="932"/>
        <v>-23.778796570739466</v>
      </c>
      <c r="Q1259" s="21">
        <f t="shared" si="932"/>
        <v>-23.778796570739466</v>
      </c>
      <c r="R1259" s="21">
        <f t="shared" si="932"/>
        <v>-23.778796570739466</v>
      </c>
      <c r="S1259" s="21">
        <f t="shared" si="932"/>
        <v>-23.778796570739466</v>
      </c>
      <c r="T1259" s="21">
        <f t="shared" si="932"/>
        <v>-23.778796570739466</v>
      </c>
      <c r="U1259" s="21">
        <f t="shared" si="932"/>
        <v>-23.778796570739466</v>
      </c>
      <c r="V1259" s="21">
        <f t="shared" si="932"/>
        <v>-23.778796570739466</v>
      </c>
      <c r="W1259" s="21">
        <f t="shared" si="932"/>
        <v>-23.778796570739466</v>
      </c>
      <c r="X1259" s="21">
        <f t="shared" si="932"/>
        <v>-23.778796570739466</v>
      </c>
      <c r="Y1259" s="21">
        <f t="shared" si="932"/>
        <v>-23.778796570739466</v>
      </c>
      <c r="Z1259" s="21">
        <f t="shared" si="932"/>
        <v>-23.778796570739466</v>
      </c>
      <c r="AA1259" s="21">
        <f t="shared" si="932"/>
        <v>-23.778796570739466</v>
      </c>
      <c r="AB1259" s="21">
        <f t="shared" si="932"/>
        <v>-23.778796570739466</v>
      </c>
      <c r="AC1259" s="21">
        <f t="shared" si="932"/>
        <v>-23.778796570739466</v>
      </c>
      <c r="AD1259" s="21">
        <f t="shared" si="932"/>
        <v>-23.778796570739466</v>
      </c>
      <c r="AE1259" s="21">
        <f t="shared" si="932"/>
        <v>-23.778796570739466</v>
      </c>
    </row>
    <row r="1260" spans="2:31" x14ac:dyDescent="0.2">
      <c r="C1260" s="1" t="s">
        <v>220</v>
      </c>
      <c r="F1260" s="1" t="s">
        <v>55</v>
      </c>
      <c r="G1260" s="21">
        <f>SUM(I1260:AE1260)</f>
        <v>-12.389065487239483</v>
      </c>
      <c r="I1260" s="41">
        <f>SUMIF('Quarterly Plant Model'!$I$2:$V$2,'Plant model'!I$2,'Quarterly Plant Model'!$I1260:$V1260)</f>
        <v>-0.26250000000000001</v>
      </c>
      <c r="J1260" s="41">
        <f>SUMIF('Quarterly Plant Model'!$I$2:$V$2,'Plant model'!J$2,'Quarterly Plant Model'!$I1260:$V1260)</f>
        <v>-0.17499999999999999</v>
      </c>
      <c r="K1260" s="41">
        <f>SUMIF('Quarterly Plant Model'!$I$2:$V$2,'Plant model'!K$2,'Quarterly Plant Model'!$I1260:$V1260)</f>
        <v>-1.5935420649652643</v>
      </c>
      <c r="L1260" s="41">
        <f>SUMIF('Quarterly Plant Model'!$I$2:$V$2,'Plant model'!L$2,'Quarterly Plant Model'!$I1260:$V1260)</f>
        <v>-0.79677103248263215</v>
      </c>
      <c r="M1260" s="21">
        <f>M1578+M1661+M1729</f>
        <v>-1.5935420649652643</v>
      </c>
      <c r="N1260" s="21">
        <f t="shared" ref="N1260:AE1260" si="933">N1578+N1661+N1729</f>
        <v>-1.5935420649652643</v>
      </c>
      <c r="O1260" s="21">
        <f t="shared" si="933"/>
        <v>-1.5935420649652643</v>
      </c>
      <c r="P1260" s="21">
        <f t="shared" si="933"/>
        <v>-1.5935420649652643</v>
      </c>
      <c r="Q1260" s="21">
        <f t="shared" si="933"/>
        <v>-1.5935420649652643</v>
      </c>
      <c r="R1260" s="21">
        <f t="shared" si="933"/>
        <v>-1.5935420649652643</v>
      </c>
      <c r="S1260" s="21">
        <f t="shared" si="933"/>
        <v>0</v>
      </c>
      <c r="T1260" s="21">
        <f t="shared" si="933"/>
        <v>0</v>
      </c>
      <c r="U1260" s="21">
        <f t="shared" si="933"/>
        <v>0</v>
      </c>
      <c r="V1260" s="21">
        <f t="shared" si="933"/>
        <v>0</v>
      </c>
      <c r="W1260" s="21">
        <f t="shared" si="933"/>
        <v>0</v>
      </c>
      <c r="X1260" s="21">
        <f t="shared" si="933"/>
        <v>0</v>
      </c>
      <c r="Y1260" s="21">
        <f t="shared" si="933"/>
        <v>0</v>
      </c>
      <c r="Z1260" s="21">
        <f t="shared" si="933"/>
        <v>0</v>
      </c>
      <c r="AA1260" s="21">
        <f t="shared" si="933"/>
        <v>0</v>
      </c>
      <c r="AB1260" s="21">
        <f t="shared" si="933"/>
        <v>0</v>
      </c>
      <c r="AC1260" s="21">
        <f t="shared" si="933"/>
        <v>0</v>
      </c>
      <c r="AD1260" s="21">
        <f t="shared" si="933"/>
        <v>0</v>
      </c>
      <c r="AE1260" s="21">
        <f t="shared" si="933"/>
        <v>0</v>
      </c>
    </row>
    <row r="1261" spans="2:31" x14ac:dyDescent="0.2">
      <c r="C1261" s="9" t="s">
        <v>144</v>
      </c>
      <c r="D1261" s="9"/>
      <c r="F1261" s="9" t="s">
        <v>55</v>
      </c>
      <c r="G1261" s="44">
        <f>SUM(I1261:AE1261)</f>
        <v>2197.078118573841</v>
      </c>
      <c r="I1261" s="44">
        <f>I1257+I1259+I1260</f>
        <v>-0.26250000000000001</v>
      </c>
      <c r="J1261" s="44">
        <f t="shared" ref="J1261:AE1261" si="934">J1257+J1259+J1260</f>
        <v>-0.17499999999999999</v>
      </c>
      <c r="K1261" s="44">
        <f>K1257+K1259+K1260</f>
        <v>39.874493853978038</v>
      </c>
      <c r="L1261" s="44">
        <f t="shared" si="934"/>
        <v>57.382587393758165</v>
      </c>
      <c r="M1261" s="44">
        <f t="shared" si="934"/>
        <v>112.61107859739103</v>
      </c>
      <c r="N1261" s="44">
        <f t="shared" si="934"/>
        <v>112.61107859739103</v>
      </c>
      <c r="O1261" s="44">
        <f t="shared" si="934"/>
        <v>112.611078597391</v>
      </c>
      <c r="P1261" s="44">
        <f t="shared" si="934"/>
        <v>112.611078597391</v>
      </c>
      <c r="Q1261" s="44">
        <f t="shared" si="934"/>
        <v>112.1174401296537</v>
      </c>
      <c r="R1261" s="44">
        <f t="shared" si="934"/>
        <v>111.62380166191643</v>
      </c>
      <c r="S1261" s="44">
        <f t="shared" si="934"/>
        <v>112.72370525914442</v>
      </c>
      <c r="T1261" s="44">
        <f t="shared" si="934"/>
        <v>112.2300667914071</v>
      </c>
      <c r="U1261" s="44">
        <f t="shared" si="934"/>
        <v>112.2300667914071</v>
      </c>
      <c r="V1261" s="44">
        <f t="shared" si="934"/>
        <v>111.49264418566827</v>
      </c>
      <c r="W1261" s="44">
        <f t="shared" si="934"/>
        <v>109.93954210702827</v>
      </c>
      <c r="X1261" s="44">
        <f t="shared" si="934"/>
        <v>108.43211950128946</v>
      </c>
      <c r="Y1261" s="44">
        <f t="shared" si="934"/>
        <v>108.43211950128946</v>
      </c>
      <c r="Z1261" s="44">
        <f t="shared" si="934"/>
        <v>108.43211950128946</v>
      </c>
      <c r="AA1261" s="44">
        <f t="shared" si="934"/>
        <v>108.43211950128946</v>
      </c>
      <c r="AB1261" s="44">
        <f t="shared" si="934"/>
        <v>108.43211950128946</v>
      </c>
      <c r="AC1261" s="44">
        <f t="shared" si="934"/>
        <v>108.43211950128946</v>
      </c>
      <c r="AD1261" s="44">
        <f t="shared" si="934"/>
        <v>108.43211950128946</v>
      </c>
      <c r="AE1261" s="44">
        <f t="shared" si="934"/>
        <v>108.43211950128946</v>
      </c>
    </row>
    <row r="1263" spans="2:31" x14ac:dyDescent="0.2">
      <c r="C1263" s="1" t="s">
        <v>462</v>
      </c>
      <c r="F1263" s="1" t="s">
        <v>55</v>
      </c>
      <c r="G1263" s="21">
        <f>SUM(I1263:AE1263)</f>
        <v>0</v>
      </c>
      <c r="I1263" s="41">
        <f>SUMIF('Quarterly Plant Model'!$I$2:$V$2,'Plant model'!I$2,'Quarterly Plant Model'!$I1263:$V1263)</f>
        <v>0</v>
      </c>
      <c r="J1263" s="41">
        <f>SUMIF('Quarterly Plant Model'!$I$2:$V$2,'Plant model'!J$2,'Quarterly Plant Model'!$I1263:$V1263)</f>
        <v>0</v>
      </c>
      <c r="K1263" s="41">
        <f>SUMIF('Quarterly Plant Model'!$I$2:$V$2,'Plant model'!K$2,'Quarterly Plant Model'!$I1263:$V1263)</f>
        <v>0</v>
      </c>
      <c r="L1263" s="41">
        <f>SUMIF('Quarterly Plant Model'!$I$2:$V$2,'Plant model'!L$2,'Quarterly Plant Model'!$I1263:$V1263)</f>
        <v>0</v>
      </c>
      <c r="M1263" s="45">
        <f t="shared" ref="M1263:AE1263" si="935">-M1560</f>
        <v>0</v>
      </c>
      <c r="N1263" s="45">
        <f t="shared" si="935"/>
        <v>0</v>
      </c>
      <c r="O1263" s="45">
        <f t="shared" si="935"/>
        <v>0</v>
      </c>
      <c r="P1263" s="45">
        <f t="shared" si="935"/>
        <v>0</v>
      </c>
      <c r="Q1263" s="45">
        <f t="shared" si="935"/>
        <v>0</v>
      </c>
      <c r="R1263" s="45">
        <f t="shared" si="935"/>
        <v>0</v>
      </c>
      <c r="S1263" s="45">
        <f t="shared" si="935"/>
        <v>0</v>
      </c>
      <c r="T1263" s="45">
        <f t="shared" si="935"/>
        <v>0</v>
      </c>
      <c r="U1263" s="45">
        <f t="shared" si="935"/>
        <v>0</v>
      </c>
      <c r="V1263" s="45">
        <f t="shared" si="935"/>
        <v>0</v>
      </c>
      <c r="W1263" s="45">
        <f t="shared" si="935"/>
        <v>0</v>
      </c>
      <c r="X1263" s="45">
        <f t="shared" si="935"/>
        <v>0</v>
      </c>
      <c r="Y1263" s="45">
        <f t="shared" si="935"/>
        <v>0</v>
      </c>
      <c r="Z1263" s="45">
        <f t="shared" si="935"/>
        <v>0</v>
      </c>
      <c r="AA1263" s="45">
        <f t="shared" si="935"/>
        <v>0</v>
      </c>
      <c r="AB1263" s="45">
        <f t="shared" si="935"/>
        <v>0</v>
      </c>
      <c r="AC1263" s="45">
        <f t="shared" si="935"/>
        <v>0</v>
      </c>
      <c r="AD1263" s="45">
        <f t="shared" si="935"/>
        <v>0</v>
      </c>
      <c r="AE1263" s="45">
        <f t="shared" si="935"/>
        <v>0</v>
      </c>
    </row>
    <row r="1264" spans="2:31" x14ac:dyDescent="0.2">
      <c r="C1264" s="1" t="s">
        <v>469</v>
      </c>
      <c r="F1264" s="1" t="s">
        <v>55</v>
      </c>
      <c r="G1264" s="21">
        <f>SUM(I1264:AE1264)</f>
        <v>-71.537539464460735</v>
      </c>
      <c r="I1264" s="41">
        <f>SUMIF('Quarterly Plant Model'!$I$2:$V$2,'Plant model'!I$2,'Quarterly Plant Model'!$I1264:$V1264)</f>
        <v>0</v>
      </c>
      <c r="J1264" s="41">
        <f>SUMIF('Quarterly Plant Model'!$I$2:$V$2,'Plant model'!J$2,'Quarterly Plant Model'!$I1264:$V1264)</f>
        <v>0</v>
      </c>
      <c r="K1264" s="41">
        <f>SUMIF('Quarterly Plant Model'!$I$2:$V$2,'Plant model'!K$2,'Quarterly Plant Model'!$I1264:$V1264)</f>
        <v>-0.39824532786748684</v>
      </c>
      <c r="L1264" s="41">
        <f>SUMIF('Quarterly Plant Model'!$I$2:$V$2,'Plant model'!L$2,'Quarterly Plant Model'!$I1264:$V1264)</f>
        <v>-0.85338284543032894</v>
      </c>
      <c r="M1264" s="45">
        <f t="shared" ref="M1264:AE1264" si="936">-M951</f>
        <v>-2.8114364516465162</v>
      </c>
      <c r="N1264" s="45">
        <f t="shared" si="936"/>
        <v>-3.748581935528688</v>
      </c>
      <c r="O1264" s="45">
        <f t="shared" si="936"/>
        <v>-3.748581935528688</v>
      </c>
      <c r="P1264" s="45">
        <f t="shared" si="936"/>
        <v>-3.748581935528688</v>
      </c>
      <c r="Q1264" s="45">
        <f t="shared" si="936"/>
        <v>-3.748581935528688</v>
      </c>
      <c r="R1264" s="45">
        <f t="shared" si="936"/>
        <v>-3.748581935528688</v>
      </c>
      <c r="S1264" s="45">
        <f t="shared" si="936"/>
        <v>-3.748581935528688</v>
      </c>
      <c r="T1264" s="45">
        <f t="shared" si="936"/>
        <v>-3.748581935528688</v>
      </c>
      <c r="U1264" s="45">
        <f t="shared" si="936"/>
        <v>-3.748581935528688</v>
      </c>
      <c r="V1264" s="45">
        <f t="shared" si="936"/>
        <v>-3.748581935528688</v>
      </c>
      <c r="W1264" s="45">
        <f t="shared" si="936"/>
        <v>-3.748581935528688</v>
      </c>
      <c r="X1264" s="45">
        <f t="shared" si="936"/>
        <v>-3.748581935528688</v>
      </c>
      <c r="Y1264" s="45">
        <f t="shared" si="936"/>
        <v>-3.748581935528688</v>
      </c>
      <c r="Z1264" s="45">
        <f t="shared" si="936"/>
        <v>-3.748581935528688</v>
      </c>
      <c r="AA1264" s="45">
        <f t="shared" si="936"/>
        <v>-3.748581935528688</v>
      </c>
      <c r="AB1264" s="45">
        <f t="shared" si="936"/>
        <v>-3.748581935528688</v>
      </c>
      <c r="AC1264" s="45">
        <f t="shared" si="936"/>
        <v>-3.748581935528688</v>
      </c>
      <c r="AD1264" s="45">
        <f t="shared" si="936"/>
        <v>-3.748581935528688</v>
      </c>
      <c r="AE1264" s="45">
        <f t="shared" si="936"/>
        <v>-3.748581935528688</v>
      </c>
    </row>
    <row r="1265" spans="2:32" x14ac:dyDescent="0.2">
      <c r="C1265" s="1" t="s">
        <v>775</v>
      </c>
      <c r="F1265" s="1" t="s">
        <v>55</v>
      </c>
      <c r="G1265" s="21">
        <f>SUM(I1265:AE1265)</f>
        <v>0</v>
      </c>
      <c r="I1265" s="41">
        <f>SUMIF('Quarterly Plant Model'!$I$2:$V$2,'Plant model'!I$2,'Quarterly Plant Model'!$I1265:$V1265)</f>
        <v>0</v>
      </c>
      <c r="J1265" s="41">
        <f>SUMIF('Quarterly Plant Model'!$I$2:$V$2,'Plant model'!J$2,'Quarterly Plant Model'!$I1265:$V1265)</f>
        <v>0</v>
      </c>
      <c r="K1265" s="41">
        <f>SUMIF('Quarterly Plant Model'!$I$2:$V$2,'Plant model'!K$2,'Quarterly Plant Model'!$I1265:$V1265)</f>
        <v>0</v>
      </c>
      <c r="L1265" s="41">
        <f>SUMIF('Quarterly Plant Model'!$I$2:$V$2,'Plant model'!L$2,'Quarterly Plant Model'!$I1265:$V1265)</f>
        <v>0</v>
      </c>
      <c r="M1265" s="45">
        <f t="shared" ref="M1265:AE1265" si="937">-M1643</f>
        <v>0</v>
      </c>
      <c r="N1265" s="45">
        <f t="shared" si="937"/>
        <v>0</v>
      </c>
      <c r="O1265" s="45">
        <f t="shared" si="937"/>
        <v>0</v>
      </c>
      <c r="P1265" s="45">
        <f t="shared" si="937"/>
        <v>0</v>
      </c>
      <c r="Q1265" s="45">
        <f t="shared" si="937"/>
        <v>0</v>
      </c>
      <c r="R1265" s="45">
        <f t="shared" si="937"/>
        <v>0</v>
      </c>
      <c r="S1265" s="45">
        <f t="shared" si="937"/>
        <v>0</v>
      </c>
      <c r="T1265" s="45">
        <f t="shared" si="937"/>
        <v>0</v>
      </c>
      <c r="U1265" s="45">
        <f t="shared" si="937"/>
        <v>0</v>
      </c>
      <c r="V1265" s="45">
        <f t="shared" si="937"/>
        <v>0</v>
      </c>
      <c r="W1265" s="45">
        <f t="shared" si="937"/>
        <v>0</v>
      </c>
      <c r="X1265" s="45">
        <f t="shared" si="937"/>
        <v>0</v>
      </c>
      <c r="Y1265" s="45">
        <f t="shared" si="937"/>
        <v>0</v>
      </c>
      <c r="Z1265" s="45">
        <f t="shared" si="937"/>
        <v>0</v>
      </c>
      <c r="AA1265" s="45">
        <f t="shared" si="937"/>
        <v>0</v>
      </c>
      <c r="AB1265" s="45">
        <f t="shared" si="937"/>
        <v>0</v>
      </c>
      <c r="AC1265" s="45">
        <f t="shared" si="937"/>
        <v>0</v>
      </c>
      <c r="AD1265" s="45">
        <f t="shared" si="937"/>
        <v>0</v>
      </c>
      <c r="AE1265" s="45">
        <f t="shared" si="937"/>
        <v>0</v>
      </c>
    </row>
    <row r="1266" spans="2:32" x14ac:dyDescent="0.2">
      <c r="C1266" s="1" t="s">
        <v>958</v>
      </c>
      <c r="F1266" s="1" t="s">
        <v>55</v>
      </c>
      <c r="G1266" s="21">
        <f>SUM(I1266:AE1266)</f>
        <v>-6.1732363881177683</v>
      </c>
      <c r="I1266" s="41">
        <f>SUMIF('Quarterly Plant Model'!$I$2:$V$2,'Plant model'!I$2,'Quarterly Plant Model'!$I1266:$V1266)</f>
        <v>-1.0099932893521877</v>
      </c>
      <c r="J1266" s="41">
        <f>SUMIF('Quarterly Plant Model'!$I$2:$V$2,'Plant model'!J$2,'Quarterly Plant Model'!$I1266:$V1266)</f>
        <v>-1.2644676976568752</v>
      </c>
      <c r="K1266" s="41">
        <f>SUMIF('Quarterly Plant Model'!$I$2:$V$2,'Plant model'!K$2,'Quarterly Plant Model'!$I1266:$V1266)</f>
        <v>-1.2644676976568752</v>
      </c>
      <c r="L1266" s="41">
        <f>SUMIF('Quarterly Plant Model'!$I$2:$V$2,'Plant model'!L$2,'Quarterly Plant Model'!$I1266:$V1266)</f>
        <v>-0.63223384882843758</v>
      </c>
      <c r="M1266" s="45">
        <f>-M1720</f>
        <v>-0.10537230813807293</v>
      </c>
      <c r="N1266" s="45">
        <f t="shared" ref="N1266:AE1266" si="938">-N1720</f>
        <v>-0.10537230813807293</v>
      </c>
      <c r="O1266" s="45">
        <f t="shared" si="938"/>
        <v>-0.10537230813807293</v>
      </c>
      <c r="P1266" s="45">
        <f t="shared" si="938"/>
        <v>-0.10537230813807293</v>
      </c>
      <c r="Q1266" s="45">
        <f t="shared" si="938"/>
        <v>-0.10537230813807293</v>
      </c>
      <c r="R1266" s="45">
        <f t="shared" si="938"/>
        <v>-0.10537230813807293</v>
      </c>
      <c r="S1266" s="45">
        <f t="shared" si="938"/>
        <v>-0.10537230813807293</v>
      </c>
      <c r="T1266" s="45">
        <f t="shared" si="938"/>
        <v>-0.10537230813807293</v>
      </c>
      <c r="U1266" s="45">
        <f t="shared" si="938"/>
        <v>-0.10537230813807293</v>
      </c>
      <c r="V1266" s="45">
        <f t="shared" si="938"/>
        <v>-0.10537230813807293</v>
      </c>
      <c r="W1266" s="45">
        <f t="shared" si="938"/>
        <v>-0.10537230813807293</v>
      </c>
      <c r="X1266" s="45">
        <f t="shared" si="938"/>
        <v>-0.10537230813807293</v>
      </c>
      <c r="Y1266" s="45">
        <f t="shared" si="938"/>
        <v>-0.10537230813807293</v>
      </c>
      <c r="Z1266" s="45">
        <f t="shared" si="938"/>
        <v>-0.10537230813807293</v>
      </c>
      <c r="AA1266" s="45">
        <f t="shared" si="938"/>
        <v>-0.10537230813807293</v>
      </c>
      <c r="AB1266" s="45">
        <f t="shared" si="938"/>
        <v>-0.10537230813807293</v>
      </c>
      <c r="AC1266" s="45">
        <f t="shared" si="938"/>
        <v>-0.10537230813807293</v>
      </c>
      <c r="AD1266" s="45">
        <f t="shared" si="938"/>
        <v>-0.10537230813807293</v>
      </c>
      <c r="AE1266" s="45">
        <f t="shared" si="938"/>
        <v>-0.10537230813807293</v>
      </c>
    </row>
    <row r="1267" spans="2:32" x14ac:dyDescent="0.2">
      <c r="C1267" s="9" t="s">
        <v>146</v>
      </c>
      <c r="D1267" s="9"/>
      <c r="F1267" s="9" t="s">
        <v>55</v>
      </c>
      <c r="G1267" s="44">
        <f>SUM(I1267:AE1267)</f>
        <v>2119.367342721263</v>
      </c>
      <c r="I1267" s="44">
        <f>I1261+I1263+I1264+I1265+I1266</f>
        <v>-1.2724932893521876</v>
      </c>
      <c r="J1267" s="44">
        <f t="shared" ref="J1267:AE1267" si="939">J1261+J1263+J1264+J1265+J1266</f>
        <v>-1.4394676976568752</v>
      </c>
      <c r="K1267" s="44">
        <f t="shared" si="939"/>
        <v>38.211780828453676</v>
      </c>
      <c r="L1267" s="44">
        <f t="shared" si="939"/>
        <v>55.896970699499398</v>
      </c>
      <c r="M1267" s="44">
        <f t="shared" si="939"/>
        <v>109.69426983760644</v>
      </c>
      <c r="N1267" s="44">
        <f t="shared" si="939"/>
        <v>108.75712435372427</v>
      </c>
      <c r="O1267" s="44">
        <f t="shared" si="939"/>
        <v>108.75712435372424</v>
      </c>
      <c r="P1267" s="44">
        <f t="shared" si="939"/>
        <v>108.75712435372424</v>
      </c>
      <c r="Q1267" s="44">
        <f t="shared" si="939"/>
        <v>108.26348588598694</v>
      </c>
      <c r="R1267" s="44">
        <f t="shared" si="939"/>
        <v>107.76984741824967</v>
      </c>
      <c r="S1267" s="44">
        <f t="shared" si="939"/>
        <v>108.86975101547766</v>
      </c>
      <c r="T1267" s="44">
        <f t="shared" si="939"/>
        <v>108.37611254774033</v>
      </c>
      <c r="U1267" s="44">
        <f t="shared" si="939"/>
        <v>108.37611254774033</v>
      </c>
      <c r="V1267" s="44">
        <f t="shared" si="939"/>
        <v>107.63868994200151</v>
      </c>
      <c r="W1267" s="44">
        <f t="shared" si="939"/>
        <v>106.08558786336151</v>
      </c>
      <c r="X1267" s="44">
        <f t="shared" si="939"/>
        <v>104.5781652576227</v>
      </c>
      <c r="Y1267" s="44">
        <f t="shared" si="939"/>
        <v>104.5781652576227</v>
      </c>
      <c r="Z1267" s="44">
        <f t="shared" si="939"/>
        <v>104.5781652576227</v>
      </c>
      <c r="AA1267" s="44">
        <f t="shared" si="939"/>
        <v>104.5781652576227</v>
      </c>
      <c r="AB1267" s="44">
        <f t="shared" si="939"/>
        <v>104.5781652576227</v>
      </c>
      <c r="AC1267" s="44">
        <f t="shared" si="939"/>
        <v>104.5781652576227</v>
      </c>
      <c r="AD1267" s="44">
        <f t="shared" si="939"/>
        <v>104.5781652576227</v>
      </c>
      <c r="AE1267" s="44">
        <f t="shared" si="939"/>
        <v>104.5781652576227</v>
      </c>
    </row>
    <row r="1269" spans="2:32" x14ac:dyDescent="0.2">
      <c r="C1269" s="1" t="s">
        <v>147</v>
      </c>
      <c r="F1269" s="1" t="s">
        <v>55</v>
      </c>
      <c r="G1269" s="21">
        <f>SUM(I1269:AE1269)</f>
        <v>-532.9602171263324</v>
      </c>
      <c r="I1269" s="21">
        <f>-I1289</f>
        <v>0</v>
      </c>
      <c r="J1269" s="21">
        <f t="shared" ref="J1269:AE1269" si="940">-J1289</f>
        <v>0</v>
      </c>
      <c r="K1269" s="21">
        <f>-K1289</f>
        <v>-9.5968887550661393</v>
      </c>
      <c r="L1269" s="21">
        <f>-L1289</f>
        <v>-14.038524191179274</v>
      </c>
      <c r="M1269" s="21">
        <f t="shared" si="940"/>
        <v>-27.549715869714859</v>
      </c>
      <c r="N1269" s="21">
        <f t="shared" si="940"/>
        <v>-27.31435178143785</v>
      </c>
      <c r="O1269" s="21">
        <f t="shared" si="940"/>
        <v>-27.314351781437843</v>
      </c>
      <c r="P1269" s="21">
        <f t="shared" si="940"/>
        <v>-27.314351781437843</v>
      </c>
      <c r="Q1269" s="21">
        <f t="shared" si="940"/>
        <v>-27.190374480265618</v>
      </c>
      <c r="R1269" s="21">
        <f t="shared" si="940"/>
        <v>-27.066397179093403</v>
      </c>
      <c r="S1269" s="21">
        <f t="shared" si="940"/>
        <v>-27.342637967537215</v>
      </c>
      <c r="T1269" s="21">
        <f t="shared" si="940"/>
        <v>-27.218660666364983</v>
      </c>
      <c r="U1269" s="21">
        <f t="shared" si="940"/>
        <v>-27.218660666364983</v>
      </c>
      <c r="V1269" s="21">
        <f t="shared" si="940"/>
        <v>-27.033456978933678</v>
      </c>
      <c r="W1269" s="21">
        <f t="shared" si="940"/>
        <v>-26.643395391883242</v>
      </c>
      <c r="X1269" s="21">
        <f t="shared" si="940"/>
        <v>-26.264806204451943</v>
      </c>
      <c r="Y1269" s="21">
        <f t="shared" si="940"/>
        <v>-26.264806204451943</v>
      </c>
      <c r="Z1269" s="21">
        <f t="shared" si="940"/>
        <v>-26.264806204451943</v>
      </c>
      <c r="AA1269" s="21">
        <f t="shared" si="940"/>
        <v>-26.264806204451943</v>
      </c>
      <c r="AB1269" s="21">
        <f t="shared" si="940"/>
        <v>-26.264806204451943</v>
      </c>
      <c r="AC1269" s="21">
        <f t="shared" si="940"/>
        <v>-26.264806204451943</v>
      </c>
      <c r="AD1269" s="21">
        <f t="shared" si="940"/>
        <v>-26.264806204451943</v>
      </c>
      <c r="AE1269" s="21">
        <f t="shared" si="940"/>
        <v>-26.264806204451943</v>
      </c>
    </row>
    <row r="1270" spans="2:32" x14ac:dyDescent="0.2">
      <c r="C1270" s="9" t="s">
        <v>148</v>
      </c>
      <c r="D1270" s="9"/>
      <c r="E1270" s="9"/>
      <c r="F1270" s="9" t="s">
        <v>55</v>
      </c>
      <c r="G1270" s="44">
        <f>SUM(I1270:AE1270)</f>
        <v>1586.4071255949293</v>
      </c>
      <c r="H1270" s="9"/>
      <c r="I1270" s="44">
        <f>I1267+I1269</f>
        <v>-1.2724932893521876</v>
      </c>
      <c r="J1270" s="44">
        <f t="shared" ref="J1270:AE1270" si="941">J1267+J1269</f>
        <v>-1.4394676976568752</v>
      </c>
      <c r="K1270" s="44">
        <f>K1267+K1269</f>
        <v>28.614892073387537</v>
      </c>
      <c r="L1270" s="44">
        <f t="shared" si="941"/>
        <v>41.858446508320128</v>
      </c>
      <c r="M1270" s="44">
        <f t="shared" si="941"/>
        <v>82.144553967891582</v>
      </c>
      <c r="N1270" s="44">
        <f t="shared" si="941"/>
        <v>81.442772572286415</v>
      </c>
      <c r="O1270" s="44">
        <f t="shared" si="941"/>
        <v>81.442772572286401</v>
      </c>
      <c r="P1270" s="44">
        <f t="shared" si="941"/>
        <v>81.442772572286401</v>
      </c>
      <c r="Q1270" s="44">
        <f t="shared" si="941"/>
        <v>81.07311140572132</v>
      </c>
      <c r="R1270" s="44">
        <f t="shared" si="941"/>
        <v>80.703450239156268</v>
      </c>
      <c r="S1270" s="44">
        <f t="shared" si="941"/>
        <v>81.527113047940446</v>
      </c>
      <c r="T1270" s="44">
        <f t="shared" si="941"/>
        <v>81.157451881375351</v>
      </c>
      <c r="U1270" s="44">
        <f t="shared" si="941"/>
        <v>81.157451881375351</v>
      </c>
      <c r="V1270" s="44">
        <f t="shared" si="941"/>
        <v>80.605232963067834</v>
      </c>
      <c r="W1270" s="44">
        <f t="shared" si="941"/>
        <v>79.442192471478265</v>
      </c>
      <c r="X1270" s="44">
        <f t="shared" si="941"/>
        <v>78.313359053170757</v>
      </c>
      <c r="Y1270" s="44">
        <f t="shared" si="941"/>
        <v>78.313359053170757</v>
      </c>
      <c r="Z1270" s="44">
        <f t="shared" si="941"/>
        <v>78.313359053170757</v>
      </c>
      <c r="AA1270" s="44">
        <f t="shared" si="941"/>
        <v>78.313359053170757</v>
      </c>
      <c r="AB1270" s="44">
        <f t="shared" si="941"/>
        <v>78.313359053170757</v>
      </c>
      <c r="AC1270" s="44">
        <f t="shared" si="941"/>
        <v>78.313359053170757</v>
      </c>
      <c r="AD1270" s="44">
        <f t="shared" si="941"/>
        <v>78.313359053170757</v>
      </c>
      <c r="AE1270" s="44">
        <f t="shared" si="941"/>
        <v>78.313359053170757</v>
      </c>
      <c r="AF1270" s="20"/>
    </row>
    <row r="1271" spans="2:32" x14ac:dyDescent="0.2">
      <c r="C1271" s="5"/>
      <c r="D1271" s="5"/>
    </row>
    <row r="1272" spans="2:32" x14ac:dyDescent="0.2">
      <c r="B1272" s="10">
        <f>B1252+0.1</f>
        <v>11.1</v>
      </c>
      <c r="C1272" s="9" t="s">
        <v>149</v>
      </c>
      <c r="D1272" s="9"/>
      <c r="G1272" s="21"/>
      <c r="N1272" s="21"/>
    </row>
    <row r="1273" spans="2:32" x14ac:dyDescent="0.2">
      <c r="C1273" s="5"/>
      <c r="D1273" s="5"/>
    </row>
    <row r="1274" spans="2:32" x14ac:dyDescent="0.2">
      <c r="C1274" s="63" t="s">
        <v>114</v>
      </c>
      <c r="D1274" s="63"/>
    </row>
    <row r="1275" spans="2:32" x14ac:dyDescent="0.2">
      <c r="C1275" s="1" t="s">
        <v>146</v>
      </c>
      <c r="F1275" s="1" t="s">
        <v>55</v>
      </c>
      <c r="G1275" s="21">
        <f>SUM(I1275:AE1275)</f>
        <v>2119.367342721263</v>
      </c>
      <c r="I1275" s="21">
        <f>I1267</f>
        <v>-1.2724932893521876</v>
      </c>
      <c r="J1275" s="21">
        <f t="shared" ref="J1275:AE1275" si="942">J1267</f>
        <v>-1.4394676976568752</v>
      </c>
      <c r="K1275" s="21">
        <f>K1267</f>
        <v>38.211780828453676</v>
      </c>
      <c r="L1275" s="21">
        <f t="shared" si="942"/>
        <v>55.896970699499398</v>
      </c>
      <c r="M1275" s="21">
        <f t="shared" si="942"/>
        <v>109.69426983760644</v>
      </c>
      <c r="N1275" s="21">
        <f t="shared" si="942"/>
        <v>108.75712435372427</v>
      </c>
      <c r="O1275" s="21">
        <f t="shared" si="942"/>
        <v>108.75712435372424</v>
      </c>
      <c r="P1275" s="21">
        <f t="shared" si="942"/>
        <v>108.75712435372424</v>
      </c>
      <c r="Q1275" s="21">
        <f t="shared" si="942"/>
        <v>108.26348588598694</v>
      </c>
      <c r="R1275" s="21">
        <f t="shared" si="942"/>
        <v>107.76984741824967</v>
      </c>
      <c r="S1275" s="21">
        <f t="shared" si="942"/>
        <v>108.86975101547766</v>
      </c>
      <c r="T1275" s="21">
        <f t="shared" si="942"/>
        <v>108.37611254774033</v>
      </c>
      <c r="U1275" s="21">
        <f t="shared" si="942"/>
        <v>108.37611254774033</v>
      </c>
      <c r="V1275" s="21">
        <f t="shared" si="942"/>
        <v>107.63868994200151</v>
      </c>
      <c r="W1275" s="21">
        <f t="shared" si="942"/>
        <v>106.08558786336151</v>
      </c>
      <c r="X1275" s="21">
        <f t="shared" si="942"/>
        <v>104.5781652576227</v>
      </c>
      <c r="Y1275" s="21">
        <f t="shared" si="942"/>
        <v>104.5781652576227</v>
      </c>
      <c r="Z1275" s="21">
        <f t="shared" si="942"/>
        <v>104.5781652576227</v>
      </c>
      <c r="AA1275" s="21">
        <f t="shared" si="942"/>
        <v>104.5781652576227</v>
      </c>
      <c r="AB1275" s="21">
        <f t="shared" si="942"/>
        <v>104.5781652576227</v>
      </c>
      <c r="AC1275" s="21">
        <f t="shared" si="942"/>
        <v>104.5781652576227</v>
      </c>
      <c r="AD1275" s="21">
        <f t="shared" si="942"/>
        <v>104.5781652576227</v>
      </c>
      <c r="AE1275" s="21">
        <f t="shared" si="942"/>
        <v>104.5781652576227</v>
      </c>
    </row>
    <row r="1276" spans="2:32" x14ac:dyDescent="0.2">
      <c r="C1276" s="1" t="s">
        <v>129</v>
      </c>
      <c r="F1276" s="1" t="s">
        <v>55</v>
      </c>
      <c r="G1276" s="21">
        <f>SUM(I1276:AE1276)</f>
        <v>-252.20471378383036</v>
      </c>
      <c r="I1276" s="21">
        <f>-I1284</f>
        <v>0.15142670143291032</v>
      </c>
      <c r="J1276" s="21">
        <f t="shared" ref="J1276:AE1276" si="943">-J1284</f>
        <v>0.17129665602116814</v>
      </c>
      <c r="K1276" s="21">
        <f>-K1284</f>
        <v>-4.5472019185859871</v>
      </c>
      <c r="L1276" s="21">
        <f t="shared" si="943"/>
        <v>-6.651739513240428</v>
      </c>
      <c r="M1276" s="21">
        <f t="shared" si="943"/>
        <v>-13.053618110675165</v>
      </c>
      <c r="N1276" s="21">
        <f t="shared" si="943"/>
        <v>-12.942097798093187</v>
      </c>
      <c r="O1276" s="21">
        <f t="shared" si="943"/>
        <v>-12.942097798093183</v>
      </c>
      <c r="P1276" s="21">
        <f t="shared" si="943"/>
        <v>-12.942097798093183</v>
      </c>
      <c r="Q1276" s="21">
        <f t="shared" si="943"/>
        <v>-12.883354820432444</v>
      </c>
      <c r="R1276" s="21">
        <f t="shared" si="943"/>
        <v>-12.824611842771709</v>
      </c>
      <c r="S1276" s="21">
        <f t="shared" si="943"/>
        <v>-12.955500370841841</v>
      </c>
      <c r="T1276" s="21">
        <f t="shared" si="943"/>
        <v>-12.896757393181099</v>
      </c>
      <c r="U1276" s="21">
        <f t="shared" si="943"/>
        <v>-12.896757393181099</v>
      </c>
      <c r="V1276" s="21">
        <f t="shared" si="943"/>
        <v>-12.809004103098179</v>
      </c>
      <c r="W1276" s="21">
        <f t="shared" si="943"/>
        <v>-12.624184955740018</v>
      </c>
      <c r="X1276" s="21">
        <f t="shared" si="943"/>
        <v>-12.444801665657101</v>
      </c>
      <c r="Y1276" s="21">
        <f t="shared" si="943"/>
        <v>-12.444801665657101</v>
      </c>
      <c r="Z1276" s="21">
        <f t="shared" si="943"/>
        <v>-12.444801665657101</v>
      </c>
      <c r="AA1276" s="21">
        <f t="shared" si="943"/>
        <v>-12.444801665657101</v>
      </c>
      <c r="AB1276" s="21">
        <f t="shared" si="943"/>
        <v>-12.444801665657101</v>
      </c>
      <c r="AC1276" s="21">
        <f t="shared" si="943"/>
        <v>-12.444801665657101</v>
      </c>
      <c r="AD1276" s="21">
        <f t="shared" si="943"/>
        <v>-12.444801665657101</v>
      </c>
      <c r="AE1276" s="21">
        <f t="shared" si="943"/>
        <v>-12.444801665657101</v>
      </c>
    </row>
    <row r="1277" spans="2:32" x14ac:dyDescent="0.2">
      <c r="C1277" s="1" t="s">
        <v>130</v>
      </c>
      <c r="F1277" s="1" t="s">
        <v>55</v>
      </c>
      <c r="G1277" s="21">
        <f>SUM(I1277:AE1277)</f>
        <v>0</v>
      </c>
      <c r="I1277" s="21">
        <f t="shared" ref="I1277:AE1277" si="944">-I1285</f>
        <v>0</v>
      </c>
      <c r="J1277" s="21">
        <f t="shared" si="944"/>
        <v>0</v>
      </c>
      <c r="K1277" s="21">
        <f>-K1285</f>
        <v>0</v>
      </c>
      <c r="L1277" s="21">
        <f t="shared" si="944"/>
        <v>0</v>
      </c>
      <c r="M1277" s="21">
        <f t="shared" si="944"/>
        <v>0</v>
      </c>
      <c r="N1277" s="21">
        <f t="shared" si="944"/>
        <v>0</v>
      </c>
      <c r="O1277" s="21">
        <f t="shared" si="944"/>
        <v>0</v>
      </c>
      <c r="P1277" s="21">
        <f t="shared" si="944"/>
        <v>0</v>
      </c>
      <c r="Q1277" s="21">
        <f t="shared" si="944"/>
        <v>0</v>
      </c>
      <c r="R1277" s="21">
        <f t="shared" si="944"/>
        <v>0</v>
      </c>
      <c r="S1277" s="21">
        <f t="shared" si="944"/>
        <v>0</v>
      </c>
      <c r="T1277" s="21">
        <f t="shared" si="944"/>
        <v>0</v>
      </c>
      <c r="U1277" s="21">
        <f t="shared" si="944"/>
        <v>0</v>
      </c>
      <c r="V1277" s="21">
        <f t="shared" si="944"/>
        <v>0</v>
      </c>
      <c r="W1277" s="21">
        <f t="shared" si="944"/>
        <v>0</v>
      </c>
      <c r="X1277" s="21">
        <f t="shared" si="944"/>
        <v>0</v>
      </c>
      <c r="Y1277" s="21">
        <f t="shared" si="944"/>
        <v>0</v>
      </c>
      <c r="Z1277" s="21">
        <f t="shared" si="944"/>
        <v>0</v>
      </c>
      <c r="AA1277" s="21">
        <f t="shared" si="944"/>
        <v>0</v>
      </c>
      <c r="AB1277" s="21">
        <f t="shared" si="944"/>
        <v>0</v>
      </c>
      <c r="AC1277" s="21">
        <f t="shared" si="944"/>
        <v>0</v>
      </c>
      <c r="AD1277" s="21">
        <f t="shared" si="944"/>
        <v>0</v>
      </c>
      <c r="AE1277" s="21">
        <f t="shared" si="944"/>
        <v>0</v>
      </c>
    </row>
    <row r="1278" spans="2:32" x14ac:dyDescent="0.2">
      <c r="C1278" s="1" t="s">
        <v>131</v>
      </c>
      <c r="F1278" s="1" t="s">
        <v>55</v>
      </c>
      <c r="G1278" s="21">
        <f>SUM(I1278:AE1278)</f>
        <v>1867.1626289374331</v>
      </c>
      <c r="I1278" s="21">
        <f>SUM(I1275:I1277)</f>
        <v>-1.1210665879192774</v>
      </c>
      <c r="J1278" s="21">
        <f t="shared" ref="J1278:AE1278" si="945">SUM(J1275:J1277)</f>
        <v>-1.268171041635707</v>
      </c>
      <c r="K1278" s="21">
        <f>SUM(K1275:K1277)</f>
        <v>33.664578909867686</v>
      </c>
      <c r="L1278" s="21">
        <f t="shared" si="945"/>
        <v>49.24523118625897</v>
      </c>
      <c r="M1278" s="21">
        <f t="shared" si="945"/>
        <v>96.640651726931281</v>
      </c>
      <c r="N1278" s="21">
        <f t="shared" si="945"/>
        <v>95.815026555631079</v>
      </c>
      <c r="O1278" s="21">
        <f t="shared" si="945"/>
        <v>95.81502655563105</v>
      </c>
      <c r="P1278" s="21">
        <f t="shared" si="945"/>
        <v>95.81502655563105</v>
      </c>
      <c r="Q1278" s="21">
        <f t="shared" si="945"/>
        <v>95.380131065554494</v>
      </c>
      <c r="R1278" s="21">
        <f t="shared" si="945"/>
        <v>94.945235575477966</v>
      </c>
      <c r="S1278" s="21">
        <f t="shared" si="945"/>
        <v>95.914250644635814</v>
      </c>
      <c r="T1278" s="21">
        <f t="shared" si="945"/>
        <v>95.479355154559229</v>
      </c>
      <c r="U1278" s="21">
        <f t="shared" si="945"/>
        <v>95.479355154559229</v>
      </c>
      <c r="V1278" s="21">
        <f t="shared" si="945"/>
        <v>94.82968583890333</v>
      </c>
      <c r="W1278" s="21">
        <f t="shared" si="945"/>
        <v>93.46140290762149</v>
      </c>
      <c r="X1278" s="21">
        <f t="shared" si="945"/>
        <v>92.133363591965605</v>
      </c>
      <c r="Y1278" s="21">
        <f t="shared" si="945"/>
        <v>92.133363591965605</v>
      </c>
      <c r="Z1278" s="21">
        <f t="shared" si="945"/>
        <v>92.133363591965605</v>
      </c>
      <c r="AA1278" s="21">
        <f t="shared" si="945"/>
        <v>92.133363591965605</v>
      </c>
      <c r="AB1278" s="21">
        <f t="shared" si="945"/>
        <v>92.133363591965605</v>
      </c>
      <c r="AC1278" s="21">
        <f t="shared" si="945"/>
        <v>92.133363591965605</v>
      </c>
      <c r="AD1278" s="21">
        <f t="shared" si="945"/>
        <v>92.133363591965605</v>
      </c>
      <c r="AE1278" s="21">
        <f t="shared" si="945"/>
        <v>92.133363591965605</v>
      </c>
      <c r="AF1278" s="1"/>
    </row>
    <row r="1279" spans="2:32" x14ac:dyDescent="0.2">
      <c r="G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1"/>
    </row>
    <row r="1280" spans="2:32" x14ac:dyDescent="0.2">
      <c r="C1280" s="9" t="s">
        <v>150</v>
      </c>
      <c r="D1280" s="9"/>
      <c r="F1280" s="9" t="s">
        <v>55</v>
      </c>
      <c r="G1280" s="44">
        <f>SUM(I1280:AE1280)</f>
        <v>280.43277998504817</v>
      </c>
      <c r="H1280" s="9"/>
      <c r="I1280" s="44">
        <f>MAX(I1278,0)*$E$960</f>
        <v>0</v>
      </c>
      <c r="J1280" s="44">
        <f t="shared" ref="J1280:AE1280" si="946">MAX(J1278,0)*$E$960</f>
        <v>0</v>
      </c>
      <c r="K1280" s="44">
        <f t="shared" si="946"/>
        <v>5.049686836480153</v>
      </c>
      <c r="L1280" s="44">
        <f t="shared" si="946"/>
        <v>7.3867846779388451</v>
      </c>
      <c r="M1280" s="44">
        <f t="shared" si="946"/>
        <v>14.496097759039692</v>
      </c>
      <c r="N1280" s="44">
        <f t="shared" si="946"/>
        <v>14.372253983344661</v>
      </c>
      <c r="O1280" s="44">
        <f t="shared" si="946"/>
        <v>14.372253983344658</v>
      </c>
      <c r="P1280" s="44">
        <f t="shared" si="946"/>
        <v>14.372253983344658</v>
      </c>
      <c r="Q1280" s="44">
        <f t="shared" si="946"/>
        <v>14.307019659833173</v>
      </c>
      <c r="R1280" s="44">
        <f t="shared" si="946"/>
        <v>14.241785336321694</v>
      </c>
      <c r="S1280" s="44">
        <f t="shared" si="946"/>
        <v>14.387137596695371</v>
      </c>
      <c r="T1280" s="44">
        <f t="shared" si="946"/>
        <v>14.321903273183883</v>
      </c>
      <c r="U1280" s="44">
        <f t="shared" si="946"/>
        <v>14.321903273183883</v>
      </c>
      <c r="V1280" s="44">
        <f t="shared" si="946"/>
        <v>14.2244528758355</v>
      </c>
      <c r="W1280" s="44">
        <f t="shared" si="946"/>
        <v>14.019210436143224</v>
      </c>
      <c r="X1280" s="44">
        <f t="shared" si="946"/>
        <v>13.820004538794841</v>
      </c>
      <c r="Y1280" s="44">
        <f t="shared" si="946"/>
        <v>13.820004538794841</v>
      </c>
      <c r="Z1280" s="44">
        <f t="shared" si="946"/>
        <v>13.820004538794841</v>
      </c>
      <c r="AA1280" s="44">
        <f t="shared" si="946"/>
        <v>13.820004538794841</v>
      </c>
      <c r="AB1280" s="44">
        <f t="shared" si="946"/>
        <v>13.820004538794841</v>
      </c>
      <c r="AC1280" s="44">
        <f t="shared" si="946"/>
        <v>13.820004538794841</v>
      </c>
      <c r="AD1280" s="44">
        <f t="shared" si="946"/>
        <v>13.820004538794841</v>
      </c>
      <c r="AE1280" s="44">
        <f t="shared" si="946"/>
        <v>13.820004538794841</v>
      </c>
      <c r="AF1280" s="1"/>
    </row>
    <row r="1281" spans="2:32" x14ac:dyDescent="0.2">
      <c r="C1281" s="5"/>
      <c r="D1281" s="5"/>
      <c r="G1281" s="21"/>
      <c r="AF1281" s="1"/>
    </row>
    <row r="1282" spans="2:32" x14ac:dyDescent="0.2">
      <c r="C1282" s="63" t="s">
        <v>151</v>
      </c>
      <c r="D1282" s="63"/>
      <c r="G1282" s="21"/>
      <c r="AF1282" s="1"/>
    </row>
    <row r="1283" spans="2:32" x14ac:dyDescent="0.2">
      <c r="C1283" s="1" t="s">
        <v>146</v>
      </c>
      <c r="F1283" s="1" t="s">
        <v>55</v>
      </c>
      <c r="G1283" s="21">
        <f>SUM(I1283:AE1283)</f>
        <v>2119.367342721263</v>
      </c>
      <c r="I1283" s="21">
        <f>I1267</f>
        <v>-1.2724932893521876</v>
      </c>
      <c r="J1283" s="21">
        <f t="shared" ref="J1283:AE1283" si="947">J1267</f>
        <v>-1.4394676976568752</v>
      </c>
      <c r="K1283" s="21">
        <f>K1267</f>
        <v>38.211780828453676</v>
      </c>
      <c r="L1283" s="21">
        <f t="shared" si="947"/>
        <v>55.896970699499398</v>
      </c>
      <c r="M1283" s="21">
        <f t="shared" si="947"/>
        <v>109.69426983760644</v>
      </c>
      <c r="N1283" s="21">
        <f t="shared" si="947"/>
        <v>108.75712435372427</v>
      </c>
      <c r="O1283" s="21">
        <f t="shared" si="947"/>
        <v>108.75712435372424</v>
      </c>
      <c r="P1283" s="21">
        <f t="shared" si="947"/>
        <v>108.75712435372424</v>
      </c>
      <c r="Q1283" s="21">
        <f t="shared" si="947"/>
        <v>108.26348588598694</v>
      </c>
      <c r="R1283" s="21">
        <f t="shared" si="947"/>
        <v>107.76984741824967</v>
      </c>
      <c r="S1283" s="21">
        <f t="shared" si="947"/>
        <v>108.86975101547766</v>
      </c>
      <c r="T1283" s="21">
        <f t="shared" si="947"/>
        <v>108.37611254774033</v>
      </c>
      <c r="U1283" s="21">
        <f t="shared" si="947"/>
        <v>108.37611254774033</v>
      </c>
      <c r="V1283" s="21">
        <f t="shared" si="947"/>
        <v>107.63868994200151</v>
      </c>
      <c r="W1283" s="21">
        <f t="shared" si="947"/>
        <v>106.08558786336151</v>
      </c>
      <c r="X1283" s="21">
        <f t="shared" si="947"/>
        <v>104.5781652576227</v>
      </c>
      <c r="Y1283" s="21">
        <f t="shared" si="947"/>
        <v>104.5781652576227</v>
      </c>
      <c r="Z1283" s="21">
        <f t="shared" si="947"/>
        <v>104.5781652576227</v>
      </c>
      <c r="AA1283" s="21">
        <f t="shared" si="947"/>
        <v>104.5781652576227</v>
      </c>
      <c r="AB1283" s="21">
        <f t="shared" si="947"/>
        <v>104.5781652576227</v>
      </c>
      <c r="AC1283" s="21">
        <f t="shared" si="947"/>
        <v>104.5781652576227</v>
      </c>
      <c r="AD1283" s="21">
        <f t="shared" si="947"/>
        <v>104.5781652576227</v>
      </c>
      <c r="AE1283" s="21">
        <f t="shared" si="947"/>
        <v>104.5781652576227</v>
      </c>
      <c r="AF1283" s="1"/>
    </row>
    <row r="1284" spans="2:32" x14ac:dyDescent="0.2">
      <c r="C1284" s="5" t="s">
        <v>292</v>
      </c>
      <c r="D1284" s="5"/>
      <c r="F1284" s="1" t="s">
        <v>55</v>
      </c>
      <c r="G1284" s="21">
        <f>SUM(I1284:AE1284)</f>
        <v>252.20471378383036</v>
      </c>
      <c r="I1284" s="21">
        <f>I1283*$E$975</f>
        <v>-0.15142670143291032</v>
      </c>
      <c r="J1284" s="21">
        <f t="shared" ref="J1284:AE1284" si="948">J1283*$E$975</f>
        <v>-0.17129665602116814</v>
      </c>
      <c r="K1284" s="21">
        <f t="shared" si="948"/>
        <v>4.5472019185859871</v>
      </c>
      <c r="L1284" s="21">
        <f t="shared" si="948"/>
        <v>6.651739513240428</v>
      </c>
      <c r="M1284" s="21">
        <f t="shared" si="948"/>
        <v>13.053618110675165</v>
      </c>
      <c r="N1284" s="21">
        <f t="shared" si="948"/>
        <v>12.942097798093187</v>
      </c>
      <c r="O1284" s="21">
        <f t="shared" si="948"/>
        <v>12.942097798093183</v>
      </c>
      <c r="P1284" s="21">
        <f t="shared" si="948"/>
        <v>12.942097798093183</v>
      </c>
      <c r="Q1284" s="21">
        <f t="shared" si="948"/>
        <v>12.883354820432444</v>
      </c>
      <c r="R1284" s="21">
        <f t="shared" si="948"/>
        <v>12.824611842771709</v>
      </c>
      <c r="S1284" s="21">
        <f t="shared" si="948"/>
        <v>12.955500370841841</v>
      </c>
      <c r="T1284" s="21">
        <f t="shared" si="948"/>
        <v>12.896757393181099</v>
      </c>
      <c r="U1284" s="21">
        <f t="shared" si="948"/>
        <v>12.896757393181099</v>
      </c>
      <c r="V1284" s="21">
        <f t="shared" si="948"/>
        <v>12.809004103098179</v>
      </c>
      <c r="W1284" s="21">
        <f t="shared" si="948"/>
        <v>12.624184955740018</v>
      </c>
      <c r="X1284" s="21">
        <f t="shared" si="948"/>
        <v>12.444801665657101</v>
      </c>
      <c r="Y1284" s="21">
        <f t="shared" si="948"/>
        <v>12.444801665657101</v>
      </c>
      <c r="Z1284" s="21">
        <f t="shared" si="948"/>
        <v>12.444801665657101</v>
      </c>
      <c r="AA1284" s="21">
        <f t="shared" si="948"/>
        <v>12.444801665657101</v>
      </c>
      <c r="AB1284" s="21">
        <f t="shared" si="948"/>
        <v>12.444801665657101</v>
      </c>
      <c r="AC1284" s="21">
        <f t="shared" si="948"/>
        <v>12.444801665657101</v>
      </c>
      <c r="AD1284" s="21">
        <f t="shared" si="948"/>
        <v>12.444801665657101</v>
      </c>
      <c r="AE1284" s="21">
        <f t="shared" si="948"/>
        <v>12.444801665657101</v>
      </c>
      <c r="AF1284" s="1"/>
    </row>
    <row r="1285" spans="2:32" x14ac:dyDescent="0.2">
      <c r="C1285" s="5" t="s">
        <v>130</v>
      </c>
      <c r="D1285" s="5"/>
      <c r="F1285" s="1" t="s">
        <v>55</v>
      </c>
      <c r="G1285" s="21">
        <f>SUM(I1285:AE1285)</f>
        <v>0</v>
      </c>
      <c r="I1285" s="52">
        <f t="shared" ref="I1285:AE1285" si="949">I1206</f>
        <v>0</v>
      </c>
      <c r="J1285" s="52">
        <f t="shared" si="949"/>
        <v>0</v>
      </c>
      <c r="K1285" s="52">
        <f t="shared" si="949"/>
        <v>0</v>
      </c>
      <c r="L1285" s="52">
        <f t="shared" si="949"/>
        <v>0</v>
      </c>
      <c r="M1285" s="52">
        <f t="shared" si="949"/>
        <v>0</v>
      </c>
      <c r="N1285" s="52">
        <f t="shared" si="949"/>
        <v>0</v>
      </c>
      <c r="O1285" s="52">
        <f t="shared" si="949"/>
        <v>0</v>
      </c>
      <c r="P1285" s="52">
        <f t="shared" si="949"/>
        <v>0</v>
      </c>
      <c r="Q1285" s="52">
        <f t="shared" si="949"/>
        <v>0</v>
      </c>
      <c r="R1285" s="52">
        <f t="shared" si="949"/>
        <v>0</v>
      </c>
      <c r="S1285" s="52">
        <f t="shared" si="949"/>
        <v>0</v>
      </c>
      <c r="T1285" s="52">
        <f t="shared" si="949"/>
        <v>0</v>
      </c>
      <c r="U1285" s="52">
        <f t="shared" si="949"/>
        <v>0</v>
      </c>
      <c r="V1285" s="52">
        <f t="shared" si="949"/>
        <v>0</v>
      </c>
      <c r="W1285" s="52">
        <f t="shared" si="949"/>
        <v>0</v>
      </c>
      <c r="X1285" s="52">
        <f t="shared" si="949"/>
        <v>0</v>
      </c>
      <c r="Y1285" s="52">
        <f t="shared" si="949"/>
        <v>0</v>
      </c>
      <c r="Z1285" s="52">
        <f t="shared" si="949"/>
        <v>0</v>
      </c>
      <c r="AA1285" s="52">
        <f t="shared" si="949"/>
        <v>0</v>
      </c>
      <c r="AB1285" s="52">
        <f t="shared" si="949"/>
        <v>0</v>
      </c>
      <c r="AC1285" s="52">
        <f t="shared" si="949"/>
        <v>0</v>
      </c>
      <c r="AD1285" s="52">
        <f t="shared" si="949"/>
        <v>0</v>
      </c>
      <c r="AE1285" s="52">
        <f t="shared" si="949"/>
        <v>0</v>
      </c>
      <c r="AF1285" s="1"/>
    </row>
    <row r="1286" spans="2:32" x14ac:dyDescent="0.2">
      <c r="C1286" s="5"/>
      <c r="D1286" s="5"/>
      <c r="G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1"/>
    </row>
    <row r="1287" spans="2:32" x14ac:dyDescent="0.2">
      <c r="C1287" s="20" t="s">
        <v>291</v>
      </c>
      <c r="D1287" s="20"/>
      <c r="E1287" s="9"/>
      <c r="F1287" s="9" t="s">
        <v>55</v>
      </c>
      <c r="G1287" s="44">
        <f>SUM(I1287:AE1287)</f>
        <v>252.52743714128442</v>
      </c>
      <c r="H1287" s="9"/>
      <c r="I1287" s="44">
        <f>MAX(I1284,0)+I1285</f>
        <v>0</v>
      </c>
      <c r="J1287" s="44">
        <f t="shared" ref="J1287:AE1287" si="950">MAX(J1284,0)+J1285</f>
        <v>0</v>
      </c>
      <c r="K1287" s="44">
        <f>MAX(K1284,0)+K1285</f>
        <v>4.5472019185859871</v>
      </c>
      <c r="L1287" s="44">
        <f t="shared" si="950"/>
        <v>6.651739513240428</v>
      </c>
      <c r="M1287" s="44">
        <f t="shared" si="950"/>
        <v>13.053618110675165</v>
      </c>
      <c r="N1287" s="44">
        <f t="shared" si="950"/>
        <v>12.942097798093187</v>
      </c>
      <c r="O1287" s="44">
        <f t="shared" si="950"/>
        <v>12.942097798093183</v>
      </c>
      <c r="P1287" s="44">
        <f t="shared" si="950"/>
        <v>12.942097798093183</v>
      </c>
      <c r="Q1287" s="44">
        <f t="shared" si="950"/>
        <v>12.883354820432444</v>
      </c>
      <c r="R1287" s="44">
        <f t="shared" si="950"/>
        <v>12.824611842771709</v>
      </c>
      <c r="S1287" s="44">
        <f t="shared" si="950"/>
        <v>12.955500370841841</v>
      </c>
      <c r="T1287" s="44">
        <f t="shared" si="950"/>
        <v>12.896757393181099</v>
      </c>
      <c r="U1287" s="44">
        <f t="shared" si="950"/>
        <v>12.896757393181099</v>
      </c>
      <c r="V1287" s="44">
        <f t="shared" si="950"/>
        <v>12.809004103098179</v>
      </c>
      <c r="W1287" s="44">
        <f t="shared" si="950"/>
        <v>12.624184955740018</v>
      </c>
      <c r="X1287" s="44">
        <f t="shared" si="950"/>
        <v>12.444801665657101</v>
      </c>
      <c r="Y1287" s="44">
        <f t="shared" si="950"/>
        <v>12.444801665657101</v>
      </c>
      <c r="Z1287" s="44">
        <f t="shared" si="950"/>
        <v>12.444801665657101</v>
      </c>
      <c r="AA1287" s="44">
        <f t="shared" si="950"/>
        <v>12.444801665657101</v>
      </c>
      <c r="AB1287" s="44">
        <f t="shared" si="950"/>
        <v>12.444801665657101</v>
      </c>
      <c r="AC1287" s="44">
        <f t="shared" si="950"/>
        <v>12.444801665657101</v>
      </c>
      <c r="AD1287" s="44">
        <f t="shared" si="950"/>
        <v>12.444801665657101</v>
      </c>
      <c r="AE1287" s="44">
        <f t="shared" si="950"/>
        <v>12.444801665657101</v>
      </c>
      <c r="AF1287" s="1"/>
    </row>
    <row r="1288" spans="2:32" x14ac:dyDescent="0.2">
      <c r="C1288" s="5"/>
      <c r="D1288" s="5"/>
      <c r="G1288" s="21"/>
      <c r="AF1288" s="1"/>
    </row>
    <row r="1289" spans="2:32" x14ac:dyDescent="0.2">
      <c r="C1289" s="20" t="s">
        <v>152</v>
      </c>
      <c r="D1289" s="20"/>
      <c r="F1289" s="9" t="s">
        <v>55</v>
      </c>
      <c r="G1289" s="44">
        <f>SUM(I1289:AE1289)</f>
        <v>532.9602171263324</v>
      </c>
      <c r="I1289" s="44">
        <f>I1280+I1287</f>
        <v>0</v>
      </c>
      <c r="J1289" s="44">
        <f t="shared" ref="J1289:AE1289" si="951">J1280+J1287</f>
        <v>0</v>
      </c>
      <c r="K1289" s="44">
        <f>K1280+K1287</f>
        <v>9.5968887550661393</v>
      </c>
      <c r="L1289" s="44">
        <f t="shared" si="951"/>
        <v>14.038524191179274</v>
      </c>
      <c r="M1289" s="44">
        <f t="shared" si="951"/>
        <v>27.549715869714859</v>
      </c>
      <c r="N1289" s="44">
        <f t="shared" si="951"/>
        <v>27.31435178143785</v>
      </c>
      <c r="O1289" s="44">
        <f t="shared" si="951"/>
        <v>27.314351781437843</v>
      </c>
      <c r="P1289" s="44">
        <f t="shared" si="951"/>
        <v>27.314351781437843</v>
      </c>
      <c r="Q1289" s="44">
        <f t="shared" si="951"/>
        <v>27.190374480265618</v>
      </c>
      <c r="R1289" s="44">
        <f t="shared" si="951"/>
        <v>27.066397179093403</v>
      </c>
      <c r="S1289" s="44">
        <f t="shared" si="951"/>
        <v>27.342637967537215</v>
      </c>
      <c r="T1289" s="44">
        <f t="shared" si="951"/>
        <v>27.218660666364983</v>
      </c>
      <c r="U1289" s="44">
        <f t="shared" si="951"/>
        <v>27.218660666364983</v>
      </c>
      <c r="V1289" s="44">
        <f t="shared" si="951"/>
        <v>27.033456978933678</v>
      </c>
      <c r="W1289" s="44">
        <f t="shared" si="951"/>
        <v>26.643395391883242</v>
      </c>
      <c r="X1289" s="44">
        <f t="shared" si="951"/>
        <v>26.264806204451943</v>
      </c>
      <c r="Y1289" s="44">
        <f t="shared" si="951"/>
        <v>26.264806204451943</v>
      </c>
      <c r="Z1289" s="44">
        <f t="shared" si="951"/>
        <v>26.264806204451943</v>
      </c>
      <c r="AA1289" s="44">
        <f t="shared" si="951"/>
        <v>26.264806204451943</v>
      </c>
      <c r="AB1289" s="44">
        <f t="shared" si="951"/>
        <v>26.264806204451943</v>
      </c>
      <c r="AC1289" s="44">
        <f t="shared" si="951"/>
        <v>26.264806204451943</v>
      </c>
      <c r="AD1289" s="44">
        <f t="shared" si="951"/>
        <v>26.264806204451943</v>
      </c>
      <c r="AE1289" s="44">
        <f t="shared" si="951"/>
        <v>26.264806204451943</v>
      </c>
      <c r="AF1289" s="1"/>
    </row>
    <row r="1290" spans="2:32" x14ac:dyDescent="0.2">
      <c r="C1290" s="5"/>
      <c r="D1290" s="5"/>
      <c r="N1290" s="21"/>
      <c r="AF1290" s="1"/>
    </row>
    <row r="1291" spans="2:32" x14ac:dyDescent="0.2">
      <c r="B1291" s="6"/>
      <c r="C1291" s="6"/>
      <c r="D1291" s="6"/>
      <c r="E1291" s="7"/>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1"/>
    </row>
    <row r="1292" spans="2:32" x14ac:dyDescent="0.2">
      <c r="C1292" s="5"/>
      <c r="D1292" s="5"/>
      <c r="AF1292" s="1"/>
    </row>
    <row r="1293" spans="2:32" x14ac:dyDescent="0.2">
      <c r="B1293" s="8">
        <f>B1252+1</f>
        <v>12</v>
      </c>
      <c r="C1293" s="20" t="s">
        <v>153</v>
      </c>
      <c r="D1293" s="20"/>
      <c r="AF1293" s="1"/>
    </row>
    <row r="1294" spans="2:32" x14ac:dyDescent="0.2">
      <c r="C1294" s="5"/>
      <c r="D1294" s="5"/>
      <c r="AF1294" s="1"/>
    </row>
    <row r="1295" spans="2:32" x14ac:dyDescent="0.2">
      <c r="B1295" s="10">
        <f>B1293+0.1</f>
        <v>12.1</v>
      </c>
      <c r="C1295" s="9" t="s">
        <v>154</v>
      </c>
      <c r="D1295" s="9"/>
      <c r="AF1295" s="1"/>
    </row>
    <row r="1296" spans="2:32" x14ac:dyDescent="0.2">
      <c r="C1296" s="1" t="s">
        <v>155</v>
      </c>
      <c r="F1296" s="1" t="s">
        <v>55</v>
      </c>
      <c r="I1296" s="21">
        <f>I1248</f>
        <v>-7.1054273576010019E-15</v>
      </c>
      <c r="J1296" s="21">
        <f>J1248</f>
        <v>-7.1054273576010019E-15</v>
      </c>
      <c r="K1296" s="21">
        <f>K1248</f>
        <v>19.721646026814547</v>
      </c>
      <c r="L1296" s="21">
        <f t="shared" ref="L1296:AC1296" si="952">L1248</f>
        <v>71.744255918018553</v>
      </c>
      <c r="M1296" s="21">
        <f ca="1">M1248</f>
        <v>0</v>
      </c>
      <c r="N1296" s="21">
        <f ca="1">N1248</f>
        <v>0</v>
      </c>
      <c r="O1296" s="21" t="e">
        <f t="shared" ca="1" si="952"/>
        <v>#NAME?</v>
      </c>
      <c r="P1296" s="21" t="e">
        <f t="shared" ca="1" si="952"/>
        <v>#NAME?</v>
      </c>
      <c r="Q1296" s="21" t="e">
        <f t="shared" ca="1" si="952"/>
        <v>#NAME?</v>
      </c>
      <c r="R1296" s="21" t="e">
        <f t="shared" ca="1" si="952"/>
        <v>#NAME?</v>
      </c>
      <c r="S1296" s="21">
        <f ca="1">S1248</f>
        <v>0</v>
      </c>
      <c r="T1296" s="21" t="e">
        <f t="shared" ca="1" si="952"/>
        <v>#NAME?</v>
      </c>
      <c r="U1296" s="21" t="e">
        <f t="shared" ca="1" si="952"/>
        <v>#NAME?</v>
      </c>
      <c r="V1296" s="21" t="e">
        <f t="shared" ca="1" si="952"/>
        <v>#NAME?</v>
      </c>
      <c r="W1296" s="21" t="e">
        <f t="shared" ca="1" si="952"/>
        <v>#NAME?</v>
      </c>
      <c r="X1296" s="21" t="e">
        <f t="shared" ca="1" si="952"/>
        <v>#NAME?</v>
      </c>
      <c r="Y1296" s="21" t="e">
        <f t="shared" ca="1" si="952"/>
        <v>#NAME?</v>
      </c>
      <c r="Z1296" s="21" t="e">
        <f t="shared" ca="1" si="952"/>
        <v>#NAME?</v>
      </c>
      <c r="AA1296" s="21" t="e">
        <f t="shared" ca="1" si="952"/>
        <v>#NAME?</v>
      </c>
      <c r="AB1296" s="21" t="e">
        <f t="shared" ca="1" si="952"/>
        <v>#NAME?</v>
      </c>
      <c r="AC1296" s="21" t="e">
        <f t="shared" ca="1" si="952"/>
        <v>#NAME?</v>
      </c>
      <c r="AD1296" s="21">
        <f ca="1">AD1248</f>
        <v>0</v>
      </c>
      <c r="AE1296" s="21">
        <f ca="1">AE1248</f>
        <v>0</v>
      </c>
      <c r="AF1296" s="1"/>
    </row>
    <row r="1297" spans="2:32" x14ac:dyDescent="0.2">
      <c r="C1297" s="1" t="s">
        <v>99</v>
      </c>
      <c r="F1297" s="1" t="s">
        <v>55</v>
      </c>
      <c r="I1297" s="21">
        <f t="shared" ref="I1297:AE1297" si="953">I912</f>
        <v>0</v>
      </c>
      <c r="J1297" s="21">
        <f t="shared" si="953"/>
        <v>0</v>
      </c>
      <c r="K1297" s="21">
        <f t="shared" si="953"/>
        <v>18.071688575342467</v>
      </c>
      <c r="L1297" s="21">
        <f t="shared" si="953"/>
        <v>0</v>
      </c>
      <c r="M1297" s="21">
        <f t="shared" si="953"/>
        <v>24.095584767123285</v>
      </c>
      <c r="N1297" s="21">
        <f t="shared" si="953"/>
        <v>24.095584767123285</v>
      </c>
      <c r="O1297" s="21">
        <f t="shared" si="953"/>
        <v>24.095584767123285</v>
      </c>
      <c r="P1297" s="21">
        <f t="shared" si="953"/>
        <v>24.095584767123285</v>
      </c>
      <c r="Q1297" s="21">
        <f t="shared" si="953"/>
        <v>24.095584767123285</v>
      </c>
      <c r="R1297" s="21">
        <f t="shared" si="953"/>
        <v>24.095584767123285</v>
      </c>
      <c r="S1297" s="21">
        <f t="shared" si="953"/>
        <v>24.095584767123285</v>
      </c>
      <c r="T1297" s="21">
        <f t="shared" si="953"/>
        <v>24.095584767123285</v>
      </c>
      <c r="U1297" s="21">
        <f t="shared" si="953"/>
        <v>24.095584767123285</v>
      </c>
      <c r="V1297" s="21">
        <f t="shared" si="953"/>
        <v>24.095584767123285</v>
      </c>
      <c r="W1297" s="21">
        <f t="shared" si="953"/>
        <v>24.095584767123285</v>
      </c>
      <c r="X1297" s="21">
        <f t="shared" si="953"/>
        <v>24.095584767123285</v>
      </c>
      <c r="Y1297" s="21">
        <f t="shared" si="953"/>
        <v>24.095584767123285</v>
      </c>
      <c r="Z1297" s="21">
        <f t="shared" si="953"/>
        <v>24.095584767123285</v>
      </c>
      <c r="AA1297" s="21">
        <f t="shared" si="953"/>
        <v>24.095584767123285</v>
      </c>
      <c r="AB1297" s="21">
        <f t="shared" si="953"/>
        <v>24.095584767123285</v>
      </c>
      <c r="AC1297" s="21">
        <f t="shared" si="953"/>
        <v>24.095584767123285</v>
      </c>
      <c r="AD1297" s="21">
        <f t="shared" si="953"/>
        <v>24.095584767123285</v>
      </c>
      <c r="AE1297" s="21">
        <f t="shared" si="953"/>
        <v>24.095584767123285</v>
      </c>
      <c r="AF1297" s="1"/>
    </row>
    <row r="1298" spans="2:32" x14ac:dyDescent="0.2">
      <c r="C1298" s="1" t="s">
        <v>156</v>
      </c>
      <c r="F1298" s="1" t="s">
        <v>55</v>
      </c>
      <c r="I1298" s="21">
        <f>I1324</f>
        <v>56.557541166478941</v>
      </c>
      <c r="J1298" s="21">
        <f t="shared" ref="J1298:AE1298" si="954">J1324</f>
        <v>324.26373493623282</v>
      </c>
      <c r="K1298" s="21">
        <f>K1324</f>
        <v>475.57593141478935</v>
      </c>
      <c r="L1298" s="21">
        <f>L1324</f>
        <v>451.79713484404988</v>
      </c>
      <c r="M1298" s="21">
        <f t="shared" si="954"/>
        <v>428.01833827331041</v>
      </c>
      <c r="N1298" s="21">
        <f t="shared" si="954"/>
        <v>404.23954170257093</v>
      </c>
      <c r="O1298" s="21">
        <f t="shared" si="954"/>
        <v>380.46074513183146</v>
      </c>
      <c r="P1298" s="21">
        <f t="shared" si="954"/>
        <v>356.68194856109199</v>
      </c>
      <c r="Q1298" s="21">
        <f t="shared" si="954"/>
        <v>332.90315199035251</v>
      </c>
      <c r="R1298" s="21">
        <f t="shared" si="954"/>
        <v>309.12435541961304</v>
      </c>
      <c r="S1298" s="21">
        <f t="shared" si="954"/>
        <v>285.34555884887357</v>
      </c>
      <c r="T1298" s="21">
        <f t="shared" si="954"/>
        <v>261.56676227813409</v>
      </c>
      <c r="U1298" s="21">
        <f t="shared" si="954"/>
        <v>237.78796570739462</v>
      </c>
      <c r="V1298" s="21">
        <f t="shared" si="954"/>
        <v>214.00916913665515</v>
      </c>
      <c r="W1298" s="21">
        <f t="shared" si="954"/>
        <v>190.23037256591567</v>
      </c>
      <c r="X1298" s="21">
        <f t="shared" si="954"/>
        <v>166.4515759951762</v>
      </c>
      <c r="Y1298" s="21">
        <f t="shared" si="954"/>
        <v>142.67277942443673</v>
      </c>
      <c r="Z1298" s="21">
        <f t="shared" si="954"/>
        <v>118.89398285369725</v>
      </c>
      <c r="AA1298" s="21">
        <f t="shared" si="954"/>
        <v>95.115186282957779</v>
      </c>
      <c r="AB1298" s="21">
        <f t="shared" si="954"/>
        <v>71.336389712218306</v>
      </c>
      <c r="AC1298" s="21">
        <f t="shared" si="954"/>
        <v>47.55759314147884</v>
      </c>
      <c r="AD1298" s="21">
        <f t="shared" si="954"/>
        <v>23.778796570739374</v>
      </c>
      <c r="AE1298" s="21">
        <f t="shared" si="954"/>
        <v>-9.2370555648813024E-14</v>
      </c>
      <c r="AF1298" s="1"/>
    </row>
    <row r="1299" spans="2:32" x14ac:dyDescent="0.2">
      <c r="C1299" s="1" t="s">
        <v>157</v>
      </c>
      <c r="F1299" s="1" t="s">
        <v>55</v>
      </c>
      <c r="I1299" s="21">
        <f t="shared" ref="I1299:AE1299" si="955">I917+I922+I927</f>
        <v>0</v>
      </c>
      <c r="J1299" s="21">
        <f t="shared" si="955"/>
        <v>0</v>
      </c>
      <c r="K1299" s="21">
        <f t="shared" si="955"/>
        <v>14.624869487070479</v>
      </c>
      <c r="L1299" s="21">
        <f t="shared" si="955"/>
        <v>0</v>
      </c>
      <c r="M1299" s="21">
        <f t="shared" si="955"/>
        <v>19.384685079908554</v>
      </c>
      <c r="N1299" s="21">
        <f t="shared" si="955"/>
        <v>19.384685079908554</v>
      </c>
      <c r="O1299" s="21">
        <f t="shared" si="955"/>
        <v>19.384685079908554</v>
      </c>
      <c r="P1299" s="21">
        <f t="shared" si="955"/>
        <v>19.384685079908554</v>
      </c>
      <c r="Q1299" s="21">
        <f t="shared" si="955"/>
        <v>19.425258104654084</v>
      </c>
      <c r="R1299" s="21">
        <f t="shared" si="955"/>
        <v>19.465831129399614</v>
      </c>
      <c r="S1299" s="21">
        <f t="shared" si="955"/>
        <v>19.506404154145141</v>
      </c>
      <c r="T1299" s="21">
        <f t="shared" si="955"/>
        <v>19.546977178890675</v>
      </c>
      <c r="U1299" s="21">
        <f t="shared" si="955"/>
        <v>19.546977178890675</v>
      </c>
      <c r="V1299" s="21">
        <f t="shared" si="955"/>
        <v>19.607587256074691</v>
      </c>
      <c r="W1299" s="21">
        <f t="shared" si="955"/>
        <v>19.735239481716334</v>
      </c>
      <c r="X1299" s="21">
        <f t="shared" si="955"/>
        <v>19.859137230133221</v>
      </c>
      <c r="Y1299" s="21">
        <f t="shared" si="955"/>
        <v>19.859137230133221</v>
      </c>
      <c r="Z1299" s="21">
        <f t="shared" si="955"/>
        <v>19.859137230133221</v>
      </c>
      <c r="AA1299" s="21">
        <f t="shared" si="955"/>
        <v>19.859137230133221</v>
      </c>
      <c r="AB1299" s="21">
        <f t="shared" si="955"/>
        <v>19.859137230133221</v>
      </c>
      <c r="AC1299" s="21">
        <f t="shared" si="955"/>
        <v>19.859137230133221</v>
      </c>
      <c r="AD1299" s="21">
        <f t="shared" si="955"/>
        <v>19.859137230133221</v>
      </c>
      <c r="AE1299" s="21">
        <f t="shared" si="955"/>
        <v>19.859137230133221</v>
      </c>
      <c r="AF1299" s="1"/>
    </row>
    <row r="1300" spans="2:32" x14ac:dyDescent="0.2">
      <c r="C1300" s="1" t="s">
        <v>158</v>
      </c>
      <c r="F1300" s="1" t="s">
        <v>55</v>
      </c>
      <c r="I1300" s="21">
        <f>-(I1359&lt;0)*I1359</f>
        <v>0</v>
      </c>
      <c r="J1300" s="21">
        <f t="shared" ref="J1300:AE1300" si="956">-(J1359&lt;0)*J1359</f>
        <v>0</v>
      </c>
      <c r="K1300" s="21">
        <f>-(K1359&lt;0)*K1359</f>
        <v>0</v>
      </c>
      <c r="L1300" s="21">
        <f t="shared" si="956"/>
        <v>0</v>
      </c>
      <c r="M1300" s="21">
        <f t="shared" si="956"/>
        <v>0</v>
      </c>
      <c r="N1300" s="21">
        <f t="shared" si="956"/>
        <v>0</v>
      </c>
      <c r="O1300" s="21">
        <f t="shared" si="956"/>
        <v>0</v>
      </c>
      <c r="P1300" s="21">
        <f t="shared" si="956"/>
        <v>0</v>
      </c>
      <c r="Q1300" s="21">
        <f t="shared" si="956"/>
        <v>0</v>
      </c>
      <c r="R1300" s="21">
        <f t="shared" si="956"/>
        <v>0</v>
      </c>
      <c r="S1300" s="21">
        <f t="shared" si="956"/>
        <v>0</v>
      </c>
      <c r="T1300" s="21">
        <f t="shared" si="956"/>
        <v>0</v>
      </c>
      <c r="U1300" s="21">
        <f t="shared" si="956"/>
        <v>0</v>
      </c>
      <c r="V1300" s="21">
        <f t="shared" si="956"/>
        <v>0</v>
      </c>
      <c r="W1300" s="21">
        <f t="shared" si="956"/>
        <v>0</v>
      </c>
      <c r="X1300" s="21">
        <f t="shared" si="956"/>
        <v>0</v>
      </c>
      <c r="Y1300" s="21">
        <f t="shared" si="956"/>
        <v>0</v>
      </c>
      <c r="Z1300" s="21">
        <f t="shared" si="956"/>
        <v>0</v>
      </c>
      <c r="AA1300" s="21">
        <f t="shared" si="956"/>
        <v>0</v>
      </c>
      <c r="AB1300" s="21">
        <f t="shared" si="956"/>
        <v>0</v>
      </c>
      <c r="AC1300" s="21">
        <f t="shared" si="956"/>
        <v>0</v>
      </c>
      <c r="AD1300" s="21">
        <f t="shared" si="956"/>
        <v>0</v>
      </c>
      <c r="AE1300" s="21">
        <f t="shared" si="956"/>
        <v>0</v>
      </c>
      <c r="AF1300" s="1"/>
    </row>
    <row r="1301" spans="2:32" s="5" customFormat="1" x14ac:dyDescent="0.2">
      <c r="C1301" s="5" t="s">
        <v>294</v>
      </c>
      <c r="F1301" s="5" t="s">
        <v>55</v>
      </c>
      <c r="I1301" s="52">
        <f>I1579+I1662+I1730</f>
        <v>10.253520583309049</v>
      </c>
      <c r="J1301" s="52">
        <f t="shared" ref="J1301:AE1301" si="957">J1579+J1662+J1730</f>
        <v>12.354977062543865</v>
      </c>
      <c r="K1301" s="52">
        <f t="shared" si="957"/>
        <v>11.15479445475685</v>
      </c>
      <c r="L1301" s="52">
        <f t="shared" si="957"/>
        <v>9.5612523897915853</v>
      </c>
      <c r="M1301" s="52">
        <f t="shared" si="957"/>
        <v>7.9677103248263199</v>
      </c>
      <c r="N1301" s="52">
        <f t="shared" si="957"/>
        <v>6.3741682598610554</v>
      </c>
      <c r="O1301" s="52">
        <f t="shared" si="957"/>
        <v>4.7806261948957909</v>
      </c>
      <c r="P1301" s="52">
        <f t="shared" si="957"/>
        <v>3.1870841299305264</v>
      </c>
      <c r="Q1301" s="52">
        <f t="shared" si="957"/>
        <v>1.5935420649652621</v>
      </c>
      <c r="R1301" s="52">
        <f t="shared" si="957"/>
        <v>-2.2204460492503131E-15</v>
      </c>
      <c r="S1301" s="52">
        <f t="shared" si="957"/>
        <v>-2.2204460492503131E-15</v>
      </c>
      <c r="T1301" s="52">
        <f t="shared" si="957"/>
        <v>-2.2204460492503131E-15</v>
      </c>
      <c r="U1301" s="52">
        <f t="shared" si="957"/>
        <v>-2.2204460492503131E-15</v>
      </c>
      <c r="V1301" s="52">
        <f t="shared" si="957"/>
        <v>-2.2204460492503131E-15</v>
      </c>
      <c r="W1301" s="52">
        <f t="shared" si="957"/>
        <v>-2.2204460492503131E-15</v>
      </c>
      <c r="X1301" s="52">
        <f t="shared" si="957"/>
        <v>-2.2204460492503131E-15</v>
      </c>
      <c r="Y1301" s="52">
        <f t="shared" si="957"/>
        <v>-2.2204460492503131E-15</v>
      </c>
      <c r="Z1301" s="52">
        <f t="shared" si="957"/>
        <v>-2.2204460492503131E-15</v>
      </c>
      <c r="AA1301" s="52">
        <f t="shared" si="957"/>
        <v>-2.2204460492503131E-15</v>
      </c>
      <c r="AB1301" s="52">
        <f t="shared" si="957"/>
        <v>-2.2204460492503131E-15</v>
      </c>
      <c r="AC1301" s="52">
        <f t="shared" si="957"/>
        <v>-2.2204460492503131E-15</v>
      </c>
      <c r="AD1301" s="52">
        <f t="shared" si="957"/>
        <v>-2.2204460492503131E-15</v>
      </c>
      <c r="AE1301" s="52">
        <f t="shared" si="957"/>
        <v>-2.2204460492503131E-15</v>
      </c>
    </row>
    <row r="1302" spans="2:32" x14ac:dyDescent="0.2">
      <c r="C1302" s="9" t="s">
        <v>159</v>
      </c>
      <c r="D1302" s="9"/>
      <c r="F1302" s="9" t="s">
        <v>55</v>
      </c>
      <c r="G1302" s="9"/>
      <c r="H1302" s="9"/>
      <c r="I1302" s="44">
        <f>SUM(I1296:I1301)</f>
        <v>66.811061749787982</v>
      </c>
      <c r="J1302" s="44">
        <f t="shared" ref="J1302:AE1302" si="958">SUM(J1296:J1301)</f>
        <v>336.61871199877669</v>
      </c>
      <c r="K1302" s="44">
        <f>SUM(K1296:K1301)</f>
        <v>539.14892995877358</v>
      </c>
      <c r="L1302" s="44">
        <f t="shared" si="958"/>
        <v>533.10264315185998</v>
      </c>
      <c r="M1302" s="44">
        <f t="shared" ca="1" si="958"/>
        <v>501.70509640266704</v>
      </c>
      <c r="N1302" s="44">
        <f t="shared" ca="1" si="958"/>
        <v>501.70509640266704</v>
      </c>
      <c r="O1302" s="44">
        <f t="shared" ca="1" si="958"/>
        <v>501.70509640266704</v>
      </c>
      <c r="P1302" s="44">
        <f t="shared" ca="1" si="958"/>
        <v>501.70509640266704</v>
      </c>
      <c r="Q1302" s="44">
        <f t="shared" ca="1" si="958"/>
        <v>501.70509640266704</v>
      </c>
      <c r="R1302" s="44">
        <f t="shared" ca="1" si="958"/>
        <v>501.70509640266704</v>
      </c>
      <c r="S1302" s="44">
        <f t="shared" ca="1" si="958"/>
        <v>501.70509640266704</v>
      </c>
      <c r="T1302" s="44">
        <f t="shared" ca="1" si="958"/>
        <v>501.70509640266704</v>
      </c>
      <c r="U1302" s="44">
        <f t="shared" ca="1" si="958"/>
        <v>501.70509640266704</v>
      </c>
      <c r="V1302" s="44">
        <f t="shared" ca="1" si="958"/>
        <v>501.70509640266704</v>
      </c>
      <c r="W1302" s="44">
        <f t="shared" ca="1" si="958"/>
        <v>501.70509640266704</v>
      </c>
      <c r="X1302" s="44">
        <f t="shared" ca="1" si="958"/>
        <v>501.70509640266704</v>
      </c>
      <c r="Y1302" s="44">
        <f t="shared" ca="1" si="958"/>
        <v>501.70509640266704</v>
      </c>
      <c r="Z1302" s="44">
        <f t="shared" ca="1" si="958"/>
        <v>501.70509640266704</v>
      </c>
      <c r="AA1302" s="44">
        <f t="shared" ca="1" si="958"/>
        <v>501.70509640266704</v>
      </c>
      <c r="AB1302" s="44">
        <f t="shared" ca="1" si="958"/>
        <v>501.70509640266704</v>
      </c>
      <c r="AC1302" s="44">
        <f t="shared" ca="1" si="958"/>
        <v>501.70509640266704</v>
      </c>
      <c r="AD1302" s="44">
        <f t="shared" ca="1" si="958"/>
        <v>501.70509640266704</v>
      </c>
      <c r="AE1302" s="44">
        <f t="shared" ca="1" si="958"/>
        <v>501.70509640266704</v>
      </c>
      <c r="AF1302" s="1"/>
    </row>
    <row r="1303" spans="2:32" x14ac:dyDescent="0.2">
      <c r="C1303" s="20"/>
      <c r="D1303" s="20"/>
      <c r="AF1303" s="1"/>
    </row>
    <row r="1304" spans="2:32" x14ac:dyDescent="0.2">
      <c r="B1304" s="10">
        <f>B1295+0.1</f>
        <v>12.2</v>
      </c>
      <c r="C1304" s="9" t="s">
        <v>160</v>
      </c>
      <c r="D1304" s="9"/>
      <c r="AF1304" s="1"/>
    </row>
    <row r="1305" spans="2:32" x14ac:dyDescent="0.2">
      <c r="C1305" s="1" t="s">
        <v>110</v>
      </c>
      <c r="F1305" s="1" t="s">
        <v>55</v>
      </c>
      <c r="I1305" s="21">
        <f t="shared" ref="I1305:AE1305" si="959">-I930-I933</f>
        <v>0</v>
      </c>
      <c r="J1305" s="21">
        <f t="shared" si="959"/>
        <v>0</v>
      </c>
      <c r="K1305" s="21">
        <f t="shared" si="959"/>
        <v>18.535841930717279</v>
      </c>
      <c r="L1305" s="21">
        <f t="shared" si="959"/>
        <v>0</v>
      </c>
      <c r="M1305" s="21">
        <f t="shared" si="959"/>
        <v>24.484174101918867</v>
      </c>
      <c r="N1305" s="21">
        <f t="shared" si="959"/>
        <v>24.484174101918867</v>
      </c>
      <c r="O1305" s="21">
        <f t="shared" si="959"/>
        <v>24.484174101918875</v>
      </c>
      <c r="P1305" s="21">
        <f t="shared" si="959"/>
        <v>24.484174101918875</v>
      </c>
      <c r="Q1305" s="21">
        <f t="shared" si="959"/>
        <v>24.565320151409939</v>
      </c>
      <c r="R1305" s="21">
        <f t="shared" si="959"/>
        <v>24.646466200900996</v>
      </c>
      <c r="S1305" s="21">
        <f t="shared" si="959"/>
        <v>24.727612250392053</v>
      </c>
      <c r="T1305" s="21">
        <f t="shared" si="959"/>
        <v>24.80875829988312</v>
      </c>
      <c r="U1305" s="21">
        <f t="shared" si="959"/>
        <v>24.80875829988312</v>
      </c>
      <c r="V1305" s="21">
        <f t="shared" si="959"/>
        <v>24.929978454251149</v>
      </c>
      <c r="W1305" s="21">
        <f t="shared" si="959"/>
        <v>25.185282905534436</v>
      </c>
      <c r="X1305" s="21">
        <f t="shared" si="959"/>
        <v>25.433078402368213</v>
      </c>
      <c r="Y1305" s="21">
        <f t="shared" si="959"/>
        <v>25.433078402368213</v>
      </c>
      <c r="Z1305" s="21">
        <f t="shared" si="959"/>
        <v>25.433078402368213</v>
      </c>
      <c r="AA1305" s="21">
        <f t="shared" si="959"/>
        <v>25.433078402368213</v>
      </c>
      <c r="AB1305" s="21">
        <f t="shared" si="959"/>
        <v>25.433078402368213</v>
      </c>
      <c r="AC1305" s="21">
        <f t="shared" si="959"/>
        <v>25.433078402368213</v>
      </c>
      <c r="AD1305" s="21">
        <f t="shared" si="959"/>
        <v>25.433078402368213</v>
      </c>
      <c r="AE1305" s="21">
        <f t="shared" si="959"/>
        <v>25.433078402368213</v>
      </c>
      <c r="AF1305" s="1"/>
    </row>
    <row r="1306" spans="2:32" x14ac:dyDescent="0.2">
      <c r="C1306" s="1" t="s">
        <v>161</v>
      </c>
      <c r="F1306" s="1" t="s">
        <v>55</v>
      </c>
      <c r="I1306" s="45">
        <f>I1558</f>
        <v>33</v>
      </c>
      <c r="J1306" s="45">
        <f t="shared" ref="J1306:AE1306" si="960">J1558</f>
        <v>222.75</v>
      </c>
      <c r="K1306" s="45">
        <f>K1558</f>
        <v>312.63157894736844</v>
      </c>
      <c r="L1306" s="45">
        <f t="shared" si="960"/>
        <v>295.26315789473688</v>
      </c>
      <c r="M1306" s="45">
        <f t="shared" si="960"/>
        <v>260.5263157894737</v>
      </c>
      <c r="N1306" s="45">
        <f t="shared" si="960"/>
        <v>225.78947368421055</v>
      </c>
      <c r="O1306" s="45">
        <f t="shared" si="960"/>
        <v>191.0526315789474</v>
      </c>
      <c r="P1306" s="45">
        <f t="shared" si="960"/>
        <v>156.31578947368425</v>
      </c>
      <c r="Q1306" s="45">
        <f t="shared" si="960"/>
        <v>121.5789473684211</v>
      </c>
      <c r="R1306" s="45">
        <f t="shared" si="960"/>
        <v>86.842105263157947</v>
      </c>
      <c r="S1306" s="45">
        <f t="shared" si="960"/>
        <v>52.10526315789479</v>
      </c>
      <c r="T1306" s="45">
        <f t="shared" si="960"/>
        <v>17.368421052631632</v>
      </c>
      <c r="U1306" s="45">
        <f t="shared" si="960"/>
        <v>17.368421052631632</v>
      </c>
      <c r="V1306" s="45">
        <f t="shared" si="960"/>
        <v>17.368421052631632</v>
      </c>
      <c r="W1306" s="45">
        <f t="shared" si="960"/>
        <v>17.368421052631632</v>
      </c>
      <c r="X1306" s="45">
        <f t="shared" si="960"/>
        <v>17.368421052631632</v>
      </c>
      <c r="Y1306" s="45">
        <f t="shared" si="960"/>
        <v>17.368421052631632</v>
      </c>
      <c r="Z1306" s="45">
        <f t="shared" si="960"/>
        <v>17.368421052631632</v>
      </c>
      <c r="AA1306" s="45">
        <f t="shared" si="960"/>
        <v>17.368421052631632</v>
      </c>
      <c r="AB1306" s="45">
        <f t="shared" si="960"/>
        <v>17.368421052631632</v>
      </c>
      <c r="AC1306" s="45">
        <f t="shared" si="960"/>
        <v>17.368421052631632</v>
      </c>
      <c r="AD1306" s="45">
        <f t="shared" si="960"/>
        <v>17.368421052631632</v>
      </c>
      <c r="AE1306" s="45">
        <f t="shared" si="960"/>
        <v>17.368421052631632</v>
      </c>
      <c r="AF1306" s="1"/>
    </row>
    <row r="1307" spans="2:32" x14ac:dyDescent="0.2">
      <c r="C1307" s="1" t="s">
        <v>470</v>
      </c>
      <c r="F1307" s="1" t="s">
        <v>55</v>
      </c>
      <c r="I1307" s="45">
        <f t="shared" ref="I1307:AE1307" si="961">I949</f>
        <v>0</v>
      </c>
      <c r="J1307" s="45">
        <f t="shared" si="961"/>
        <v>0</v>
      </c>
      <c r="K1307" s="45">
        <f t="shared" si="961"/>
        <v>17.57147782279073</v>
      </c>
      <c r="L1307" s="45">
        <f t="shared" si="961"/>
        <v>23.428637097054299</v>
      </c>
      <c r="M1307" s="45">
        <f t="shared" si="961"/>
        <v>46.857274194108598</v>
      </c>
      <c r="N1307" s="45">
        <f t="shared" si="961"/>
        <v>46.857274194108598</v>
      </c>
      <c r="O1307" s="45">
        <f t="shared" si="961"/>
        <v>46.857274194108598</v>
      </c>
      <c r="P1307" s="45">
        <f t="shared" si="961"/>
        <v>46.857274194108598</v>
      </c>
      <c r="Q1307" s="45">
        <f t="shared" si="961"/>
        <v>46.857274194108598</v>
      </c>
      <c r="R1307" s="45">
        <f t="shared" si="961"/>
        <v>46.857274194108598</v>
      </c>
      <c r="S1307" s="45">
        <f t="shared" si="961"/>
        <v>46.857274194108598</v>
      </c>
      <c r="T1307" s="45">
        <f t="shared" si="961"/>
        <v>46.857274194108598</v>
      </c>
      <c r="U1307" s="45">
        <f t="shared" si="961"/>
        <v>46.857274194108598</v>
      </c>
      <c r="V1307" s="45">
        <f t="shared" si="961"/>
        <v>46.857274194108598</v>
      </c>
      <c r="W1307" s="45">
        <f t="shared" si="961"/>
        <v>46.857274194108598</v>
      </c>
      <c r="X1307" s="45">
        <f t="shared" si="961"/>
        <v>46.857274194108598</v>
      </c>
      <c r="Y1307" s="45">
        <f t="shared" si="961"/>
        <v>46.857274194108598</v>
      </c>
      <c r="Z1307" s="45">
        <f t="shared" si="961"/>
        <v>46.857274194108598</v>
      </c>
      <c r="AA1307" s="45">
        <f t="shared" si="961"/>
        <v>46.857274194108598</v>
      </c>
      <c r="AB1307" s="45">
        <f t="shared" si="961"/>
        <v>46.857274194108598</v>
      </c>
      <c r="AC1307" s="45">
        <f t="shared" si="961"/>
        <v>46.857274194108598</v>
      </c>
      <c r="AD1307" s="45">
        <f t="shared" si="961"/>
        <v>46.857274194108598</v>
      </c>
      <c r="AE1307" s="45">
        <f t="shared" si="961"/>
        <v>46.857274194108598</v>
      </c>
      <c r="AF1307" s="1"/>
    </row>
    <row r="1308" spans="2:32" x14ac:dyDescent="0.2">
      <c r="C1308" s="1" t="s">
        <v>774</v>
      </c>
      <c r="F1308" s="1" t="s">
        <v>55</v>
      </c>
      <c r="I1308" s="45">
        <f>I1641</f>
        <v>0</v>
      </c>
      <c r="J1308" s="45">
        <f t="shared" ref="J1308:AE1308" si="962">J1641</f>
        <v>0</v>
      </c>
      <c r="K1308" s="45">
        <f t="shared" si="962"/>
        <v>0</v>
      </c>
      <c r="L1308" s="45">
        <f t="shared" si="962"/>
        <v>0</v>
      </c>
      <c r="M1308" s="45">
        <f t="shared" si="962"/>
        <v>0</v>
      </c>
      <c r="N1308" s="45">
        <f t="shared" si="962"/>
        <v>0</v>
      </c>
      <c r="O1308" s="45">
        <f t="shared" si="962"/>
        <v>0</v>
      </c>
      <c r="P1308" s="45">
        <f t="shared" si="962"/>
        <v>0</v>
      </c>
      <c r="Q1308" s="45">
        <f t="shared" si="962"/>
        <v>0</v>
      </c>
      <c r="R1308" s="45">
        <f t="shared" si="962"/>
        <v>0</v>
      </c>
      <c r="S1308" s="45">
        <f t="shared" si="962"/>
        <v>0</v>
      </c>
      <c r="T1308" s="45">
        <f t="shared" si="962"/>
        <v>0</v>
      </c>
      <c r="U1308" s="45">
        <f t="shared" si="962"/>
        <v>0</v>
      </c>
      <c r="V1308" s="45">
        <f t="shared" si="962"/>
        <v>0</v>
      </c>
      <c r="W1308" s="45">
        <f t="shared" si="962"/>
        <v>0</v>
      </c>
      <c r="X1308" s="45">
        <f t="shared" si="962"/>
        <v>0</v>
      </c>
      <c r="Y1308" s="45">
        <f t="shared" si="962"/>
        <v>0</v>
      </c>
      <c r="Z1308" s="45">
        <f t="shared" si="962"/>
        <v>0</v>
      </c>
      <c r="AA1308" s="45">
        <f t="shared" si="962"/>
        <v>0</v>
      </c>
      <c r="AB1308" s="45">
        <f t="shared" si="962"/>
        <v>0</v>
      </c>
      <c r="AC1308" s="45">
        <f t="shared" si="962"/>
        <v>0</v>
      </c>
      <c r="AD1308" s="45">
        <f t="shared" si="962"/>
        <v>0</v>
      </c>
      <c r="AE1308" s="45">
        <f t="shared" si="962"/>
        <v>0</v>
      </c>
      <c r="AF1308" s="1"/>
    </row>
    <row r="1309" spans="2:32" s="5" customFormat="1" x14ac:dyDescent="0.2">
      <c r="C1309" s="5" t="s">
        <v>944</v>
      </c>
      <c r="F1309" s="5" t="s">
        <v>55</v>
      </c>
      <c r="I1309" s="45">
        <f>I1718</f>
        <v>9.9999422500000001</v>
      </c>
      <c r="J1309" s="45">
        <f t="shared" ref="J1309:AE1309" si="963">J1718</f>
        <v>9.9999422500000001</v>
      </c>
      <c r="K1309" s="45">
        <f t="shared" si="963"/>
        <v>9.9999422500000001</v>
      </c>
      <c r="L1309" s="45">
        <f t="shared" si="963"/>
        <v>9.9999422500000001</v>
      </c>
      <c r="M1309" s="45">
        <f t="shared" si="963"/>
        <v>9.9999422500000001</v>
      </c>
      <c r="N1309" s="45">
        <f t="shared" si="963"/>
        <v>9.9999422500000001</v>
      </c>
      <c r="O1309" s="45">
        <f t="shared" si="963"/>
        <v>9.9999422500000001</v>
      </c>
      <c r="P1309" s="45">
        <f t="shared" si="963"/>
        <v>9.9999422500000001</v>
      </c>
      <c r="Q1309" s="45">
        <f t="shared" si="963"/>
        <v>9.9999422500000001</v>
      </c>
      <c r="R1309" s="45">
        <f t="shared" si="963"/>
        <v>9.9999422500000001</v>
      </c>
      <c r="S1309" s="45">
        <f t="shared" si="963"/>
        <v>9.9999422500000001</v>
      </c>
      <c r="T1309" s="45">
        <f t="shared" si="963"/>
        <v>9.9999422500000001</v>
      </c>
      <c r="U1309" s="45">
        <f t="shared" si="963"/>
        <v>9.9999422500000001</v>
      </c>
      <c r="V1309" s="45">
        <f t="shared" si="963"/>
        <v>9.9999422500000001</v>
      </c>
      <c r="W1309" s="45">
        <f t="shared" si="963"/>
        <v>9.9999422500000001</v>
      </c>
      <c r="X1309" s="45">
        <f t="shared" si="963"/>
        <v>9.9999422500000001</v>
      </c>
      <c r="Y1309" s="45">
        <f t="shared" si="963"/>
        <v>9.9999422500000001</v>
      </c>
      <c r="Z1309" s="45">
        <f t="shared" si="963"/>
        <v>9.9999422500000001</v>
      </c>
      <c r="AA1309" s="45">
        <f t="shared" si="963"/>
        <v>9.9999422500000001</v>
      </c>
      <c r="AB1309" s="45">
        <f t="shared" si="963"/>
        <v>9.9999422500000001</v>
      </c>
      <c r="AC1309" s="45">
        <f t="shared" si="963"/>
        <v>9.9999422500000001</v>
      </c>
      <c r="AD1309" s="45">
        <f t="shared" si="963"/>
        <v>9.9999422500000001</v>
      </c>
      <c r="AE1309" s="45">
        <f t="shared" si="963"/>
        <v>9.9999422500000001</v>
      </c>
    </row>
    <row r="1310" spans="2:32" x14ac:dyDescent="0.2">
      <c r="C1310" s="1" t="s">
        <v>162</v>
      </c>
      <c r="F1310" s="1" t="s">
        <v>55</v>
      </c>
      <c r="I1310" s="21">
        <f>(I1359&gt;0)*I1359</f>
        <v>0</v>
      </c>
      <c r="J1310" s="21">
        <f t="shared" ref="J1310:AE1310" si="964">(J1359&gt;0)*J1359</f>
        <v>0</v>
      </c>
      <c r="K1310" s="21">
        <f>(K1359&gt;0)*K1359</f>
        <v>9.5968887550661393</v>
      </c>
      <c r="L1310" s="21">
        <f t="shared" si="964"/>
        <v>23.635412946245413</v>
      </c>
      <c r="M1310" s="21">
        <f t="shared" si="964"/>
        <v>51.185128815960269</v>
      </c>
      <c r="N1310" s="21">
        <f t="shared" si="964"/>
        <v>78.499480597398119</v>
      </c>
      <c r="O1310" s="21">
        <f t="shared" si="964"/>
        <v>105.81383237883597</v>
      </c>
      <c r="P1310" s="21">
        <f t="shared" si="964"/>
        <v>130.17646950615401</v>
      </c>
      <c r="Q1310" s="21">
        <f t="shared" si="964"/>
        <v>139.34251997676</v>
      </c>
      <c r="R1310" s="21">
        <f t="shared" si="964"/>
        <v>137.56955538803021</v>
      </c>
      <c r="S1310" s="21">
        <f t="shared" si="964"/>
        <v>134.80908013447154</v>
      </c>
      <c r="T1310" s="21">
        <f t="shared" si="964"/>
        <v>131.07719475280146</v>
      </c>
      <c r="U1310" s="21">
        <f t="shared" si="964"/>
        <v>126.66532228145336</v>
      </c>
      <c r="V1310" s="21">
        <f t="shared" si="964"/>
        <v>121.77745884733065</v>
      </c>
      <c r="W1310" s="21">
        <f t="shared" si="964"/>
        <v>116.55640173926574</v>
      </c>
      <c r="X1310" s="21">
        <f t="shared" si="964"/>
        <v>111.10210905944128</v>
      </c>
      <c r="Y1310" s="21">
        <f t="shared" si="964"/>
        <v>105.48455147938512</v>
      </c>
      <c r="Z1310" s="21">
        <f t="shared" si="964"/>
        <v>99.752708469166777</v>
      </c>
      <c r="AA1310" s="21">
        <f t="shared" si="964"/>
        <v>93.940865657834919</v>
      </c>
      <c r="AB1310" s="21">
        <f t="shared" si="964"/>
        <v>88.073022985723583</v>
      </c>
      <c r="AC1310" s="21">
        <f t="shared" si="964"/>
        <v>82.165980411066613</v>
      </c>
      <c r="AD1310" s="21">
        <f t="shared" si="964"/>
        <v>76.231497904627702</v>
      </c>
      <c r="AE1310" s="21">
        <f t="shared" si="964"/>
        <v>70.277807445941448</v>
      </c>
      <c r="AF1310" s="1"/>
    </row>
    <row r="1311" spans="2:32" x14ac:dyDescent="0.2">
      <c r="C1311" s="9" t="s">
        <v>163</v>
      </c>
      <c r="D1311" s="9"/>
      <c r="F1311" s="9" t="s">
        <v>55</v>
      </c>
      <c r="G1311" s="9"/>
      <c r="H1311" s="9"/>
      <c r="I1311" s="44">
        <f>SUM(I1305:I1310)</f>
        <v>42.999942250000004</v>
      </c>
      <c r="J1311" s="44">
        <f t="shared" ref="J1311:AE1311" si="965">SUM(J1305:J1310)</f>
        <v>232.74994225</v>
      </c>
      <c r="K1311" s="44">
        <f>SUM(K1305:K1310)</f>
        <v>368.33572970594253</v>
      </c>
      <c r="L1311" s="44">
        <f t="shared" si="965"/>
        <v>352.32715018803663</v>
      </c>
      <c r="M1311" s="44">
        <f t="shared" si="965"/>
        <v>393.05283515146141</v>
      </c>
      <c r="N1311" s="44">
        <f t="shared" si="965"/>
        <v>385.63034482763612</v>
      </c>
      <c r="O1311" s="44">
        <f t="shared" si="965"/>
        <v>378.20785450381084</v>
      </c>
      <c r="P1311" s="44">
        <f t="shared" si="965"/>
        <v>367.83364952586578</v>
      </c>
      <c r="Q1311" s="44">
        <f t="shared" si="965"/>
        <v>342.34400394069962</v>
      </c>
      <c r="R1311" s="44">
        <f t="shared" si="965"/>
        <v>305.91534329619776</v>
      </c>
      <c r="S1311" s="44">
        <f t="shared" si="965"/>
        <v>268.49917198686694</v>
      </c>
      <c r="T1311" s="44">
        <f t="shared" si="965"/>
        <v>230.11159054942482</v>
      </c>
      <c r="U1311" s="44">
        <f t="shared" si="965"/>
        <v>225.69971807807673</v>
      </c>
      <c r="V1311" s="44">
        <f t="shared" si="965"/>
        <v>220.93307479832202</v>
      </c>
      <c r="W1311" s="44">
        <f t="shared" si="965"/>
        <v>215.96732214154042</v>
      </c>
      <c r="X1311" s="44">
        <f t="shared" si="965"/>
        <v>210.76082495854973</v>
      </c>
      <c r="Y1311" s="44">
        <f t="shared" si="965"/>
        <v>205.14326737849356</v>
      </c>
      <c r="Z1311" s="44">
        <f t="shared" si="965"/>
        <v>199.41142436827522</v>
      </c>
      <c r="AA1311" s="44">
        <f t="shared" si="965"/>
        <v>193.59958155694335</v>
      </c>
      <c r="AB1311" s="44">
        <f t="shared" si="965"/>
        <v>187.73173888483203</v>
      </c>
      <c r="AC1311" s="44">
        <f t="shared" si="965"/>
        <v>181.82469631017506</v>
      </c>
      <c r="AD1311" s="44">
        <f t="shared" si="965"/>
        <v>175.89021380373615</v>
      </c>
      <c r="AE1311" s="44">
        <f t="shared" si="965"/>
        <v>169.93652334504989</v>
      </c>
      <c r="AF1311" s="1"/>
    </row>
    <row r="1312" spans="2:32" x14ac:dyDescent="0.2">
      <c r="C1312" s="9"/>
      <c r="D1312" s="9"/>
      <c r="AF1312" s="1"/>
    </row>
    <row r="1313" spans="2:32" x14ac:dyDescent="0.2">
      <c r="C1313" s="9" t="s">
        <v>806</v>
      </c>
      <c r="D1313" s="9"/>
      <c r="F1313" s="9" t="s">
        <v>55</v>
      </c>
      <c r="I1313" s="44">
        <f>I1367</f>
        <v>23.72361949978799</v>
      </c>
      <c r="J1313" s="44">
        <f t="shared" ref="J1313:AE1313" si="966">J1367</f>
        <v>103.78126974877669</v>
      </c>
      <c r="K1313" s="44">
        <f>K1367</f>
        <v>170.72570025283113</v>
      </c>
      <c r="L1313" s="44">
        <f t="shared" si="966"/>
        <v>212.58414676115126</v>
      </c>
      <c r="M1313" s="44">
        <f ca="1">M1367</f>
        <v>0</v>
      </c>
      <c r="N1313" s="44">
        <f ca="1">N1367</f>
        <v>0</v>
      </c>
      <c r="O1313" s="44" t="e">
        <f t="shared" ca="1" si="966"/>
        <v>#NAME?</v>
      </c>
      <c r="P1313" s="44" t="e">
        <f t="shared" ca="1" si="966"/>
        <v>#NAME?</v>
      </c>
      <c r="Q1313" s="44" t="e">
        <f t="shared" ca="1" si="966"/>
        <v>#NAME?</v>
      </c>
      <c r="R1313" s="44" t="e">
        <f t="shared" ca="1" si="966"/>
        <v>#NAME?</v>
      </c>
      <c r="S1313" s="44" t="e">
        <f t="shared" ca="1" si="966"/>
        <v>#NAME?</v>
      </c>
      <c r="T1313" s="44" t="e">
        <f t="shared" ca="1" si="966"/>
        <v>#NAME?</v>
      </c>
      <c r="U1313" s="44" t="e">
        <f t="shared" ca="1" si="966"/>
        <v>#NAME?</v>
      </c>
      <c r="V1313" s="44" t="e">
        <f t="shared" ca="1" si="966"/>
        <v>#NAME?</v>
      </c>
      <c r="W1313" s="44" t="e">
        <f t="shared" ca="1" si="966"/>
        <v>#NAME?</v>
      </c>
      <c r="X1313" s="44" t="e">
        <f t="shared" ca="1" si="966"/>
        <v>#NAME?</v>
      </c>
      <c r="Y1313" s="44" t="e">
        <f t="shared" ca="1" si="966"/>
        <v>#NAME?</v>
      </c>
      <c r="Z1313" s="44" t="e">
        <f t="shared" ca="1" si="966"/>
        <v>#NAME?</v>
      </c>
      <c r="AA1313" s="44" t="e">
        <f t="shared" ca="1" si="966"/>
        <v>#NAME?</v>
      </c>
      <c r="AB1313" s="44" t="e">
        <f t="shared" ca="1" si="966"/>
        <v>#NAME?</v>
      </c>
      <c r="AC1313" s="44" t="e">
        <f t="shared" ca="1" si="966"/>
        <v>#NAME?</v>
      </c>
      <c r="AD1313" s="44" t="e">
        <f t="shared" ca="1" si="966"/>
        <v>#NAME?</v>
      </c>
      <c r="AE1313" s="44" t="e">
        <f t="shared" ca="1" si="966"/>
        <v>#NAME?</v>
      </c>
      <c r="AF1313" s="1"/>
    </row>
    <row r="1314" spans="2:32" x14ac:dyDescent="0.2">
      <c r="C1314" s="5"/>
      <c r="D1314" s="5"/>
      <c r="AF1314" s="1"/>
    </row>
    <row r="1315" spans="2:32" x14ac:dyDescent="0.2">
      <c r="C1315" s="64" t="s">
        <v>165</v>
      </c>
      <c r="D1315" s="64"/>
      <c r="F1315" s="1" t="s">
        <v>55</v>
      </c>
      <c r="G1315" s="65" t="e">
        <f ca="1">SUM(I1315:AE1315)</f>
        <v>#NAME?</v>
      </c>
      <c r="I1315" s="65">
        <f>I1313+I1311-I1302</f>
        <v>-8.7499999999991473E-2</v>
      </c>
      <c r="J1315" s="65">
        <f>J1313+J1311-J1302</f>
        <v>-8.7499999999977263E-2</v>
      </c>
      <c r="K1315" s="65">
        <f>K1313+K1311-K1302</f>
        <v>-8.7499999999863576E-2</v>
      </c>
      <c r="L1315" s="65">
        <f>L1313+L1311-L1302</f>
        <v>31.808653797327906</v>
      </c>
      <c r="M1315" s="65" t="e">
        <f t="shared" ref="M1315:AD1315" ca="1" si="967">M1313+M1311-M1302</f>
        <v>#NAME?</v>
      </c>
      <c r="N1315" s="65" t="e">
        <f t="shared" ca="1" si="967"/>
        <v>#NAME?</v>
      </c>
      <c r="O1315" s="65" t="e">
        <f t="shared" ca="1" si="967"/>
        <v>#NAME?</v>
      </c>
      <c r="P1315" s="65" t="e">
        <f t="shared" ca="1" si="967"/>
        <v>#NAME?</v>
      </c>
      <c r="Q1315" s="65" t="e">
        <f t="shared" ca="1" si="967"/>
        <v>#NAME?</v>
      </c>
      <c r="R1315" s="65" t="e">
        <f t="shared" ca="1" si="967"/>
        <v>#NAME?</v>
      </c>
      <c r="S1315" s="65" t="e">
        <f t="shared" ca="1" si="967"/>
        <v>#NAME?</v>
      </c>
      <c r="T1315" s="65" t="e">
        <f t="shared" ca="1" si="967"/>
        <v>#NAME?</v>
      </c>
      <c r="U1315" s="65" t="e">
        <f t="shared" ca="1" si="967"/>
        <v>#NAME?</v>
      </c>
      <c r="V1315" s="65" t="e">
        <f t="shared" ca="1" si="967"/>
        <v>#NAME?</v>
      </c>
      <c r="W1315" s="65" t="e">
        <f t="shared" ca="1" si="967"/>
        <v>#NAME?</v>
      </c>
      <c r="X1315" s="65" t="e">
        <f t="shared" ca="1" si="967"/>
        <v>#NAME?</v>
      </c>
      <c r="Y1315" s="65" t="e">
        <f t="shared" ca="1" si="967"/>
        <v>#NAME?</v>
      </c>
      <c r="Z1315" s="65" t="e">
        <f t="shared" ca="1" si="967"/>
        <v>#NAME?</v>
      </c>
      <c r="AA1315" s="65" t="e">
        <f t="shared" ca="1" si="967"/>
        <v>#NAME?</v>
      </c>
      <c r="AB1315" s="65" t="e">
        <f t="shared" ca="1" si="967"/>
        <v>#NAME?</v>
      </c>
      <c r="AC1315" s="65" t="e">
        <f t="shared" ca="1" si="967"/>
        <v>#NAME?</v>
      </c>
      <c r="AD1315" s="65" t="e">
        <f t="shared" ca="1" si="967"/>
        <v>#NAME?</v>
      </c>
      <c r="AE1315" s="65" t="e">
        <f ca="1">AE1313+AE1311-AE1302</f>
        <v>#NAME?</v>
      </c>
      <c r="AF1315" s="1"/>
    </row>
    <row r="1316" spans="2:32" x14ac:dyDescent="0.2">
      <c r="C1316" s="20"/>
      <c r="D1316" s="20"/>
      <c r="J1316" s="21"/>
      <c r="M1316" s="21"/>
      <c r="AF1316" s="1"/>
    </row>
    <row r="1317" spans="2:32" x14ac:dyDescent="0.2">
      <c r="C1317" s="23"/>
      <c r="D1317" s="23"/>
      <c r="E1317" s="59"/>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1"/>
    </row>
    <row r="1318" spans="2:32" x14ac:dyDescent="0.2">
      <c r="C1318" s="20"/>
      <c r="D1318" s="20"/>
      <c r="AF1318" s="1"/>
    </row>
    <row r="1319" spans="2:32" x14ac:dyDescent="0.2">
      <c r="B1319" s="10">
        <f>B1304+0.1</f>
        <v>12.299999999999999</v>
      </c>
      <c r="C1319" s="9" t="s">
        <v>156</v>
      </c>
      <c r="D1319" s="9"/>
      <c r="AF1319" s="1"/>
    </row>
    <row r="1320" spans="2:32" x14ac:dyDescent="0.2">
      <c r="C1320" s="5"/>
      <c r="D1320" s="5"/>
      <c r="AF1320" s="1"/>
    </row>
    <row r="1321" spans="2:32" x14ac:dyDescent="0.2">
      <c r="C1321" s="1" t="s">
        <v>166</v>
      </c>
      <c r="E1321" s="2"/>
      <c r="F1321" s="1" t="s">
        <v>55</v>
      </c>
      <c r="I1321" s="21">
        <f>H1324</f>
        <v>0</v>
      </c>
      <c r="J1321" s="21">
        <f t="shared" ref="J1321:AE1321" si="968">I1324</f>
        <v>56.557541166478941</v>
      </c>
      <c r="K1321" s="21">
        <f t="shared" si="968"/>
        <v>324.26373493623282</v>
      </c>
      <c r="L1321" s="21">
        <f t="shared" si="968"/>
        <v>475.57593141478935</v>
      </c>
      <c r="M1321" s="21">
        <f t="shared" si="968"/>
        <v>451.79713484404988</v>
      </c>
      <c r="N1321" s="21">
        <f t="shared" si="968"/>
        <v>428.01833827331041</v>
      </c>
      <c r="O1321" s="21">
        <f t="shared" si="968"/>
        <v>404.23954170257093</v>
      </c>
      <c r="P1321" s="21">
        <f t="shared" si="968"/>
        <v>380.46074513183146</v>
      </c>
      <c r="Q1321" s="21">
        <f t="shared" si="968"/>
        <v>356.68194856109199</v>
      </c>
      <c r="R1321" s="21">
        <f t="shared" si="968"/>
        <v>332.90315199035251</v>
      </c>
      <c r="S1321" s="21">
        <f t="shared" si="968"/>
        <v>309.12435541961304</v>
      </c>
      <c r="T1321" s="21">
        <f t="shared" si="968"/>
        <v>285.34555884887357</v>
      </c>
      <c r="U1321" s="21">
        <f t="shared" si="968"/>
        <v>261.56676227813409</v>
      </c>
      <c r="V1321" s="21">
        <f t="shared" si="968"/>
        <v>237.78796570739462</v>
      </c>
      <c r="W1321" s="21">
        <f t="shared" si="968"/>
        <v>214.00916913665515</v>
      </c>
      <c r="X1321" s="21">
        <f t="shared" si="968"/>
        <v>190.23037256591567</v>
      </c>
      <c r="Y1321" s="21">
        <f t="shared" si="968"/>
        <v>166.4515759951762</v>
      </c>
      <c r="Z1321" s="21">
        <f t="shared" si="968"/>
        <v>142.67277942443673</v>
      </c>
      <c r="AA1321" s="21">
        <f t="shared" si="968"/>
        <v>118.89398285369725</v>
      </c>
      <c r="AB1321" s="21">
        <f t="shared" si="968"/>
        <v>95.115186282957779</v>
      </c>
      <c r="AC1321" s="21">
        <f t="shared" si="968"/>
        <v>71.336389712218306</v>
      </c>
      <c r="AD1321" s="21">
        <f t="shared" si="968"/>
        <v>47.55759314147884</v>
      </c>
      <c r="AE1321" s="21">
        <f t="shared" si="968"/>
        <v>23.778796570739374</v>
      </c>
      <c r="AF1321" s="1"/>
    </row>
    <row r="1322" spans="2:32" x14ac:dyDescent="0.2">
      <c r="C1322" s="1" t="s">
        <v>167</v>
      </c>
      <c r="E1322" s="2"/>
      <c r="F1322" s="1" t="s">
        <v>55</v>
      </c>
      <c r="I1322" s="21">
        <f t="shared" ref="I1322:AE1322" si="969">-I1220</f>
        <v>56.557541166478941</v>
      </c>
      <c r="J1322" s="21">
        <f t="shared" si="969"/>
        <v>267.7061937697539</v>
      </c>
      <c r="K1322" s="21">
        <f t="shared" si="969"/>
        <v>151.31219647855653</v>
      </c>
      <c r="L1322" s="21">
        <f t="shared" si="969"/>
        <v>0</v>
      </c>
      <c r="M1322" s="21">
        <f t="shared" si="969"/>
        <v>0</v>
      </c>
      <c r="N1322" s="21">
        <f t="shared" si="969"/>
        <v>0</v>
      </c>
      <c r="O1322" s="21">
        <f t="shared" si="969"/>
        <v>0</v>
      </c>
      <c r="P1322" s="21">
        <f t="shared" si="969"/>
        <v>0</v>
      </c>
      <c r="Q1322" s="21">
        <f t="shared" si="969"/>
        <v>0</v>
      </c>
      <c r="R1322" s="21">
        <f t="shared" si="969"/>
        <v>0</v>
      </c>
      <c r="S1322" s="21">
        <f t="shared" si="969"/>
        <v>0</v>
      </c>
      <c r="T1322" s="21">
        <f t="shared" si="969"/>
        <v>0</v>
      </c>
      <c r="U1322" s="21">
        <f t="shared" si="969"/>
        <v>0</v>
      </c>
      <c r="V1322" s="21">
        <f t="shared" si="969"/>
        <v>0</v>
      </c>
      <c r="W1322" s="21">
        <f t="shared" si="969"/>
        <v>0</v>
      </c>
      <c r="X1322" s="21">
        <f t="shared" si="969"/>
        <v>0</v>
      </c>
      <c r="Y1322" s="21">
        <f t="shared" si="969"/>
        <v>0</v>
      </c>
      <c r="Z1322" s="21">
        <f t="shared" si="969"/>
        <v>0</v>
      </c>
      <c r="AA1322" s="21">
        <f t="shared" si="969"/>
        <v>0</v>
      </c>
      <c r="AB1322" s="21">
        <f t="shared" si="969"/>
        <v>0</v>
      </c>
      <c r="AC1322" s="21">
        <f t="shared" si="969"/>
        <v>0</v>
      </c>
      <c r="AD1322" s="21">
        <f t="shared" si="969"/>
        <v>0</v>
      </c>
      <c r="AE1322" s="21">
        <f t="shared" si="969"/>
        <v>0</v>
      </c>
      <c r="AF1322" s="1"/>
    </row>
    <row r="1323" spans="2:32" x14ac:dyDescent="0.2">
      <c r="C1323" s="1" t="s">
        <v>128</v>
      </c>
      <c r="E1323" s="2"/>
      <c r="F1323" s="1" t="s">
        <v>55</v>
      </c>
      <c r="I1323" s="21">
        <f>-I1352</f>
        <v>0</v>
      </c>
      <c r="J1323" s="21">
        <f t="shared" ref="J1323:AE1323" si="970">-J1352</f>
        <v>0</v>
      </c>
      <c r="K1323" s="21">
        <f>-K1352</f>
        <v>0</v>
      </c>
      <c r="L1323" s="21">
        <f t="shared" si="970"/>
        <v>-23.778796570739466</v>
      </c>
      <c r="M1323" s="21">
        <f t="shared" si="970"/>
        <v>-23.778796570739466</v>
      </c>
      <c r="N1323" s="21">
        <f t="shared" si="970"/>
        <v>-23.778796570739466</v>
      </c>
      <c r="O1323" s="21">
        <f t="shared" si="970"/>
        <v>-23.778796570739466</v>
      </c>
      <c r="P1323" s="21">
        <f t="shared" si="970"/>
        <v>-23.778796570739466</v>
      </c>
      <c r="Q1323" s="21">
        <f t="shared" si="970"/>
        <v>-23.778796570739466</v>
      </c>
      <c r="R1323" s="21">
        <f t="shared" si="970"/>
        <v>-23.778796570739466</v>
      </c>
      <c r="S1323" s="21">
        <f t="shared" si="970"/>
        <v>-23.778796570739466</v>
      </c>
      <c r="T1323" s="21">
        <f t="shared" si="970"/>
        <v>-23.778796570739466</v>
      </c>
      <c r="U1323" s="21">
        <f t="shared" si="970"/>
        <v>-23.778796570739466</v>
      </c>
      <c r="V1323" s="21">
        <f t="shared" si="970"/>
        <v>-23.778796570739466</v>
      </c>
      <c r="W1323" s="21">
        <f t="shared" si="970"/>
        <v>-23.778796570739466</v>
      </c>
      <c r="X1323" s="21">
        <f t="shared" si="970"/>
        <v>-23.778796570739466</v>
      </c>
      <c r="Y1323" s="21">
        <f t="shared" si="970"/>
        <v>-23.778796570739466</v>
      </c>
      <c r="Z1323" s="21">
        <f t="shared" si="970"/>
        <v>-23.778796570739466</v>
      </c>
      <c r="AA1323" s="21">
        <f t="shared" si="970"/>
        <v>-23.778796570739466</v>
      </c>
      <c r="AB1323" s="21">
        <f t="shared" si="970"/>
        <v>-23.778796570739466</v>
      </c>
      <c r="AC1323" s="21">
        <f t="shared" si="970"/>
        <v>-23.778796570739466</v>
      </c>
      <c r="AD1323" s="21">
        <f t="shared" si="970"/>
        <v>-23.778796570739466</v>
      </c>
      <c r="AE1323" s="21">
        <f t="shared" si="970"/>
        <v>-23.778796570739466</v>
      </c>
      <c r="AF1323" s="1"/>
    </row>
    <row r="1324" spans="2:32" x14ac:dyDescent="0.2">
      <c r="C1324" s="1" t="s">
        <v>373</v>
      </c>
      <c r="E1324" s="2"/>
      <c r="F1324" s="1" t="s">
        <v>55</v>
      </c>
      <c r="H1324" s="109">
        <v>0</v>
      </c>
      <c r="I1324" s="21">
        <f>SUM(I1321:I1323)</f>
        <v>56.557541166478941</v>
      </c>
      <c r="J1324" s="21">
        <f t="shared" ref="J1324:AE1324" si="971">SUM(J1321:J1323)</f>
        <v>324.26373493623282</v>
      </c>
      <c r="K1324" s="21">
        <f>SUM(K1321:K1323)</f>
        <v>475.57593141478935</v>
      </c>
      <c r="L1324" s="21">
        <f t="shared" si="971"/>
        <v>451.79713484404988</v>
      </c>
      <c r="M1324" s="21">
        <f t="shared" si="971"/>
        <v>428.01833827331041</v>
      </c>
      <c r="N1324" s="21">
        <f t="shared" si="971"/>
        <v>404.23954170257093</v>
      </c>
      <c r="O1324" s="21">
        <f t="shared" si="971"/>
        <v>380.46074513183146</v>
      </c>
      <c r="P1324" s="21">
        <f t="shared" si="971"/>
        <v>356.68194856109199</v>
      </c>
      <c r="Q1324" s="21">
        <f t="shared" si="971"/>
        <v>332.90315199035251</v>
      </c>
      <c r="R1324" s="21">
        <f t="shared" si="971"/>
        <v>309.12435541961304</v>
      </c>
      <c r="S1324" s="21">
        <f t="shared" si="971"/>
        <v>285.34555884887357</v>
      </c>
      <c r="T1324" s="21">
        <f t="shared" si="971"/>
        <v>261.56676227813409</v>
      </c>
      <c r="U1324" s="21">
        <f t="shared" si="971"/>
        <v>237.78796570739462</v>
      </c>
      <c r="V1324" s="21">
        <f t="shared" si="971"/>
        <v>214.00916913665515</v>
      </c>
      <c r="W1324" s="21">
        <f t="shared" si="971"/>
        <v>190.23037256591567</v>
      </c>
      <c r="X1324" s="21">
        <f t="shared" si="971"/>
        <v>166.4515759951762</v>
      </c>
      <c r="Y1324" s="21">
        <f t="shared" si="971"/>
        <v>142.67277942443673</v>
      </c>
      <c r="Z1324" s="21">
        <f t="shared" si="971"/>
        <v>118.89398285369725</v>
      </c>
      <c r="AA1324" s="21">
        <f t="shared" si="971"/>
        <v>95.115186282957779</v>
      </c>
      <c r="AB1324" s="21">
        <f t="shared" si="971"/>
        <v>71.336389712218306</v>
      </c>
      <c r="AC1324" s="21">
        <f t="shared" si="971"/>
        <v>47.55759314147884</v>
      </c>
      <c r="AD1324" s="21">
        <f t="shared" si="971"/>
        <v>23.778796570739374</v>
      </c>
      <c r="AE1324" s="21">
        <f t="shared" si="971"/>
        <v>-9.2370555648813024E-14</v>
      </c>
      <c r="AF1324" s="1"/>
    </row>
    <row r="1325" spans="2:32" x14ac:dyDescent="0.2">
      <c r="C1325" s="5"/>
      <c r="D1325" s="5"/>
      <c r="AF1325" s="1"/>
    </row>
    <row r="1326" spans="2:32" x14ac:dyDescent="0.2">
      <c r="C1326" s="5" t="s">
        <v>168</v>
      </c>
      <c r="D1326" s="5"/>
      <c r="E1326" s="98">
        <v>20</v>
      </c>
      <c r="F1326" s="1" t="s">
        <v>116</v>
      </c>
      <c r="AF1326" s="1"/>
    </row>
    <row r="1327" spans="2:32" x14ac:dyDescent="0.2">
      <c r="C1327" s="5"/>
      <c r="D1327" s="5"/>
      <c r="AF1327" s="1"/>
    </row>
    <row r="1328" spans="2:32" x14ac:dyDescent="0.2">
      <c r="C1328" s="47" t="s">
        <v>123</v>
      </c>
      <c r="D1328" s="47"/>
      <c r="E1328" s="1" t="s">
        <v>111</v>
      </c>
      <c r="F1328" s="1" t="s">
        <v>124</v>
      </c>
      <c r="AF1328" s="1"/>
    </row>
    <row r="1329" spans="1:32" x14ac:dyDescent="0.2">
      <c r="C1329" s="66">
        <f t="array" ref="C1329:C1351">TRANSPOSE(I2:AE2)</f>
        <v>-2</v>
      </c>
      <c r="D1329" s="66"/>
      <c r="E1329" s="21">
        <f t="array" ref="E1329:E1351">TRANSPOSE(I1008:AE1008)</f>
        <v>56.557541166478941</v>
      </c>
      <c r="F1329" s="21">
        <f>($C1329=$L$2)*SUM($E$1329:E1329)+($C1329&gt;$L$2)*$E1329</f>
        <v>0</v>
      </c>
      <c r="G1329" s="21">
        <f>SUM(I1329:AE1329)</f>
        <v>0</v>
      </c>
      <c r="I1329" s="21">
        <f>$F1329/$E$1326</f>
        <v>0</v>
      </c>
      <c r="J1329" s="21">
        <f t="shared" ref="J1329:AC1344" si="972">$F1329/$E$1326</f>
        <v>0</v>
      </c>
      <c r="K1329" s="21">
        <f t="shared" si="972"/>
        <v>0</v>
      </c>
      <c r="L1329" s="21">
        <f t="shared" si="972"/>
        <v>0</v>
      </c>
      <c r="M1329" s="21">
        <f t="shared" si="972"/>
        <v>0</v>
      </c>
      <c r="N1329" s="21">
        <f t="shared" si="972"/>
        <v>0</v>
      </c>
      <c r="O1329" s="21">
        <f t="shared" si="972"/>
        <v>0</v>
      </c>
      <c r="P1329" s="21">
        <f t="shared" si="972"/>
        <v>0</v>
      </c>
      <c r="Q1329" s="21">
        <f t="shared" si="972"/>
        <v>0</v>
      </c>
      <c r="R1329" s="21">
        <f t="shared" si="972"/>
        <v>0</v>
      </c>
      <c r="S1329" s="21">
        <f t="shared" si="972"/>
        <v>0</v>
      </c>
      <c r="T1329" s="21">
        <f t="shared" si="972"/>
        <v>0</v>
      </c>
      <c r="U1329" s="21">
        <f t="shared" si="972"/>
        <v>0</v>
      </c>
      <c r="V1329" s="21">
        <f t="shared" si="972"/>
        <v>0</v>
      </c>
      <c r="W1329" s="21">
        <f t="shared" si="972"/>
        <v>0</v>
      </c>
      <c r="X1329" s="21">
        <f t="shared" si="972"/>
        <v>0</v>
      </c>
      <c r="Y1329" s="21">
        <f t="shared" si="972"/>
        <v>0</v>
      </c>
      <c r="Z1329" s="21">
        <f t="shared" si="972"/>
        <v>0</v>
      </c>
      <c r="AA1329" s="21">
        <f t="shared" si="972"/>
        <v>0</v>
      </c>
      <c r="AB1329" s="21">
        <f t="shared" si="972"/>
        <v>0</v>
      </c>
      <c r="AC1329" s="21"/>
      <c r="AF1329" s="1"/>
    </row>
    <row r="1330" spans="1:32" x14ac:dyDescent="0.2">
      <c r="C1330" s="66">
        <v>-1</v>
      </c>
      <c r="D1330" s="66"/>
      <c r="E1330" s="21">
        <v>267.7061937697539</v>
      </c>
      <c r="F1330" s="21">
        <f>($C1330=$L$2)*SUM($E$1329:E1330)+($C1330&gt;$L$2)*$E1330</f>
        <v>0</v>
      </c>
      <c r="G1330" s="21">
        <f t="shared" ref="G1330:G1350" si="973">SUM(I1330:AE1330)</f>
        <v>0</v>
      </c>
      <c r="H1330" s="21"/>
      <c r="I1330" s="21"/>
      <c r="J1330" s="21">
        <f>$F1330/$E$1326</f>
        <v>0</v>
      </c>
      <c r="K1330" s="21">
        <f t="shared" si="972"/>
        <v>0</v>
      </c>
      <c r="L1330" s="21">
        <f t="shared" si="972"/>
        <v>0</v>
      </c>
      <c r="M1330" s="21">
        <f t="shared" si="972"/>
        <v>0</v>
      </c>
      <c r="N1330" s="21">
        <f t="shared" si="972"/>
        <v>0</v>
      </c>
      <c r="O1330" s="21">
        <f t="shared" si="972"/>
        <v>0</v>
      </c>
      <c r="P1330" s="21">
        <f t="shared" si="972"/>
        <v>0</v>
      </c>
      <c r="Q1330" s="21">
        <f t="shared" si="972"/>
        <v>0</v>
      </c>
      <c r="R1330" s="21">
        <f t="shared" si="972"/>
        <v>0</v>
      </c>
      <c r="S1330" s="21">
        <f t="shared" si="972"/>
        <v>0</v>
      </c>
      <c r="T1330" s="21">
        <f t="shared" si="972"/>
        <v>0</v>
      </c>
      <c r="U1330" s="21">
        <f t="shared" si="972"/>
        <v>0</v>
      </c>
      <c r="V1330" s="21">
        <f t="shared" si="972"/>
        <v>0</v>
      </c>
      <c r="W1330" s="21">
        <f t="shared" si="972"/>
        <v>0</v>
      </c>
      <c r="X1330" s="21">
        <f t="shared" si="972"/>
        <v>0</v>
      </c>
      <c r="Y1330" s="21">
        <f t="shared" si="972"/>
        <v>0</v>
      </c>
      <c r="Z1330" s="21">
        <f t="shared" si="972"/>
        <v>0</v>
      </c>
      <c r="AA1330" s="21">
        <f t="shared" si="972"/>
        <v>0</v>
      </c>
      <c r="AB1330" s="21">
        <f t="shared" si="972"/>
        <v>0</v>
      </c>
      <c r="AC1330" s="21">
        <f t="shared" si="972"/>
        <v>0</v>
      </c>
      <c r="AD1330" s="21"/>
      <c r="AE1330" s="21"/>
      <c r="AF1330" s="1"/>
    </row>
    <row r="1331" spans="1:32" x14ac:dyDescent="0.2">
      <c r="C1331" s="66">
        <v>0</v>
      </c>
      <c r="D1331" s="66"/>
      <c r="E1331" s="21">
        <v>151.31219647855653</v>
      </c>
      <c r="F1331" s="21">
        <f>($C1331=$L$2)*SUM($E$1329:E1331)+($C1331&gt;$L$2)*$E1331</f>
        <v>0</v>
      </c>
      <c r="G1331" s="21">
        <f t="shared" si="973"/>
        <v>0</v>
      </c>
      <c r="H1331" s="21"/>
      <c r="I1331" s="21"/>
      <c r="J1331" s="21"/>
      <c r="K1331" s="21">
        <f>$F1331/$E$1326</f>
        <v>0</v>
      </c>
      <c r="L1331" s="21">
        <f t="shared" si="972"/>
        <v>0</v>
      </c>
      <c r="M1331" s="21">
        <f t="shared" si="972"/>
        <v>0</v>
      </c>
      <c r="N1331" s="21">
        <f t="shared" si="972"/>
        <v>0</v>
      </c>
      <c r="O1331" s="21">
        <f t="shared" si="972"/>
        <v>0</v>
      </c>
      <c r="P1331" s="21">
        <f t="shared" si="972"/>
        <v>0</v>
      </c>
      <c r="Q1331" s="21">
        <f t="shared" si="972"/>
        <v>0</v>
      </c>
      <c r="R1331" s="21">
        <f t="shared" si="972"/>
        <v>0</v>
      </c>
      <c r="S1331" s="21">
        <f t="shared" si="972"/>
        <v>0</v>
      </c>
      <c r="T1331" s="21">
        <f t="shared" si="972"/>
        <v>0</v>
      </c>
      <c r="U1331" s="21">
        <f t="shared" si="972"/>
        <v>0</v>
      </c>
      <c r="V1331" s="21">
        <f t="shared" si="972"/>
        <v>0</v>
      </c>
      <c r="W1331" s="21">
        <f t="shared" si="972"/>
        <v>0</v>
      </c>
      <c r="X1331" s="21">
        <f t="shared" si="972"/>
        <v>0</v>
      </c>
      <c r="Y1331" s="21">
        <f t="shared" si="972"/>
        <v>0</v>
      </c>
      <c r="Z1331" s="21">
        <f t="shared" si="972"/>
        <v>0</v>
      </c>
      <c r="AA1331" s="21">
        <f t="shared" si="972"/>
        <v>0</v>
      </c>
      <c r="AB1331" s="21">
        <f t="shared" si="972"/>
        <v>0</v>
      </c>
      <c r="AC1331" s="21">
        <f t="shared" si="972"/>
        <v>0</v>
      </c>
      <c r="AD1331" s="21">
        <f t="shared" ref="AD1331:AE1346" si="974">$F1331/$E$1326</f>
        <v>0</v>
      </c>
      <c r="AE1331" s="21"/>
      <c r="AF1331" s="1"/>
    </row>
    <row r="1332" spans="1:32" x14ac:dyDescent="0.2">
      <c r="C1332" s="66">
        <v>1</v>
      </c>
      <c r="D1332" s="66"/>
      <c r="E1332" s="21">
        <v>0</v>
      </c>
      <c r="F1332" s="21">
        <f>($C1332=$L$2)*SUM($E$1329:E1332)+($C1332&gt;$L$2)*$E1332</f>
        <v>475.57593141478935</v>
      </c>
      <c r="G1332" s="21">
        <f t="shared" si="973"/>
        <v>475.57593141478941</v>
      </c>
      <c r="H1332" s="21"/>
      <c r="I1332" s="21"/>
      <c r="J1332" s="21"/>
      <c r="K1332" s="21"/>
      <c r="L1332" s="21">
        <f>$F1332/$E$1326</f>
        <v>23.778796570739466</v>
      </c>
      <c r="M1332" s="21">
        <f t="shared" si="972"/>
        <v>23.778796570739466</v>
      </c>
      <c r="N1332" s="21">
        <f t="shared" si="972"/>
        <v>23.778796570739466</v>
      </c>
      <c r="O1332" s="21">
        <f t="shared" si="972"/>
        <v>23.778796570739466</v>
      </c>
      <c r="P1332" s="21">
        <f t="shared" si="972"/>
        <v>23.778796570739466</v>
      </c>
      <c r="Q1332" s="21">
        <f t="shared" si="972"/>
        <v>23.778796570739466</v>
      </c>
      <c r="R1332" s="21">
        <f t="shared" si="972"/>
        <v>23.778796570739466</v>
      </c>
      <c r="S1332" s="21">
        <f t="shared" si="972"/>
        <v>23.778796570739466</v>
      </c>
      <c r="T1332" s="21">
        <f t="shared" si="972"/>
        <v>23.778796570739466</v>
      </c>
      <c r="U1332" s="21">
        <f t="shared" si="972"/>
        <v>23.778796570739466</v>
      </c>
      <c r="V1332" s="21">
        <f t="shared" si="972"/>
        <v>23.778796570739466</v>
      </c>
      <c r="W1332" s="21">
        <f t="shared" si="972"/>
        <v>23.778796570739466</v>
      </c>
      <c r="X1332" s="21">
        <f t="shared" si="972"/>
        <v>23.778796570739466</v>
      </c>
      <c r="Y1332" s="21">
        <f t="shared" si="972"/>
        <v>23.778796570739466</v>
      </c>
      <c r="Z1332" s="21">
        <f t="shared" si="972"/>
        <v>23.778796570739466</v>
      </c>
      <c r="AA1332" s="21">
        <f t="shared" si="972"/>
        <v>23.778796570739466</v>
      </c>
      <c r="AB1332" s="21">
        <f t="shared" si="972"/>
        <v>23.778796570739466</v>
      </c>
      <c r="AC1332" s="21">
        <f t="shared" si="972"/>
        <v>23.778796570739466</v>
      </c>
      <c r="AD1332" s="21">
        <f t="shared" si="974"/>
        <v>23.778796570739466</v>
      </c>
      <c r="AE1332" s="21">
        <f t="shared" si="974"/>
        <v>23.778796570739466</v>
      </c>
      <c r="AF1332" s="1"/>
    </row>
    <row r="1333" spans="1:32" x14ac:dyDescent="0.2">
      <c r="C1333" s="66">
        <v>2</v>
      </c>
      <c r="D1333" s="66"/>
      <c r="E1333" s="21">
        <v>0</v>
      </c>
      <c r="F1333" s="21">
        <f>($C1333=$L$2)*SUM($E$1329:E1333)+($C1333&gt;$L$2)*$E1333</f>
        <v>0</v>
      </c>
      <c r="G1333" s="21">
        <f t="shared" si="973"/>
        <v>0</v>
      </c>
      <c r="H1333" s="21"/>
      <c r="I1333" s="21"/>
      <c r="J1333" s="21"/>
      <c r="K1333" s="21"/>
      <c r="L1333" s="21"/>
      <c r="M1333" s="21">
        <f>$F1333/$E$1326</f>
        <v>0</v>
      </c>
      <c r="N1333" s="21">
        <f t="shared" si="972"/>
        <v>0</v>
      </c>
      <c r="O1333" s="21">
        <f t="shared" si="972"/>
        <v>0</v>
      </c>
      <c r="P1333" s="21">
        <f t="shared" si="972"/>
        <v>0</v>
      </c>
      <c r="Q1333" s="21">
        <f t="shared" si="972"/>
        <v>0</v>
      </c>
      <c r="R1333" s="21">
        <f t="shared" si="972"/>
        <v>0</v>
      </c>
      <c r="S1333" s="21">
        <f t="shared" si="972"/>
        <v>0</v>
      </c>
      <c r="T1333" s="21">
        <f t="shared" si="972"/>
        <v>0</v>
      </c>
      <c r="U1333" s="21">
        <f t="shared" si="972"/>
        <v>0</v>
      </c>
      <c r="V1333" s="21">
        <f t="shared" si="972"/>
        <v>0</v>
      </c>
      <c r="W1333" s="21">
        <f t="shared" si="972"/>
        <v>0</v>
      </c>
      <c r="X1333" s="21">
        <f t="shared" si="972"/>
        <v>0</v>
      </c>
      <c r="Y1333" s="21">
        <f t="shared" si="972"/>
        <v>0</v>
      </c>
      <c r="Z1333" s="21">
        <f t="shared" si="972"/>
        <v>0</v>
      </c>
      <c r="AA1333" s="21">
        <f t="shared" si="972"/>
        <v>0</v>
      </c>
      <c r="AB1333" s="21">
        <f t="shared" si="972"/>
        <v>0</v>
      </c>
      <c r="AC1333" s="21">
        <f t="shared" si="972"/>
        <v>0</v>
      </c>
      <c r="AD1333" s="21">
        <f t="shared" si="974"/>
        <v>0</v>
      </c>
      <c r="AE1333" s="21">
        <f t="shared" si="974"/>
        <v>0</v>
      </c>
      <c r="AF1333" s="1"/>
    </row>
    <row r="1334" spans="1:32" x14ac:dyDescent="0.2">
      <c r="C1334" s="66">
        <v>3</v>
      </c>
      <c r="D1334" s="66"/>
      <c r="E1334" s="21">
        <v>0</v>
      </c>
      <c r="F1334" s="21">
        <f>($C1334=$L$2)*SUM($E$1329:E1334)+($C1334&gt;$L$2)*$E1334</f>
        <v>0</v>
      </c>
      <c r="G1334" s="21">
        <f t="shared" si="973"/>
        <v>0</v>
      </c>
      <c r="H1334" s="21"/>
      <c r="I1334" s="21"/>
      <c r="J1334" s="21"/>
      <c r="K1334" s="21"/>
      <c r="L1334" s="21"/>
      <c r="M1334" s="21"/>
      <c r="N1334" s="21">
        <f>$F1334/$E$1326</f>
        <v>0</v>
      </c>
      <c r="O1334" s="21">
        <f t="shared" si="972"/>
        <v>0</v>
      </c>
      <c r="P1334" s="21">
        <f t="shared" si="972"/>
        <v>0</v>
      </c>
      <c r="Q1334" s="21">
        <f t="shared" si="972"/>
        <v>0</v>
      </c>
      <c r="R1334" s="21">
        <f t="shared" si="972"/>
        <v>0</v>
      </c>
      <c r="S1334" s="21">
        <f t="shared" si="972"/>
        <v>0</v>
      </c>
      <c r="T1334" s="21">
        <f t="shared" si="972"/>
        <v>0</v>
      </c>
      <c r="U1334" s="21">
        <f t="shared" si="972"/>
        <v>0</v>
      </c>
      <c r="V1334" s="21">
        <f t="shared" si="972"/>
        <v>0</v>
      </c>
      <c r="W1334" s="21">
        <f t="shared" si="972"/>
        <v>0</v>
      </c>
      <c r="X1334" s="21">
        <f t="shared" si="972"/>
        <v>0</v>
      </c>
      <c r="Y1334" s="21">
        <f t="shared" si="972"/>
        <v>0</v>
      </c>
      <c r="Z1334" s="21">
        <f t="shared" si="972"/>
        <v>0</v>
      </c>
      <c r="AA1334" s="21">
        <f t="shared" si="972"/>
        <v>0</v>
      </c>
      <c r="AB1334" s="21">
        <f t="shared" si="972"/>
        <v>0</v>
      </c>
      <c r="AC1334" s="21">
        <f t="shared" si="972"/>
        <v>0</v>
      </c>
      <c r="AD1334" s="21">
        <f t="shared" si="974"/>
        <v>0</v>
      </c>
      <c r="AE1334" s="21">
        <f t="shared" si="974"/>
        <v>0</v>
      </c>
      <c r="AF1334" s="1"/>
    </row>
    <row r="1335" spans="1:32" x14ac:dyDescent="0.2">
      <c r="C1335" s="66">
        <v>4</v>
      </c>
      <c r="D1335" s="66"/>
      <c r="E1335" s="21">
        <v>0</v>
      </c>
      <c r="F1335" s="21">
        <f>($C1335=$L$2)*SUM($E$1329:E1335)+($C1335&gt;$L$2)*$E1335</f>
        <v>0</v>
      </c>
      <c r="G1335" s="21">
        <f t="shared" si="973"/>
        <v>0</v>
      </c>
      <c r="H1335" s="21"/>
      <c r="I1335" s="21"/>
      <c r="J1335" s="21"/>
      <c r="K1335" s="21"/>
      <c r="L1335" s="21"/>
      <c r="M1335" s="21"/>
      <c r="N1335" s="21"/>
      <c r="O1335" s="21">
        <f>$F1335/$E$1326</f>
        <v>0</v>
      </c>
      <c r="P1335" s="21">
        <f t="shared" si="972"/>
        <v>0</v>
      </c>
      <c r="Q1335" s="21">
        <f t="shared" si="972"/>
        <v>0</v>
      </c>
      <c r="R1335" s="21">
        <f t="shared" si="972"/>
        <v>0</v>
      </c>
      <c r="S1335" s="21">
        <f t="shared" si="972"/>
        <v>0</v>
      </c>
      <c r="T1335" s="21">
        <f t="shared" si="972"/>
        <v>0</v>
      </c>
      <c r="U1335" s="21">
        <f t="shared" si="972"/>
        <v>0</v>
      </c>
      <c r="V1335" s="21">
        <f t="shared" si="972"/>
        <v>0</v>
      </c>
      <c r="W1335" s="21">
        <f t="shared" si="972"/>
        <v>0</v>
      </c>
      <c r="X1335" s="21">
        <f t="shared" si="972"/>
        <v>0</v>
      </c>
      <c r="Y1335" s="21">
        <f t="shared" si="972"/>
        <v>0</v>
      </c>
      <c r="Z1335" s="21">
        <f t="shared" si="972"/>
        <v>0</v>
      </c>
      <c r="AA1335" s="21">
        <f t="shared" si="972"/>
        <v>0</v>
      </c>
      <c r="AB1335" s="21">
        <f t="shared" si="972"/>
        <v>0</v>
      </c>
      <c r="AC1335" s="21">
        <f t="shared" si="972"/>
        <v>0</v>
      </c>
      <c r="AD1335" s="21">
        <f t="shared" si="974"/>
        <v>0</v>
      </c>
      <c r="AE1335" s="21">
        <f t="shared" si="974"/>
        <v>0</v>
      </c>
      <c r="AF1335" s="1"/>
    </row>
    <row r="1336" spans="1:32" x14ac:dyDescent="0.2">
      <c r="C1336" s="66">
        <v>5</v>
      </c>
      <c r="D1336" s="66"/>
      <c r="E1336" s="21">
        <v>0</v>
      </c>
      <c r="F1336" s="21">
        <f>($C1336=$L$2)*SUM($E$1329:E1336)+($C1336&gt;$L$2)*$E1336</f>
        <v>0</v>
      </c>
      <c r="G1336" s="21">
        <f t="shared" si="973"/>
        <v>0</v>
      </c>
      <c r="H1336" s="21"/>
      <c r="I1336" s="21"/>
      <c r="J1336" s="21"/>
      <c r="K1336" s="21"/>
      <c r="L1336" s="21"/>
      <c r="M1336" s="21"/>
      <c r="N1336" s="21"/>
      <c r="O1336" s="21"/>
      <c r="P1336" s="21">
        <f>$F1336/$E$1326</f>
        <v>0</v>
      </c>
      <c r="Q1336" s="21">
        <f t="shared" si="972"/>
        <v>0</v>
      </c>
      <c r="R1336" s="21">
        <f t="shared" si="972"/>
        <v>0</v>
      </c>
      <c r="S1336" s="21">
        <f t="shared" si="972"/>
        <v>0</v>
      </c>
      <c r="T1336" s="21">
        <f t="shared" si="972"/>
        <v>0</v>
      </c>
      <c r="U1336" s="21">
        <f t="shared" si="972"/>
        <v>0</v>
      </c>
      <c r="V1336" s="21">
        <f t="shared" si="972"/>
        <v>0</v>
      </c>
      <c r="W1336" s="21">
        <f t="shared" si="972"/>
        <v>0</v>
      </c>
      <c r="X1336" s="21">
        <f t="shared" si="972"/>
        <v>0</v>
      </c>
      <c r="Y1336" s="21">
        <f t="shared" si="972"/>
        <v>0</v>
      </c>
      <c r="Z1336" s="21">
        <f t="shared" si="972"/>
        <v>0</v>
      </c>
      <c r="AA1336" s="21">
        <f t="shared" si="972"/>
        <v>0</v>
      </c>
      <c r="AB1336" s="21">
        <f t="shared" si="972"/>
        <v>0</v>
      </c>
      <c r="AC1336" s="21">
        <f t="shared" si="972"/>
        <v>0</v>
      </c>
      <c r="AD1336" s="21">
        <f t="shared" si="974"/>
        <v>0</v>
      </c>
      <c r="AE1336" s="21">
        <f t="shared" si="974"/>
        <v>0</v>
      </c>
      <c r="AF1336" s="1"/>
    </row>
    <row r="1337" spans="1:32" x14ac:dyDescent="0.2">
      <c r="C1337" s="66">
        <v>6</v>
      </c>
      <c r="D1337" s="66"/>
      <c r="E1337" s="21">
        <v>0</v>
      </c>
      <c r="F1337" s="21">
        <f>($C1337=$L$2)*SUM($E$1329:E1337)+($C1337&gt;$L$2)*$E1337</f>
        <v>0</v>
      </c>
      <c r="G1337" s="21">
        <f t="shared" si="973"/>
        <v>0</v>
      </c>
      <c r="H1337" s="21"/>
      <c r="I1337" s="21"/>
      <c r="J1337" s="21"/>
      <c r="K1337" s="21"/>
      <c r="L1337" s="21"/>
      <c r="M1337" s="21"/>
      <c r="N1337" s="21"/>
      <c r="O1337" s="21"/>
      <c r="P1337" s="21"/>
      <c r="Q1337" s="21">
        <f>$F1337/$E$1326</f>
        <v>0</v>
      </c>
      <c r="R1337" s="21">
        <f t="shared" si="972"/>
        <v>0</v>
      </c>
      <c r="S1337" s="21">
        <f t="shared" si="972"/>
        <v>0</v>
      </c>
      <c r="T1337" s="21">
        <f t="shared" si="972"/>
        <v>0</v>
      </c>
      <c r="U1337" s="21">
        <f t="shared" si="972"/>
        <v>0</v>
      </c>
      <c r="V1337" s="21">
        <f t="shared" si="972"/>
        <v>0</v>
      </c>
      <c r="W1337" s="21">
        <f t="shared" si="972"/>
        <v>0</v>
      </c>
      <c r="X1337" s="21">
        <f t="shared" si="972"/>
        <v>0</v>
      </c>
      <c r="Y1337" s="21">
        <f t="shared" si="972"/>
        <v>0</v>
      </c>
      <c r="Z1337" s="21">
        <f t="shared" si="972"/>
        <v>0</v>
      </c>
      <c r="AA1337" s="21">
        <f t="shared" si="972"/>
        <v>0</v>
      </c>
      <c r="AB1337" s="21">
        <f t="shared" si="972"/>
        <v>0</v>
      </c>
      <c r="AC1337" s="21">
        <f t="shared" si="972"/>
        <v>0</v>
      </c>
      <c r="AD1337" s="21">
        <f t="shared" si="974"/>
        <v>0</v>
      </c>
      <c r="AE1337" s="21">
        <f t="shared" si="974"/>
        <v>0</v>
      </c>
      <c r="AF1337" s="1"/>
    </row>
    <row r="1338" spans="1:32" x14ac:dyDescent="0.2">
      <c r="C1338" s="66">
        <v>7</v>
      </c>
      <c r="D1338" s="66"/>
      <c r="E1338" s="21">
        <v>0</v>
      </c>
      <c r="F1338" s="21">
        <f>($C1338=$L$2)*SUM($E$1329:E1338)+($C1338&gt;$L$2)*$E1338</f>
        <v>0</v>
      </c>
      <c r="G1338" s="21">
        <f t="shared" si="973"/>
        <v>0</v>
      </c>
      <c r="H1338" s="21"/>
      <c r="I1338" s="21"/>
      <c r="J1338" s="21"/>
      <c r="K1338" s="21"/>
      <c r="L1338" s="21"/>
      <c r="M1338" s="21"/>
      <c r="N1338" s="21"/>
      <c r="O1338" s="21"/>
      <c r="P1338" s="21"/>
      <c r="Q1338" s="21"/>
      <c r="R1338" s="21">
        <f>$F1338/$E$1326</f>
        <v>0</v>
      </c>
      <c r="S1338" s="21">
        <f t="shared" si="972"/>
        <v>0</v>
      </c>
      <c r="T1338" s="21">
        <f t="shared" si="972"/>
        <v>0</v>
      </c>
      <c r="U1338" s="21">
        <f t="shared" si="972"/>
        <v>0</v>
      </c>
      <c r="V1338" s="21">
        <f t="shared" si="972"/>
        <v>0</v>
      </c>
      <c r="W1338" s="21">
        <f t="shared" si="972"/>
        <v>0</v>
      </c>
      <c r="X1338" s="21">
        <f t="shared" si="972"/>
        <v>0</v>
      </c>
      <c r="Y1338" s="21">
        <f t="shared" si="972"/>
        <v>0</v>
      </c>
      <c r="Z1338" s="21">
        <f t="shared" si="972"/>
        <v>0</v>
      </c>
      <c r="AA1338" s="21">
        <f t="shared" si="972"/>
        <v>0</v>
      </c>
      <c r="AB1338" s="21">
        <f t="shared" si="972"/>
        <v>0</v>
      </c>
      <c r="AC1338" s="21">
        <f t="shared" si="972"/>
        <v>0</v>
      </c>
      <c r="AD1338" s="21">
        <f t="shared" si="974"/>
        <v>0</v>
      </c>
      <c r="AE1338" s="21">
        <f t="shared" si="974"/>
        <v>0</v>
      </c>
      <c r="AF1338" s="1"/>
    </row>
    <row r="1339" spans="1:32" x14ac:dyDescent="0.2">
      <c r="A1339" s="5"/>
      <c r="C1339" s="66">
        <v>8</v>
      </c>
      <c r="D1339" s="66"/>
      <c r="E1339" s="21">
        <v>0</v>
      </c>
      <c r="F1339" s="21">
        <f>($C1339=$L$2)*SUM($E$1329:E1339)+($C1339&gt;$L$2)*$E1339</f>
        <v>0</v>
      </c>
      <c r="G1339" s="21">
        <f t="shared" si="973"/>
        <v>0</v>
      </c>
      <c r="H1339" s="21"/>
      <c r="I1339" s="21"/>
      <c r="J1339" s="21"/>
      <c r="K1339" s="21"/>
      <c r="L1339" s="21"/>
      <c r="M1339" s="21"/>
      <c r="N1339" s="21"/>
      <c r="O1339" s="21"/>
      <c r="P1339" s="21"/>
      <c r="Q1339" s="21"/>
      <c r="R1339" s="21"/>
      <c r="S1339" s="21">
        <f>$F1339/$E$1326</f>
        <v>0</v>
      </c>
      <c r="T1339" s="21">
        <f t="shared" si="972"/>
        <v>0</v>
      </c>
      <c r="U1339" s="21">
        <f t="shared" si="972"/>
        <v>0</v>
      </c>
      <c r="V1339" s="21">
        <f t="shared" si="972"/>
        <v>0</v>
      </c>
      <c r="W1339" s="21">
        <f t="shared" si="972"/>
        <v>0</v>
      </c>
      <c r="X1339" s="21">
        <f t="shared" si="972"/>
        <v>0</v>
      </c>
      <c r="Y1339" s="21">
        <f t="shared" si="972"/>
        <v>0</v>
      </c>
      <c r="Z1339" s="21">
        <f t="shared" si="972"/>
        <v>0</v>
      </c>
      <c r="AA1339" s="21">
        <f t="shared" si="972"/>
        <v>0</v>
      </c>
      <c r="AB1339" s="21">
        <f t="shared" si="972"/>
        <v>0</v>
      </c>
      <c r="AC1339" s="21">
        <f t="shared" si="972"/>
        <v>0</v>
      </c>
      <c r="AD1339" s="21">
        <f t="shared" si="974"/>
        <v>0</v>
      </c>
      <c r="AE1339" s="21">
        <f t="shared" si="974"/>
        <v>0</v>
      </c>
      <c r="AF1339" s="1"/>
    </row>
    <row r="1340" spans="1:32" x14ac:dyDescent="0.2">
      <c r="C1340" s="66">
        <v>9</v>
      </c>
      <c r="D1340" s="66"/>
      <c r="E1340" s="21">
        <v>0</v>
      </c>
      <c r="F1340" s="21">
        <f>($C1340=$L$2)*SUM($E$1329:E1340)+($C1340&gt;$L$2)*$E1340</f>
        <v>0</v>
      </c>
      <c r="G1340" s="21">
        <f t="shared" si="973"/>
        <v>0</v>
      </c>
      <c r="H1340" s="21"/>
      <c r="I1340" s="21"/>
      <c r="J1340" s="21"/>
      <c r="K1340" s="21"/>
      <c r="L1340" s="21"/>
      <c r="M1340" s="21"/>
      <c r="N1340" s="21"/>
      <c r="O1340" s="21"/>
      <c r="P1340" s="21"/>
      <c r="Q1340" s="21"/>
      <c r="R1340" s="21"/>
      <c r="S1340" s="21"/>
      <c r="T1340" s="21">
        <f>$F1340/$E$1326</f>
        <v>0</v>
      </c>
      <c r="U1340" s="21">
        <f t="shared" si="972"/>
        <v>0</v>
      </c>
      <c r="V1340" s="21">
        <f t="shared" si="972"/>
        <v>0</v>
      </c>
      <c r="W1340" s="21">
        <f t="shared" si="972"/>
        <v>0</v>
      </c>
      <c r="X1340" s="21">
        <f t="shared" si="972"/>
        <v>0</v>
      </c>
      <c r="Y1340" s="21">
        <f t="shared" si="972"/>
        <v>0</v>
      </c>
      <c r="Z1340" s="21">
        <f t="shared" si="972"/>
        <v>0</v>
      </c>
      <c r="AA1340" s="21">
        <f t="shared" si="972"/>
        <v>0</v>
      </c>
      <c r="AB1340" s="21">
        <f t="shared" si="972"/>
        <v>0</v>
      </c>
      <c r="AC1340" s="21">
        <f t="shared" si="972"/>
        <v>0</v>
      </c>
      <c r="AD1340" s="21">
        <f t="shared" si="974"/>
        <v>0</v>
      </c>
      <c r="AE1340" s="21">
        <f t="shared" si="974"/>
        <v>0</v>
      </c>
      <c r="AF1340" s="1"/>
    </row>
    <row r="1341" spans="1:32" x14ac:dyDescent="0.2">
      <c r="C1341" s="66">
        <v>10</v>
      </c>
      <c r="D1341" s="66"/>
      <c r="E1341" s="21">
        <v>0</v>
      </c>
      <c r="F1341" s="21">
        <f>($C1341=$L$2)*SUM($E$1329:E1341)+($C1341&gt;$L$2)*$E1341</f>
        <v>0</v>
      </c>
      <c r="G1341" s="21">
        <f t="shared" si="973"/>
        <v>0</v>
      </c>
      <c r="H1341" s="21"/>
      <c r="I1341" s="21"/>
      <c r="J1341" s="21"/>
      <c r="K1341" s="21"/>
      <c r="L1341" s="21"/>
      <c r="M1341" s="21"/>
      <c r="N1341" s="21"/>
      <c r="O1341" s="21"/>
      <c r="P1341" s="21"/>
      <c r="Q1341" s="21"/>
      <c r="R1341" s="21"/>
      <c r="S1341" s="21"/>
      <c r="T1341" s="21"/>
      <c r="U1341" s="21">
        <f>$F1341/$E$1326</f>
        <v>0</v>
      </c>
      <c r="V1341" s="21">
        <f t="shared" si="972"/>
        <v>0</v>
      </c>
      <c r="W1341" s="21">
        <f t="shared" si="972"/>
        <v>0</v>
      </c>
      <c r="X1341" s="21">
        <f t="shared" si="972"/>
        <v>0</v>
      </c>
      <c r="Y1341" s="21">
        <f t="shared" si="972"/>
        <v>0</v>
      </c>
      <c r="Z1341" s="21">
        <f t="shared" si="972"/>
        <v>0</v>
      </c>
      <c r="AA1341" s="21">
        <f t="shared" si="972"/>
        <v>0</v>
      </c>
      <c r="AB1341" s="21">
        <f t="shared" si="972"/>
        <v>0</v>
      </c>
      <c r="AC1341" s="21">
        <f t="shared" si="972"/>
        <v>0</v>
      </c>
      <c r="AD1341" s="21">
        <f t="shared" si="974"/>
        <v>0</v>
      </c>
      <c r="AE1341" s="21">
        <f t="shared" si="974"/>
        <v>0</v>
      </c>
      <c r="AF1341" s="1"/>
    </row>
    <row r="1342" spans="1:32" x14ac:dyDescent="0.2">
      <c r="C1342" s="66">
        <v>11</v>
      </c>
      <c r="D1342" s="66"/>
      <c r="E1342" s="21">
        <v>0</v>
      </c>
      <c r="F1342" s="21">
        <f>($C1342=$L$2)*SUM($E$1329:E1342)+($C1342&gt;$L$2)*$E1342</f>
        <v>0</v>
      </c>
      <c r="G1342" s="21">
        <f t="shared" si="973"/>
        <v>0</v>
      </c>
      <c r="H1342" s="21"/>
      <c r="I1342" s="21"/>
      <c r="J1342" s="21"/>
      <c r="K1342" s="21"/>
      <c r="L1342" s="21"/>
      <c r="M1342" s="21"/>
      <c r="N1342" s="21"/>
      <c r="O1342" s="21"/>
      <c r="P1342" s="21"/>
      <c r="Q1342" s="21"/>
      <c r="R1342" s="21"/>
      <c r="S1342" s="21"/>
      <c r="T1342" s="21"/>
      <c r="U1342" s="21"/>
      <c r="V1342" s="21">
        <f>$F1342/$E$1326</f>
        <v>0</v>
      </c>
      <c r="W1342" s="21">
        <f t="shared" si="972"/>
        <v>0</v>
      </c>
      <c r="X1342" s="21">
        <f t="shared" si="972"/>
        <v>0</v>
      </c>
      <c r="Y1342" s="21">
        <f t="shared" si="972"/>
        <v>0</v>
      </c>
      <c r="Z1342" s="21">
        <f t="shared" si="972"/>
        <v>0</v>
      </c>
      <c r="AA1342" s="21">
        <f t="shared" si="972"/>
        <v>0</v>
      </c>
      <c r="AB1342" s="21">
        <f t="shared" si="972"/>
        <v>0</v>
      </c>
      <c r="AC1342" s="21">
        <f t="shared" si="972"/>
        <v>0</v>
      </c>
      <c r="AD1342" s="21">
        <f t="shared" si="974"/>
        <v>0</v>
      </c>
      <c r="AE1342" s="21">
        <f t="shared" si="974"/>
        <v>0</v>
      </c>
      <c r="AF1342" s="1"/>
    </row>
    <row r="1343" spans="1:32" x14ac:dyDescent="0.2">
      <c r="C1343" s="66">
        <v>12</v>
      </c>
      <c r="D1343" s="66"/>
      <c r="E1343" s="21">
        <v>0</v>
      </c>
      <c r="F1343" s="21">
        <f>($C1343=$L$2)*SUM($E$1329:E1343)+($C1343&gt;$L$2)*$E1343</f>
        <v>0</v>
      </c>
      <c r="G1343" s="21">
        <f t="shared" si="973"/>
        <v>0</v>
      </c>
      <c r="H1343" s="21"/>
      <c r="I1343" s="21"/>
      <c r="J1343" s="21"/>
      <c r="K1343" s="21"/>
      <c r="L1343" s="21"/>
      <c r="M1343" s="21"/>
      <c r="N1343" s="21"/>
      <c r="O1343" s="21"/>
      <c r="P1343" s="21"/>
      <c r="Q1343" s="21"/>
      <c r="R1343" s="21"/>
      <c r="S1343" s="21"/>
      <c r="T1343" s="21"/>
      <c r="U1343" s="21"/>
      <c r="V1343" s="21"/>
      <c r="W1343" s="21">
        <f>$F1343/$E$1326</f>
        <v>0</v>
      </c>
      <c r="X1343" s="21">
        <f t="shared" si="972"/>
        <v>0</v>
      </c>
      <c r="Y1343" s="21">
        <f t="shared" si="972"/>
        <v>0</v>
      </c>
      <c r="Z1343" s="21">
        <f t="shared" si="972"/>
        <v>0</v>
      </c>
      <c r="AA1343" s="21">
        <f t="shared" si="972"/>
        <v>0</v>
      </c>
      <c r="AB1343" s="21">
        <f t="shared" si="972"/>
        <v>0</v>
      </c>
      <c r="AC1343" s="21">
        <f t="shared" si="972"/>
        <v>0</v>
      </c>
      <c r="AD1343" s="21">
        <f t="shared" si="974"/>
        <v>0</v>
      </c>
      <c r="AE1343" s="21">
        <f t="shared" si="974"/>
        <v>0</v>
      </c>
      <c r="AF1343" s="1"/>
    </row>
    <row r="1344" spans="1:32" x14ac:dyDescent="0.2">
      <c r="C1344" s="66">
        <v>13</v>
      </c>
      <c r="D1344" s="66"/>
      <c r="E1344" s="21">
        <v>0</v>
      </c>
      <c r="F1344" s="21">
        <f>($C1344=$L$2)*SUM($E$1329:E1344)+($C1344&gt;$L$2)*$E1344</f>
        <v>0</v>
      </c>
      <c r="G1344" s="21">
        <f t="shared" si="973"/>
        <v>0</v>
      </c>
      <c r="H1344" s="21"/>
      <c r="I1344" s="21"/>
      <c r="J1344" s="21"/>
      <c r="K1344" s="21"/>
      <c r="L1344" s="21"/>
      <c r="M1344" s="21"/>
      <c r="N1344" s="21"/>
      <c r="O1344" s="21"/>
      <c r="P1344" s="21"/>
      <c r="Q1344" s="21"/>
      <c r="R1344" s="21"/>
      <c r="S1344" s="21"/>
      <c r="T1344" s="21"/>
      <c r="U1344" s="21"/>
      <c r="V1344" s="21"/>
      <c r="W1344" s="21"/>
      <c r="X1344" s="21">
        <f>$F1344/$E$1326</f>
        <v>0</v>
      </c>
      <c r="Y1344" s="21">
        <f t="shared" si="972"/>
        <v>0</v>
      </c>
      <c r="Z1344" s="21">
        <f t="shared" si="972"/>
        <v>0</v>
      </c>
      <c r="AA1344" s="21">
        <f t="shared" si="972"/>
        <v>0</v>
      </c>
      <c r="AB1344" s="21">
        <f t="shared" si="972"/>
        <v>0</v>
      </c>
      <c r="AC1344" s="21">
        <f t="shared" si="972"/>
        <v>0</v>
      </c>
      <c r="AD1344" s="21">
        <f t="shared" si="974"/>
        <v>0</v>
      </c>
      <c r="AE1344" s="21">
        <f t="shared" si="974"/>
        <v>0</v>
      </c>
      <c r="AF1344" s="1"/>
    </row>
    <row r="1345" spans="2:32" x14ac:dyDescent="0.2">
      <c r="C1345" s="66">
        <v>14</v>
      </c>
      <c r="D1345" s="66"/>
      <c r="E1345" s="21">
        <v>0</v>
      </c>
      <c r="F1345" s="21">
        <f>($C1345=$L$2)*SUM($E$1329:E1345)+($C1345&gt;$L$2)*$E1345</f>
        <v>0</v>
      </c>
      <c r="G1345" s="21">
        <f t="shared" si="973"/>
        <v>0</v>
      </c>
      <c r="H1345" s="21"/>
      <c r="I1345" s="21"/>
      <c r="J1345" s="21"/>
      <c r="K1345" s="21"/>
      <c r="L1345" s="21"/>
      <c r="M1345" s="21"/>
      <c r="N1345" s="21"/>
      <c r="O1345" s="21"/>
      <c r="P1345" s="21"/>
      <c r="Q1345" s="21"/>
      <c r="R1345" s="21"/>
      <c r="S1345" s="21"/>
      <c r="T1345" s="21"/>
      <c r="U1345" s="21"/>
      <c r="V1345" s="21"/>
      <c r="W1345" s="21"/>
      <c r="X1345" s="21"/>
      <c r="Y1345" s="21">
        <f>$F1345/$E$1326</f>
        <v>0</v>
      </c>
      <c r="Z1345" s="21">
        <f>$F1345/$E$1326</f>
        <v>0</v>
      </c>
      <c r="AA1345" s="21">
        <f>$F1345/$E$1326</f>
        <v>0</v>
      </c>
      <c r="AB1345" s="21">
        <f>$F1345/$E$1326</f>
        <v>0</v>
      </c>
      <c r="AC1345" s="21">
        <f>$F1345/$E$1326</f>
        <v>0</v>
      </c>
      <c r="AD1345" s="21">
        <f t="shared" si="974"/>
        <v>0</v>
      </c>
      <c r="AE1345" s="21">
        <f t="shared" si="974"/>
        <v>0</v>
      </c>
      <c r="AF1345" s="1"/>
    </row>
    <row r="1346" spans="2:32" x14ac:dyDescent="0.2">
      <c r="C1346" s="66">
        <v>15</v>
      </c>
      <c r="D1346" s="66"/>
      <c r="E1346" s="21">
        <v>0</v>
      </c>
      <c r="F1346" s="21">
        <f>($C1346=$L$2)*SUM($E$1329:E1346)+($C1346&gt;$L$2)*$E1346</f>
        <v>0</v>
      </c>
      <c r="G1346" s="21">
        <f t="shared" si="973"/>
        <v>0</v>
      </c>
      <c r="H1346" s="21"/>
      <c r="I1346" s="21"/>
      <c r="J1346" s="21"/>
      <c r="K1346" s="21"/>
      <c r="L1346" s="21"/>
      <c r="M1346" s="21"/>
      <c r="N1346" s="21"/>
      <c r="O1346" s="21"/>
      <c r="P1346" s="21"/>
      <c r="Q1346" s="21"/>
      <c r="R1346" s="21"/>
      <c r="S1346" s="21"/>
      <c r="T1346" s="21"/>
      <c r="U1346" s="21"/>
      <c r="V1346" s="21"/>
      <c r="W1346" s="21"/>
      <c r="X1346" s="21"/>
      <c r="Y1346" s="21"/>
      <c r="Z1346" s="21">
        <f>$F1346/$E$1326</f>
        <v>0</v>
      </c>
      <c r="AA1346" s="21">
        <f>$F1346/$E$1326</f>
        <v>0</v>
      </c>
      <c r="AB1346" s="21">
        <f>$F1346/$E$1326</f>
        <v>0</v>
      </c>
      <c r="AC1346" s="21">
        <f>$F1346/$E$1326</f>
        <v>0</v>
      </c>
      <c r="AD1346" s="21">
        <f t="shared" si="974"/>
        <v>0</v>
      </c>
      <c r="AE1346" s="21">
        <f t="shared" si="974"/>
        <v>0</v>
      </c>
      <c r="AF1346" s="1"/>
    </row>
    <row r="1347" spans="2:32" x14ac:dyDescent="0.2">
      <c r="C1347" s="66">
        <v>16</v>
      </c>
      <c r="D1347" s="66"/>
      <c r="E1347" s="21">
        <v>0</v>
      </c>
      <c r="F1347" s="21">
        <f>($C1347=$L$2)*SUM($E$1329:E1347)+($C1347&gt;$L$2)*$E1347</f>
        <v>0</v>
      </c>
      <c r="G1347" s="21">
        <f t="shared" si="973"/>
        <v>0</v>
      </c>
      <c r="H1347" s="21"/>
      <c r="I1347" s="21"/>
      <c r="J1347" s="21"/>
      <c r="K1347" s="21"/>
      <c r="L1347" s="21"/>
      <c r="M1347" s="21"/>
      <c r="N1347" s="21"/>
      <c r="O1347" s="21"/>
      <c r="P1347" s="21"/>
      <c r="Q1347" s="21"/>
      <c r="R1347" s="21"/>
      <c r="S1347" s="21"/>
      <c r="T1347" s="21"/>
      <c r="U1347" s="21"/>
      <c r="V1347" s="21"/>
      <c r="W1347" s="21"/>
      <c r="X1347" s="21"/>
      <c r="Y1347" s="21"/>
      <c r="Z1347" s="21"/>
      <c r="AA1347" s="21">
        <f>$F1347/$E$1326</f>
        <v>0</v>
      </c>
      <c r="AB1347" s="21">
        <f>$F1347/$E$1326</f>
        <v>0</v>
      </c>
      <c r="AC1347" s="21">
        <f>$F1347/$E$1326</f>
        <v>0</v>
      </c>
      <c r="AD1347" s="21">
        <f>$F1347/$E$1326</f>
        <v>0</v>
      </c>
      <c r="AE1347" s="21">
        <f>$F1347/$E$1326</f>
        <v>0</v>
      </c>
      <c r="AF1347" s="1"/>
    </row>
    <row r="1348" spans="2:32" x14ac:dyDescent="0.2">
      <c r="C1348" s="66">
        <v>17</v>
      </c>
      <c r="D1348" s="66"/>
      <c r="E1348" s="21">
        <v>0</v>
      </c>
      <c r="F1348" s="21">
        <f>($C1348=$L$2)*SUM($E$1329:E1348)+($C1348&gt;$L$2)*$E1348</f>
        <v>0</v>
      </c>
      <c r="G1348" s="21">
        <f t="shared" si="973"/>
        <v>0</v>
      </c>
      <c r="H1348" s="21"/>
      <c r="I1348" s="21"/>
      <c r="J1348" s="21"/>
      <c r="K1348" s="21"/>
      <c r="L1348" s="21"/>
      <c r="M1348" s="21"/>
      <c r="N1348" s="21"/>
      <c r="O1348" s="21"/>
      <c r="P1348" s="21"/>
      <c r="Q1348" s="21"/>
      <c r="R1348" s="21"/>
      <c r="S1348" s="21"/>
      <c r="T1348" s="21"/>
      <c r="U1348" s="21"/>
      <c r="V1348" s="21"/>
      <c r="W1348" s="21"/>
      <c r="X1348" s="21"/>
      <c r="Y1348" s="21"/>
      <c r="Z1348" s="21"/>
      <c r="AA1348" s="21"/>
      <c r="AB1348" s="21">
        <f>$F1348/$E$1326</f>
        <v>0</v>
      </c>
      <c r="AC1348" s="21">
        <f>$F1348/$E$1326</f>
        <v>0</v>
      </c>
      <c r="AD1348" s="21">
        <f>$F1348/$E$1326</f>
        <v>0</v>
      </c>
      <c r="AE1348" s="21">
        <f>$F1348/$E$1326</f>
        <v>0</v>
      </c>
      <c r="AF1348" s="1"/>
    </row>
    <row r="1349" spans="2:32" x14ac:dyDescent="0.2">
      <c r="C1349" s="66">
        <v>18</v>
      </c>
      <c r="D1349" s="66"/>
      <c r="E1349" s="21">
        <v>0</v>
      </c>
      <c r="F1349" s="21">
        <f>($C1349=$L$2)*SUM($E$1329:E1349)+($C1349&gt;$L$2)*$E1349</f>
        <v>0</v>
      </c>
      <c r="G1349" s="21">
        <f t="shared" si="973"/>
        <v>0</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f>$F1349/$E$1326</f>
        <v>0</v>
      </c>
      <c r="AD1349" s="21">
        <f>$F1349/$E$1326</f>
        <v>0</v>
      </c>
      <c r="AE1349" s="21">
        <f>$F1349/$E$1326</f>
        <v>0</v>
      </c>
      <c r="AF1349" s="1"/>
    </row>
    <row r="1350" spans="2:32" x14ac:dyDescent="0.2">
      <c r="C1350" s="66">
        <v>19</v>
      </c>
      <c r="D1350" s="66"/>
      <c r="E1350" s="21">
        <v>0</v>
      </c>
      <c r="F1350" s="21">
        <f>($C1350=$L$2)*SUM($E$1329:E1350)+($C1350&gt;$L$2)*$E1350</f>
        <v>0</v>
      </c>
      <c r="G1350" s="21">
        <f t="shared" si="973"/>
        <v>0</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f>$F1350/$E$1326</f>
        <v>0</v>
      </c>
      <c r="AE1350" s="21">
        <f>$F1350/$E$1326</f>
        <v>0</v>
      </c>
      <c r="AF1350" s="1"/>
    </row>
    <row r="1351" spans="2:32" x14ac:dyDescent="0.2">
      <c r="C1351" s="66">
        <v>20</v>
      </c>
      <c r="D1351" s="66"/>
      <c r="E1351" s="21">
        <v>0</v>
      </c>
      <c r="F1351" s="21">
        <f>($C1351=$L$2)*SUM($E$1329:E1351)+($C1351&gt;$L$2)*$E1351</f>
        <v>0</v>
      </c>
      <c r="G1351" s="21">
        <f>SUM(I1351:AE1351)</f>
        <v>0</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f>$F1351/$E$1326</f>
        <v>0</v>
      </c>
      <c r="AF1351" s="1"/>
    </row>
    <row r="1352" spans="2:32" x14ac:dyDescent="0.2">
      <c r="C1352" s="61" t="s">
        <v>45</v>
      </c>
      <c r="D1352" s="61"/>
      <c r="E1352" s="44">
        <f>SUM(E1329:E1351)</f>
        <v>475.57593141478935</v>
      </c>
      <c r="F1352" s="44">
        <f>SUM(F1329:F1351)</f>
        <v>475.57593141478935</v>
      </c>
      <c r="G1352" s="44">
        <f>SUM(I1352:AE1352)</f>
        <v>475.57593141478941</v>
      </c>
      <c r="I1352" s="44">
        <f>SUM(I1329:I1351)</f>
        <v>0</v>
      </c>
      <c r="J1352" s="44">
        <f t="shared" ref="J1352:AE1352" si="975">SUM(J1329:J1351)</f>
        <v>0</v>
      </c>
      <c r="K1352" s="44">
        <f t="shared" si="975"/>
        <v>0</v>
      </c>
      <c r="L1352" s="44">
        <f t="shared" si="975"/>
        <v>23.778796570739466</v>
      </c>
      <c r="M1352" s="44">
        <f t="shared" si="975"/>
        <v>23.778796570739466</v>
      </c>
      <c r="N1352" s="44">
        <f t="shared" si="975"/>
        <v>23.778796570739466</v>
      </c>
      <c r="O1352" s="44">
        <f t="shared" si="975"/>
        <v>23.778796570739466</v>
      </c>
      <c r="P1352" s="44">
        <f t="shared" si="975"/>
        <v>23.778796570739466</v>
      </c>
      <c r="Q1352" s="44">
        <f t="shared" si="975"/>
        <v>23.778796570739466</v>
      </c>
      <c r="R1352" s="44">
        <f t="shared" si="975"/>
        <v>23.778796570739466</v>
      </c>
      <c r="S1352" s="44">
        <f t="shared" si="975"/>
        <v>23.778796570739466</v>
      </c>
      <c r="T1352" s="44">
        <f t="shared" si="975"/>
        <v>23.778796570739466</v>
      </c>
      <c r="U1352" s="44">
        <f t="shared" si="975"/>
        <v>23.778796570739466</v>
      </c>
      <c r="V1352" s="44">
        <f t="shared" si="975"/>
        <v>23.778796570739466</v>
      </c>
      <c r="W1352" s="44">
        <f t="shared" si="975"/>
        <v>23.778796570739466</v>
      </c>
      <c r="X1352" s="44">
        <f t="shared" si="975"/>
        <v>23.778796570739466</v>
      </c>
      <c r="Y1352" s="44">
        <f t="shared" si="975"/>
        <v>23.778796570739466</v>
      </c>
      <c r="Z1352" s="44">
        <f t="shared" si="975"/>
        <v>23.778796570739466</v>
      </c>
      <c r="AA1352" s="44">
        <f t="shared" si="975"/>
        <v>23.778796570739466</v>
      </c>
      <c r="AB1352" s="44">
        <f t="shared" si="975"/>
        <v>23.778796570739466</v>
      </c>
      <c r="AC1352" s="44">
        <f t="shared" si="975"/>
        <v>23.778796570739466</v>
      </c>
      <c r="AD1352" s="44">
        <f t="shared" si="975"/>
        <v>23.778796570739466</v>
      </c>
      <c r="AE1352" s="44">
        <f t="shared" si="975"/>
        <v>23.778796570739466</v>
      </c>
      <c r="AF1352" s="1"/>
    </row>
    <row r="1353" spans="2:32" x14ac:dyDescent="0.2">
      <c r="C1353" s="5"/>
      <c r="D1353" s="5"/>
      <c r="AF1353" s="1"/>
    </row>
    <row r="1354" spans="2:32" x14ac:dyDescent="0.2">
      <c r="B1354" s="10">
        <f>B1319+0.1</f>
        <v>12.399999999999999</v>
      </c>
      <c r="C1354" s="9" t="s">
        <v>374</v>
      </c>
      <c r="D1354" s="9"/>
      <c r="AF1354" s="1"/>
    </row>
    <row r="1355" spans="2:32" x14ac:dyDescent="0.2">
      <c r="C1355" s="5"/>
      <c r="D1355" s="5"/>
      <c r="AF1355" s="1"/>
    </row>
    <row r="1356" spans="2:32" x14ac:dyDescent="0.2">
      <c r="C1356" s="1" t="s">
        <v>169</v>
      </c>
      <c r="E1356" s="2"/>
      <c r="F1356" s="1" t="s">
        <v>55</v>
      </c>
      <c r="I1356" s="21">
        <f t="shared" ref="I1356:AE1356" si="976">H1359</f>
        <v>0</v>
      </c>
      <c r="J1356" s="21">
        <f t="shared" si="976"/>
        <v>0</v>
      </c>
      <c r="K1356" s="21">
        <f t="shared" si="976"/>
        <v>0</v>
      </c>
      <c r="L1356" s="21">
        <f t="shared" si="976"/>
        <v>9.5968887550661393</v>
      </c>
      <c r="M1356" s="21">
        <f t="shared" si="976"/>
        <v>23.635412946245413</v>
      </c>
      <c r="N1356" s="21">
        <f t="shared" si="976"/>
        <v>51.185128815960269</v>
      </c>
      <c r="O1356" s="21">
        <f t="shared" si="976"/>
        <v>78.499480597398119</v>
      </c>
      <c r="P1356" s="21">
        <f t="shared" si="976"/>
        <v>105.81383237883597</v>
      </c>
      <c r="Q1356" s="21">
        <f t="shared" si="976"/>
        <v>130.17646950615401</v>
      </c>
      <c r="R1356" s="21">
        <f t="shared" si="976"/>
        <v>139.34251997676</v>
      </c>
      <c r="S1356" s="21">
        <f t="shared" si="976"/>
        <v>137.56955538803021</v>
      </c>
      <c r="T1356" s="21">
        <f t="shared" si="976"/>
        <v>134.80908013447154</v>
      </c>
      <c r="U1356" s="21">
        <f t="shared" si="976"/>
        <v>131.07719475280146</v>
      </c>
      <c r="V1356" s="21">
        <f t="shared" si="976"/>
        <v>126.66532228145336</v>
      </c>
      <c r="W1356" s="21">
        <f t="shared" si="976"/>
        <v>121.77745884733065</v>
      </c>
      <c r="X1356" s="21">
        <f t="shared" si="976"/>
        <v>116.55640173926574</v>
      </c>
      <c r="Y1356" s="21">
        <f t="shared" si="976"/>
        <v>111.10210905944128</v>
      </c>
      <c r="Z1356" s="21">
        <f t="shared" si="976"/>
        <v>105.48455147938512</v>
      </c>
      <c r="AA1356" s="21">
        <f t="shared" si="976"/>
        <v>99.752708469166777</v>
      </c>
      <c r="AB1356" s="21">
        <f t="shared" si="976"/>
        <v>93.940865657834919</v>
      </c>
      <c r="AC1356" s="21">
        <f t="shared" si="976"/>
        <v>88.073022985723583</v>
      </c>
      <c r="AD1356" s="21">
        <f t="shared" si="976"/>
        <v>82.165980411066613</v>
      </c>
      <c r="AE1356" s="21">
        <f t="shared" si="976"/>
        <v>76.231497904627702</v>
      </c>
      <c r="AF1356" s="1"/>
    </row>
    <row r="1357" spans="2:32" x14ac:dyDescent="0.2">
      <c r="C1357" s="1" t="s">
        <v>170</v>
      </c>
      <c r="E1357" s="2"/>
      <c r="F1357" s="1" t="s">
        <v>55</v>
      </c>
      <c r="I1357" s="21">
        <f t="shared" ref="I1357:AE1357" si="977">I1217</f>
        <v>0</v>
      </c>
      <c r="J1357" s="21">
        <f t="shared" si="977"/>
        <v>0</v>
      </c>
      <c r="K1357" s="21">
        <f t="shared" si="977"/>
        <v>0</v>
      </c>
      <c r="L1357" s="21">
        <f t="shared" si="977"/>
        <v>0</v>
      </c>
      <c r="M1357" s="21">
        <f t="shared" si="977"/>
        <v>0</v>
      </c>
      <c r="N1357" s="21">
        <f t="shared" si="977"/>
        <v>0</v>
      </c>
      <c r="O1357" s="21">
        <f t="shared" si="977"/>
        <v>0</v>
      </c>
      <c r="P1357" s="21">
        <f t="shared" si="977"/>
        <v>-2.9517146541198098</v>
      </c>
      <c r="Q1357" s="21">
        <f t="shared" si="977"/>
        <v>-18.024324009659644</v>
      </c>
      <c r="R1357" s="21">
        <f t="shared" si="977"/>
        <v>-28.839361767823199</v>
      </c>
      <c r="S1357" s="21">
        <f t="shared" si="977"/>
        <v>-30.103113221095882</v>
      </c>
      <c r="T1357" s="21">
        <f t="shared" si="977"/>
        <v>-30.950546048035086</v>
      </c>
      <c r="U1357" s="21">
        <f t="shared" si="977"/>
        <v>-31.630533137713083</v>
      </c>
      <c r="V1357" s="21">
        <f t="shared" si="977"/>
        <v>-31.921320413056375</v>
      </c>
      <c r="W1357" s="21">
        <f t="shared" si="977"/>
        <v>-31.864452499948161</v>
      </c>
      <c r="X1357" s="21">
        <f t="shared" si="977"/>
        <v>-31.719098884276413</v>
      </c>
      <c r="Y1357" s="21">
        <f t="shared" si="977"/>
        <v>-31.882363784508101</v>
      </c>
      <c r="Z1357" s="21">
        <f t="shared" si="977"/>
        <v>-31.996649214670285</v>
      </c>
      <c r="AA1357" s="21">
        <f t="shared" si="977"/>
        <v>-32.076649015783808</v>
      </c>
      <c r="AB1357" s="21">
        <f t="shared" si="977"/>
        <v>-32.13264887656328</v>
      </c>
      <c r="AC1357" s="21">
        <f t="shared" si="977"/>
        <v>-32.171848779108906</v>
      </c>
      <c r="AD1357" s="21">
        <f t="shared" si="977"/>
        <v>-32.199288710890848</v>
      </c>
      <c r="AE1357" s="21">
        <f t="shared" si="977"/>
        <v>-32.218496663138204</v>
      </c>
      <c r="AF1357" s="1"/>
    </row>
    <row r="1358" spans="2:32" x14ac:dyDescent="0.2">
      <c r="C1358" s="1" t="s">
        <v>171</v>
      </c>
      <c r="E1358" s="2"/>
      <c r="F1358" s="1" t="s">
        <v>55</v>
      </c>
      <c r="I1358" s="21">
        <f>I1289</f>
        <v>0</v>
      </c>
      <c r="J1358" s="21">
        <f t="shared" ref="J1358:AE1358" si="978">J1289</f>
        <v>0</v>
      </c>
      <c r="K1358" s="21">
        <f>K1289</f>
        <v>9.5968887550661393</v>
      </c>
      <c r="L1358" s="21">
        <f t="shared" si="978"/>
        <v>14.038524191179274</v>
      </c>
      <c r="M1358" s="21">
        <f t="shared" si="978"/>
        <v>27.549715869714859</v>
      </c>
      <c r="N1358" s="21">
        <f t="shared" si="978"/>
        <v>27.31435178143785</v>
      </c>
      <c r="O1358" s="21">
        <f t="shared" si="978"/>
        <v>27.314351781437843</v>
      </c>
      <c r="P1358" s="21">
        <f t="shared" si="978"/>
        <v>27.314351781437843</v>
      </c>
      <c r="Q1358" s="21">
        <f t="shared" si="978"/>
        <v>27.190374480265618</v>
      </c>
      <c r="R1358" s="21">
        <f t="shared" si="978"/>
        <v>27.066397179093403</v>
      </c>
      <c r="S1358" s="21">
        <f t="shared" si="978"/>
        <v>27.342637967537215</v>
      </c>
      <c r="T1358" s="21">
        <f t="shared" si="978"/>
        <v>27.218660666364983</v>
      </c>
      <c r="U1358" s="21">
        <f t="shared" si="978"/>
        <v>27.218660666364983</v>
      </c>
      <c r="V1358" s="21">
        <f t="shared" si="978"/>
        <v>27.033456978933678</v>
      </c>
      <c r="W1358" s="21">
        <f t="shared" si="978"/>
        <v>26.643395391883242</v>
      </c>
      <c r="X1358" s="21">
        <f t="shared" si="978"/>
        <v>26.264806204451943</v>
      </c>
      <c r="Y1358" s="21">
        <f t="shared" si="978"/>
        <v>26.264806204451943</v>
      </c>
      <c r="Z1358" s="21">
        <f t="shared" si="978"/>
        <v>26.264806204451943</v>
      </c>
      <c r="AA1358" s="21">
        <f t="shared" si="978"/>
        <v>26.264806204451943</v>
      </c>
      <c r="AB1358" s="21">
        <f t="shared" si="978"/>
        <v>26.264806204451943</v>
      </c>
      <c r="AC1358" s="21">
        <f t="shared" si="978"/>
        <v>26.264806204451943</v>
      </c>
      <c r="AD1358" s="21">
        <f t="shared" si="978"/>
        <v>26.264806204451943</v>
      </c>
      <c r="AE1358" s="21">
        <f t="shared" si="978"/>
        <v>26.264806204451943</v>
      </c>
      <c r="AF1358" s="1"/>
    </row>
    <row r="1359" spans="2:32" x14ac:dyDescent="0.2">
      <c r="C1359" s="1" t="s">
        <v>172</v>
      </c>
      <c r="E1359" s="2"/>
      <c r="F1359" s="1" t="s">
        <v>55</v>
      </c>
      <c r="H1359" s="109">
        <v>0</v>
      </c>
      <c r="I1359" s="21">
        <f>SUM(I1356:I1358)</f>
        <v>0</v>
      </c>
      <c r="J1359" s="21">
        <f t="shared" ref="J1359:AE1359" si="979">SUM(J1356:J1358)</f>
        <v>0</v>
      </c>
      <c r="K1359" s="21">
        <f>SUM(K1356:K1358)</f>
        <v>9.5968887550661393</v>
      </c>
      <c r="L1359" s="21">
        <f t="shared" si="979"/>
        <v>23.635412946245413</v>
      </c>
      <c r="M1359" s="21">
        <f t="shared" si="979"/>
        <v>51.185128815960269</v>
      </c>
      <c r="N1359" s="21">
        <f t="shared" si="979"/>
        <v>78.499480597398119</v>
      </c>
      <c r="O1359" s="21">
        <f t="shared" si="979"/>
        <v>105.81383237883597</v>
      </c>
      <c r="P1359" s="21">
        <f t="shared" si="979"/>
        <v>130.17646950615401</v>
      </c>
      <c r="Q1359" s="21">
        <f t="shared" si="979"/>
        <v>139.34251997676</v>
      </c>
      <c r="R1359" s="21">
        <f t="shared" si="979"/>
        <v>137.56955538803021</v>
      </c>
      <c r="S1359" s="21">
        <f t="shared" si="979"/>
        <v>134.80908013447154</v>
      </c>
      <c r="T1359" s="21">
        <f t="shared" si="979"/>
        <v>131.07719475280146</v>
      </c>
      <c r="U1359" s="21">
        <f t="shared" si="979"/>
        <v>126.66532228145336</v>
      </c>
      <c r="V1359" s="21">
        <f t="shared" si="979"/>
        <v>121.77745884733065</v>
      </c>
      <c r="W1359" s="21">
        <f t="shared" si="979"/>
        <v>116.55640173926574</v>
      </c>
      <c r="X1359" s="21">
        <f t="shared" si="979"/>
        <v>111.10210905944128</v>
      </c>
      <c r="Y1359" s="21">
        <f t="shared" si="979"/>
        <v>105.48455147938512</v>
      </c>
      <c r="Z1359" s="21">
        <f t="shared" si="979"/>
        <v>99.752708469166777</v>
      </c>
      <c r="AA1359" s="21">
        <f t="shared" si="979"/>
        <v>93.940865657834919</v>
      </c>
      <c r="AB1359" s="21">
        <f t="shared" si="979"/>
        <v>88.073022985723583</v>
      </c>
      <c r="AC1359" s="21">
        <f t="shared" si="979"/>
        <v>82.165980411066613</v>
      </c>
      <c r="AD1359" s="21">
        <f t="shared" si="979"/>
        <v>76.231497904627702</v>
      </c>
      <c r="AE1359" s="21">
        <f t="shared" si="979"/>
        <v>70.277807445941448</v>
      </c>
      <c r="AF1359" s="1"/>
    </row>
    <row r="1360" spans="2:32" x14ac:dyDescent="0.2">
      <c r="C1360" s="20"/>
      <c r="D1360" s="20"/>
      <c r="AF1360" s="1"/>
    </row>
    <row r="1361" spans="1:32" x14ac:dyDescent="0.2">
      <c r="B1361" s="10">
        <f>B1354+0.1</f>
        <v>12.499999999999998</v>
      </c>
      <c r="C1361" s="9" t="s">
        <v>164</v>
      </c>
      <c r="D1361" s="9"/>
      <c r="N1361" s="21"/>
      <c r="AF1361" s="1"/>
    </row>
    <row r="1362" spans="1:32" x14ac:dyDescent="0.2">
      <c r="C1362" s="20"/>
      <c r="D1362" s="20"/>
      <c r="AF1362" s="1"/>
    </row>
    <row r="1363" spans="1:32" x14ac:dyDescent="0.2">
      <c r="C1363" s="1" t="s">
        <v>125</v>
      </c>
      <c r="E1363" s="2"/>
      <c r="F1363" s="1" t="s">
        <v>55</v>
      </c>
      <c r="I1363" s="21">
        <f t="shared" ref="I1363:M1363" si="980">H1367</f>
        <v>0</v>
      </c>
      <c r="J1363" s="21">
        <f t="shared" si="980"/>
        <v>23.72361949978799</v>
      </c>
      <c r="K1363" s="21">
        <f t="shared" si="980"/>
        <v>103.78126974877669</v>
      </c>
      <c r="L1363" s="21">
        <f t="shared" si="980"/>
        <v>170.72570025283113</v>
      </c>
      <c r="M1363" s="21">
        <f t="shared" si="980"/>
        <v>212.58414676115126</v>
      </c>
      <c r="N1363" s="21">
        <f t="shared" ref="N1363:AE1363" ca="1" si="981">M1367</f>
        <v>0</v>
      </c>
      <c r="O1363" s="21">
        <f t="shared" ca="1" si="981"/>
        <v>0</v>
      </c>
      <c r="P1363" s="21">
        <f t="shared" ca="1" si="981"/>
        <v>0</v>
      </c>
      <c r="Q1363" s="21">
        <f t="shared" ca="1" si="981"/>
        <v>0</v>
      </c>
      <c r="R1363" s="21">
        <f t="shared" ca="1" si="981"/>
        <v>0</v>
      </c>
      <c r="S1363" s="21">
        <f t="shared" ca="1" si="981"/>
        <v>0</v>
      </c>
      <c r="T1363" s="21">
        <f t="shared" ca="1" si="981"/>
        <v>46.406120939248481</v>
      </c>
      <c r="U1363" s="21">
        <f t="shared" ca="1" si="981"/>
        <v>92.430818765723004</v>
      </c>
      <c r="V1363" s="21">
        <f t="shared" ca="1" si="981"/>
        <v>138.45551659219751</v>
      </c>
      <c r="W1363" s="21">
        <f t="shared" ca="1" si="981"/>
        <v>183.91042489841837</v>
      </c>
      <c r="X1363" s="21">
        <f t="shared" ca="1" si="981"/>
        <v>228.16528687922636</v>
      </c>
      <c r="Y1363" s="21">
        <f t="shared" ca="1" si="981"/>
        <v>271.25539801478067</v>
      </c>
      <c r="Z1363" s="21">
        <f t="shared" ca="1" si="981"/>
        <v>314.34550915033498</v>
      </c>
      <c r="AA1363" s="21">
        <f t="shared" ca="1" si="981"/>
        <v>357.43562028588929</v>
      </c>
      <c r="AB1363" s="21">
        <f t="shared" ca="1" si="981"/>
        <v>400.5257314214436</v>
      </c>
      <c r="AC1363" s="21">
        <f t="shared" ca="1" si="981"/>
        <v>443.6158425569979</v>
      </c>
      <c r="AD1363" s="21">
        <f t="shared" ca="1" si="981"/>
        <v>486.70595369255221</v>
      </c>
      <c r="AE1363" s="21">
        <f t="shared" ca="1" si="981"/>
        <v>529.79606482810652</v>
      </c>
      <c r="AF1363" s="1"/>
    </row>
    <row r="1364" spans="1:32" x14ac:dyDescent="0.2">
      <c r="C1364" s="1" t="s">
        <v>173</v>
      </c>
      <c r="E1364" s="2"/>
      <c r="F1364" s="1" t="s">
        <v>55</v>
      </c>
      <c r="I1364" s="45">
        <f>I1238</f>
        <v>24.996112789140177</v>
      </c>
      <c r="J1364" s="45">
        <f t="shared" ref="J1364:L1364" si="982">J1238</f>
        <v>81.497117946645588</v>
      </c>
      <c r="K1364" s="45">
        <f>K1238</f>
        <v>38.329538430666908</v>
      </c>
      <c r="L1364" s="45">
        <f t="shared" si="982"/>
        <v>0</v>
      </c>
      <c r="M1364" s="45">
        <f t="shared" ref="M1364:AE1364" ca="1" si="983">M1238</f>
        <v>0</v>
      </c>
      <c r="N1364" s="45">
        <f t="shared" ca="1" si="983"/>
        <v>0</v>
      </c>
      <c r="O1364" s="45">
        <f t="shared" ca="1" si="983"/>
        <v>0</v>
      </c>
      <c r="P1364" s="45">
        <f t="shared" ca="1" si="983"/>
        <v>0</v>
      </c>
      <c r="Q1364" s="45">
        <f t="shared" ca="1" si="983"/>
        <v>0</v>
      </c>
      <c r="R1364" s="45">
        <f t="shared" ca="1" si="983"/>
        <v>0</v>
      </c>
      <c r="S1364" s="45">
        <f t="shared" ca="1" si="983"/>
        <v>0</v>
      </c>
      <c r="T1364" s="45">
        <f t="shared" ca="1" si="983"/>
        <v>0</v>
      </c>
      <c r="U1364" s="45">
        <f t="shared" ca="1" si="983"/>
        <v>0</v>
      </c>
      <c r="V1364" s="45">
        <f t="shared" ca="1" si="983"/>
        <v>0</v>
      </c>
      <c r="W1364" s="45">
        <f t="shared" ca="1" si="983"/>
        <v>0</v>
      </c>
      <c r="X1364" s="45">
        <f t="shared" ca="1" si="983"/>
        <v>0</v>
      </c>
      <c r="Y1364" s="45">
        <f t="shared" ca="1" si="983"/>
        <v>0</v>
      </c>
      <c r="Z1364" s="45">
        <f t="shared" ca="1" si="983"/>
        <v>0</v>
      </c>
      <c r="AA1364" s="45">
        <f t="shared" ca="1" si="983"/>
        <v>0</v>
      </c>
      <c r="AB1364" s="45">
        <f t="shared" ca="1" si="983"/>
        <v>0</v>
      </c>
      <c r="AC1364" s="45">
        <f t="shared" ca="1" si="983"/>
        <v>0</v>
      </c>
      <c r="AD1364" s="45">
        <f t="shared" ca="1" si="983"/>
        <v>0</v>
      </c>
      <c r="AE1364" s="45">
        <f t="shared" ca="1" si="983"/>
        <v>0</v>
      </c>
      <c r="AF1364" s="1"/>
    </row>
    <row r="1365" spans="1:32" x14ac:dyDescent="0.2">
      <c r="A1365" s="67"/>
      <c r="C1365" s="1" t="s">
        <v>148</v>
      </c>
      <c r="E1365" s="2"/>
      <c r="F1365" s="1" t="s">
        <v>55</v>
      </c>
      <c r="I1365" s="21">
        <f>I1270</f>
        <v>-1.2724932893521876</v>
      </c>
      <c r="J1365" s="21">
        <f t="shared" ref="J1365:AE1365" si="984">J1270</f>
        <v>-1.4394676976568752</v>
      </c>
      <c r="K1365" s="21">
        <f>K1270</f>
        <v>28.614892073387537</v>
      </c>
      <c r="L1365" s="21">
        <f t="shared" si="984"/>
        <v>41.858446508320128</v>
      </c>
      <c r="M1365" s="21">
        <f t="shared" si="984"/>
        <v>82.144553967891582</v>
      </c>
      <c r="N1365" s="21">
        <f t="shared" si="984"/>
        <v>81.442772572286415</v>
      </c>
      <c r="O1365" s="21">
        <f>O1270</f>
        <v>81.442772572286401</v>
      </c>
      <c r="P1365" s="21">
        <f t="shared" si="984"/>
        <v>81.442772572286401</v>
      </c>
      <c r="Q1365" s="21">
        <f t="shared" si="984"/>
        <v>81.07311140572132</v>
      </c>
      <c r="R1365" s="21">
        <f t="shared" si="984"/>
        <v>80.703450239156268</v>
      </c>
      <c r="S1365" s="21">
        <f t="shared" si="984"/>
        <v>81.527113047940446</v>
      </c>
      <c r="T1365" s="21">
        <f t="shared" si="984"/>
        <v>81.157451881375351</v>
      </c>
      <c r="U1365" s="21">
        <f t="shared" si="984"/>
        <v>81.157451881375351</v>
      </c>
      <c r="V1365" s="21">
        <f t="shared" si="984"/>
        <v>80.605232963067834</v>
      </c>
      <c r="W1365" s="21">
        <f t="shared" si="984"/>
        <v>79.442192471478265</v>
      </c>
      <c r="X1365" s="21">
        <f t="shared" si="984"/>
        <v>78.313359053170757</v>
      </c>
      <c r="Y1365" s="21">
        <f t="shared" si="984"/>
        <v>78.313359053170757</v>
      </c>
      <c r="Z1365" s="21">
        <f t="shared" si="984"/>
        <v>78.313359053170757</v>
      </c>
      <c r="AA1365" s="21">
        <f t="shared" si="984"/>
        <v>78.313359053170757</v>
      </c>
      <c r="AB1365" s="21">
        <f t="shared" si="984"/>
        <v>78.313359053170757</v>
      </c>
      <c r="AC1365" s="21">
        <f t="shared" si="984"/>
        <v>78.313359053170757</v>
      </c>
      <c r="AD1365" s="21">
        <f t="shared" si="984"/>
        <v>78.313359053170757</v>
      </c>
      <c r="AE1365" s="21">
        <f t="shared" si="984"/>
        <v>78.313359053170757</v>
      </c>
      <c r="AF1365" s="1"/>
    </row>
    <row r="1366" spans="1:32" x14ac:dyDescent="0.2">
      <c r="C1366" s="1" t="s">
        <v>138</v>
      </c>
      <c r="E1366" s="2"/>
      <c r="F1366" s="1" t="s">
        <v>55</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
        <v>0</v>
      </c>
      <c r="X1366" s="58">
        <v>0</v>
      </c>
      <c r="Y1366" s="58">
        <v>0</v>
      </c>
      <c r="Z1366" s="58">
        <v>0</v>
      </c>
      <c r="AA1366" s="58">
        <v>0</v>
      </c>
      <c r="AB1366" s="58">
        <v>0</v>
      </c>
      <c r="AC1366" s="58">
        <v>0</v>
      </c>
      <c r="AD1366" s="58">
        <v>0</v>
      </c>
      <c r="AE1366" s="58">
        <v>0</v>
      </c>
      <c r="AF1366" s="1"/>
    </row>
    <row r="1367" spans="1:32" x14ac:dyDescent="0.2">
      <c r="C1367" s="1" t="s">
        <v>127</v>
      </c>
      <c r="E1367" s="2"/>
      <c r="F1367" s="1" t="s">
        <v>55</v>
      </c>
      <c r="H1367" s="109">
        <v>0</v>
      </c>
      <c r="I1367" s="21">
        <f>SUM(I1363:I1366)</f>
        <v>23.72361949978799</v>
      </c>
      <c r="J1367" s="21">
        <f t="shared" ref="J1367:L1367" si="985">SUM(J1363:J1366)</f>
        <v>103.78126974877669</v>
      </c>
      <c r="K1367" s="21">
        <f>SUM(K1363:K1366)</f>
        <v>170.72570025283113</v>
      </c>
      <c r="L1367" s="21">
        <f t="shared" si="985"/>
        <v>212.58414676115126</v>
      </c>
      <c r="M1367" s="21">
        <f t="shared" ref="M1367:AE1367" ca="1" si="986">SUM(M1363:M1366)</f>
        <v>239.57799259538595</v>
      </c>
      <c r="N1367" s="21">
        <f t="shared" ca="1" si="986"/>
        <v>46.355590632137847</v>
      </c>
      <c r="O1367" s="21">
        <f t="shared" ca="1" si="986"/>
        <v>46.355590632137847</v>
      </c>
      <c r="P1367" s="21">
        <f t="shared" ca="1" si="986"/>
        <v>46.355590632137847</v>
      </c>
      <c r="Q1367" s="21">
        <f t="shared" ca="1" si="986"/>
        <v>45.974167519363888</v>
      </c>
      <c r="R1367" s="21">
        <f t="shared" ca="1" si="986"/>
        <v>45.592744406589922</v>
      </c>
      <c r="S1367" s="21">
        <f t="shared" ca="1" si="986"/>
        <v>46.406120939248481</v>
      </c>
      <c r="T1367" s="21">
        <f t="shared" ca="1" si="986"/>
        <v>92.430818765723004</v>
      </c>
      <c r="U1367" s="21">
        <f t="shared" ca="1" si="986"/>
        <v>138.45551659219751</v>
      </c>
      <c r="V1367" s="21">
        <f t="shared" ca="1" si="986"/>
        <v>183.91042489841837</v>
      </c>
      <c r="W1367" s="21">
        <f t="shared" ca="1" si="986"/>
        <v>228.16528687922636</v>
      </c>
      <c r="X1367" s="21">
        <f t="shared" ca="1" si="986"/>
        <v>271.25539801478067</v>
      </c>
      <c r="Y1367" s="21">
        <f t="shared" ca="1" si="986"/>
        <v>314.34550915033498</v>
      </c>
      <c r="Z1367" s="21">
        <f t="shared" ca="1" si="986"/>
        <v>357.43562028588929</v>
      </c>
      <c r="AA1367" s="21">
        <f t="shared" ca="1" si="986"/>
        <v>400.5257314214436</v>
      </c>
      <c r="AB1367" s="21">
        <f t="shared" ca="1" si="986"/>
        <v>443.6158425569979</v>
      </c>
      <c r="AC1367" s="21">
        <f t="shared" ca="1" si="986"/>
        <v>486.70595369255221</v>
      </c>
      <c r="AD1367" s="21">
        <f t="shared" ca="1" si="986"/>
        <v>529.79606482810652</v>
      </c>
      <c r="AE1367" s="21">
        <f t="shared" ca="1" si="986"/>
        <v>572.88617596366089</v>
      </c>
      <c r="AF1367" s="1"/>
    </row>
    <row r="1368" spans="1:32" x14ac:dyDescent="0.2">
      <c r="C1368" s="5"/>
      <c r="D1368" s="5"/>
      <c r="AF1368" s="1"/>
    </row>
    <row r="1369" spans="1:32" x14ac:dyDescent="0.2">
      <c r="C1369" s="5"/>
      <c r="D1369" s="5"/>
      <c r="AF1369" s="1"/>
    </row>
    <row r="1370" spans="1:32" x14ac:dyDescent="0.2">
      <c r="B1370" s="6"/>
      <c r="C1370" s="6"/>
      <c r="D1370" s="6"/>
      <c r="E1370" s="7"/>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1"/>
    </row>
    <row r="1371" spans="1:32" x14ac:dyDescent="0.2">
      <c r="C1371" s="5"/>
      <c r="D1371" s="5"/>
      <c r="AF1371" s="1"/>
    </row>
    <row r="1372" spans="1:32" x14ac:dyDescent="0.2">
      <c r="B1372" s="8">
        <f>B1293+1</f>
        <v>13</v>
      </c>
      <c r="C1372" s="20" t="s">
        <v>174</v>
      </c>
      <c r="D1372" s="20"/>
      <c r="H1372" s="35"/>
      <c r="K1372" s="21"/>
      <c r="AF1372" s="1"/>
    </row>
    <row r="1373" spans="1:32" x14ac:dyDescent="0.2">
      <c r="C1373" s="5"/>
      <c r="D1373" s="5"/>
      <c r="G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1"/>
    </row>
    <row r="1374" spans="1:32" x14ac:dyDescent="0.2">
      <c r="B1374" s="10">
        <f>B1372+0.1</f>
        <v>13.1</v>
      </c>
      <c r="C1374" s="20" t="s">
        <v>235</v>
      </c>
      <c r="D1374" s="5"/>
      <c r="G1374" s="36"/>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1"/>
    </row>
    <row r="1375" spans="1:32" x14ac:dyDescent="0.2">
      <c r="C1375" s="5"/>
      <c r="D1375" s="5"/>
      <c r="M1375" s="21"/>
      <c r="AF1375" s="1"/>
    </row>
    <row r="1376" spans="1:32" x14ac:dyDescent="0.2">
      <c r="C1376" s="5" t="s">
        <v>104</v>
      </c>
      <c r="D1376" s="5"/>
      <c r="F1376" s="1" t="s">
        <v>55</v>
      </c>
      <c r="G1376" s="21">
        <f t="shared" ref="G1376:G1382" si="987">SUM(I1376:AE1376)</f>
        <v>5808.2909072500015</v>
      </c>
      <c r="I1376" s="21">
        <f t="shared" ref="I1376:AE1376" si="988">I1254</f>
        <v>0</v>
      </c>
      <c r="J1376" s="21">
        <f t="shared" si="988"/>
        <v>0</v>
      </c>
      <c r="K1376" s="21">
        <f t="shared" ref="K1376:L1378" si="989">K1254</f>
        <v>91.613421249999988</v>
      </c>
      <c r="L1376" s="21">
        <f t="shared" si="989"/>
        <v>146.58147399999999</v>
      </c>
      <c r="M1376" s="21">
        <f t="shared" si="988"/>
        <v>293.16294799999997</v>
      </c>
      <c r="N1376" s="21">
        <f t="shared" si="988"/>
        <v>293.16294799999997</v>
      </c>
      <c r="O1376" s="21">
        <f t="shared" si="988"/>
        <v>293.16294799999997</v>
      </c>
      <c r="P1376" s="21">
        <f t="shared" si="988"/>
        <v>293.16294799999997</v>
      </c>
      <c r="Q1376" s="21">
        <f t="shared" si="988"/>
        <v>293.16294799999997</v>
      </c>
      <c r="R1376" s="21">
        <f t="shared" si="988"/>
        <v>293.16294799999997</v>
      </c>
      <c r="S1376" s="21">
        <f t="shared" si="988"/>
        <v>293.16294799999997</v>
      </c>
      <c r="T1376" s="21">
        <f t="shared" si="988"/>
        <v>293.16294799999997</v>
      </c>
      <c r="U1376" s="21">
        <f t="shared" si="988"/>
        <v>293.16294799999997</v>
      </c>
      <c r="V1376" s="21">
        <f t="shared" si="988"/>
        <v>293.16294799999997</v>
      </c>
      <c r="W1376" s="21">
        <f t="shared" si="988"/>
        <v>293.16294799999997</v>
      </c>
      <c r="X1376" s="21">
        <f t="shared" si="988"/>
        <v>293.16294799999997</v>
      </c>
      <c r="Y1376" s="21">
        <f t="shared" si="988"/>
        <v>293.16294799999997</v>
      </c>
      <c r="Z1376" s="21">
        <f t="shared" si="988"/>
        <v>293.16294799999997</v>
      </c>
      <c r="AA1376" s="21">
        <f t="shared" si="988"/>
        <v>293.16294799999997</v>
      </c>
      <c r="AB1376" s="21">
        <f t="shared" si="988"/>
        <v>293.16294799999997</v>
      </c>
      <c r="AC1376" s="21">
        <f t="shared" si="988"/>
        <v>293.16294799999997</v>
      </c>
      <c r="AD1376" s="21">
        <f t="shared" si="988"/>
        <v>293.16294799999997</v>
      </c>
      <c r="AE1376" s="21">
        <f t="shared" si="988"/>
        <v>293.16294799999997</v>
      </c>
      <c r="AF1376" s="1"/>
    </row>
    <row r="1377" spans="1:32" x14ac:dyDescent="0.2">
      <c r="C1377" s="5" t="s">
        <v>120</v>
      </c>
      <c r="D1377" s="5"/>
      <c r="F1377" s="1" t="s">
        <v>55</v>
      </c>
      <c r="G1377" s="21">
        <f t="shared" si="987"/>
        <v>-3011.2789445794592</v>
      </c>
      <c r="I1377" s="21">
        <f>I1255</f>
        <v>0</v>
      </c>
      <c r="J1377" s="21">
        <f>J1255</f>
        <v>0</v>
      </c>
      <c r="K1377" s="21">
        <f t="shared" si="989"/>
        <v>-47.852836965524475</v>
      </c>
      <c r="L1377" s="21">
        <f t="shared" si="989"/>
        <v>-73.395648131607246</v>
      </c>
      <c r="M1377" s="21">
        <f t="shared" ref="M1377:AE1377" si="990">M1255</f>
        <v>-148.94539245333979</v>
      </c>
      <c r="N1377" s="21">
        <f t="shared" si="990"/>
        <v>-148.94539245333979</v>
      </c>
      <c r="O1377" s="21">
        <f t="shared" si="990"/>
        <v>-148.94539245333982</v>
      </c>
      <c r="P1377" s="21">
        <f t="shared" si="990"/>
        <v>-148.94539245333982</v>
      </c>
      <c r="Q1377" s="21">
        <f t="shared" si="990"/>
        <v>-149.43903092107712</v>
      </c>
      <c r="R1377" s="21">
        <f t="shared" si="990"/>
        <v>-149.93266938881439</v>
      </c>
      <c r="S1377" s="21">
        <f t="shared" si="990"/>
        <v>-150.42630785655166</v>
      </c>
      <c r="T1377" s="21">
        <f t="shared" si="990"/>
        <v>-150.91994632428899</v>
      </c>
      <c r="U1377" s="21">
        <f t="shared" si="990"/>
        <v>-150.91994632428899</v>
      </c>
      <c r="V1377" s="21">
        <f t="shared" si="990"/>
        <v>-151.65736893002781</v>
      </c>
      <c r="W1377" s="21">
        <f t="shared" si="990"/>
        <v>-153.21047100866781</v>
      </c>
      <c r="X1377" s="21">
        <f t="shared" si="990"/>
        <v>-154.71789361440662</v>
      </c>
      <c r="Y1377" s="21">
        <f t="shared" si="990"/>
        <v>-154.71789361440662</v>
      </c>
      <c r="Z1377" s="21">
        <f t="shared" si="990"/>
        <v>-154.71789361440662</v>
      </c>
      <c r="AA1377" s="21">
        <f t="shared" si="990"/>
        <v>-154.71789361440662</v>
      </c>
      <c r="AB1377" s="21">
        <f t="shared" si="990"/>
        <v>-154.71789361440662</v>
      </c>
      <c r="AC1377" s="21">
        <f t="shared" si="990"/>
        <v>-154.71789361440662</v>
      </c>
      <c r="AD1377" s="21">
        <f t="shared" si="990"/>
        <v>-154.71789361440662</v>
      </c>
      <c r="AE1377" s="21">
        <f t="shared" si="990"/>
        <v>-154.71789361440662</v>
      </c>
      <c r="AF1377" s="1"/>
    </row>
    <row r="1378" spans="1:32" x14ac:dyDescent="0.2">
      <c r="C1378" s="5" t="s">
        <v>444</v>
      </c>
      <c r="D1378" s="5"/>
      <c r="F1378" s="1" t="s">
        <v>55</v>
      </c>
      <c r="G1378" s="21">
        <f>SUM(I1378:AE1378)</f>
        <v>-123.85824548003839</v>
      </c>
      <c r="I1378" s="21">
        <f>I1256</f>
        <v>0</v>
      </c>
      <c r="J1378" s="21">
        <f>J1256</f>
        <v>0</v>
      </c>
      <c r="K1378" s="21">
        <f t="shared" si="989"/>
        <v>-2.2925483655322112</v>
      </c>
      <c r="L1378" s="21">
        <f t="shared" si="989"/>
        <v>-3.1170691567822111</v>
      </c>
      <c r="M1378" s="21">
        <f t="shared" ref="M1378:AE1378" si="991">M1256</f>
        <v>-6.2341383135644222</v>
      </c>
      <c r="N1378" s="21">
        <f t="shared" si="991"/>
        <v>-6.2341383135644222</v>
      </c>
      <c r="O1378" s="21">
        <f t="shared" si="991"/>
        <v>-6.2341383135644222</v>
      </c>
      <c r="P1378" s="21">
        <f t="shared" si="991"/>
        <v>-6.2341383135644222</v>
      </c>
      <c r="Q1378" s="21">
        <f t="shared" si="991"/>
        <v>-6.2341383135644222</v>
      </c>
      <c r="R1378" s="21">
        <f t="shared" si="991"/>
        <v>-6.2341383135644222</v>
      </c>
      <c r="S1378" s="21">
        <f t="shared" si="991"/>
        <v>-6.2341383135644222</v>
      </c>
      <c r="T1378" s="21">
        <f t="shared" si="991"/>
        <v>-6.2341383135644222</v>
      </c>
      <c r="U1378" s="21">
        <f t="shared" si="991"/>
        <v>-6.2341383135644222</v>
      </c>
      <c r="V1378" s="21">
        <f t="shared" si="991"/>
        <v>-6.2341383135644222</v>
      </c>
      <c r="W1378" s="21">
        <f t="shared" si="991"/>
        <v>-6.2341383135644222</v>
      </c>
      <c r="X1378" s="21">
        <f t="shared" si="991"/>
        <v>-6.2341383135644222</v>
      </c>
      <c r="Y1378" s="21">
        <f t="shared" si="991"/>
        <v>-6.2341383135644222</v>
      </c>
      <c r="Z1378" s="21">
        <f t="shared" si="991"/>
        <v>-6.2341383135644222</v>
      </c>
      <c r="AA1378" s="21">
        <f t="shared" si="991"/>
        <v>-6.2341383135644222</v>
      </c>
      <c r="AB1378" s="21">
        <f t="shared" si="991"/>
        <v>-6.2341383135644222</v>
      </c>
      <c r="AC1378" s="21">
        <f t="shared" si="991"/>
        <v>-6.2341383135644222</v>
      </c>
      <c r="AD1378" s="21">
        <f t="shared" si="991"/>
        <v>-6.2341383135644222</v>
      </c>
      <c r="AE1378" s="21">
        <f t="shared" si="991"/>
        <v>-6.2341383135644222</v>
      </c>
      <c r="AF1378" s="1"/>
    </row>
    <row r="1379" spans="1:32" x14ac:dyDescent="0.2">
      <c r="C1379" s="5" t="s">
        <v>135</v>
      </c>
      <c r="D1379" s="5"/>
      <c r="F1379" s="1" t="s">
        <v>55</v>
      </c>
      <c r="G1379" s="21">
        <f t="shared" si="987"/>
        <v>-462.68240968039112</v>
      </c>
      <c r="H1379" s="21"/>
      <c r="I1379" s="21">
        <f>I1217</f>
        <v>0</v>
      </c>
      <c r="J1379" s="21">
        <f>J1217</f>
        <v>0</v>
      </c>
      <c r="K1379" s="21">
        <f>K1217</f>
        <v>0</v>
      </c>
      <c r="L1379" s="21">
        <f>L1217</f>
        <v>0</v>
      </c>
      <c r="M1379" s="21">
        <f t="shared" ref="M1379:AE1379" si="992">M1217</f>
        <v>0</v>
      </c>
      <c r="N1379" s="21">
        <f t="shared" si="992"/>
        <v>0</v>
      </c>
      <c r="O1379" s="21">
        <f t="shared" si="992"/>
        <v>0</v>
      </c>
      <c r="P1379" s="21">
        <f t="shared" si="992"/>
        <v>-2.9517146541198098</v>
      </c>
      <c r="Q1379" s="21">
        <f t="shared" si="992"/>
        <v>-18.024324009659644</v>
      </c>
      <c r="R1379" s="21">
        <f t="shared" si="992"/>
        <v>-28.839361767823199</v>
      </c>
      <c r="S1379" s="21">
        <f t="shared" si="992"/>
        <v>-30.103113221095882</v>
      </c>
      <c r="T1379" s="21">
        <f t="shared" si="992"/>
        <v>-30.950546048035086</v>
      </c>
      <c r="U1379" s="21">
        <f t="shared" si="992"/>
        <v>-31.630533137713083</v>
      </c>
      <c r="V1379" s="21">
        <f t="shared" si="992"/>
        <v>-31.921320413056375</v>
      </c>
      <c r="W1379" s="21">
        <f t="shared" si="992"/>
        <v>-31.864452499948161</v>
      </c>
      <c r="X1379" s="21">
        <f t="shared" si="992"/>
        <v>-31.719098884276413</v>
      </c>
      <c r="Y1379" s="21">
        <f t="shared" si="992"/>
        <v>-31.882363784508101</v>
      </c>
      <c r="Z1379" s="21">
        <f t="shared" si="992"/>
        <v>-31.996649214670285</v>
      </c>
      <c r="AA1379" s="21">
        <f t="shared" si="992"/>
        <v>-32.076649015783808</v>
      </c>
      <c r="AB1379" s="21">
        <f t="shared" si="992"/>
        <v>-32.13264887656328</v>
      </c>
      <c r="AC1379" s="21">
        <f t="shared" si="992"/>
        <v>-32.171848779108906</v>
      </c>
      <c r="AD1379" s="21">
        <f t="shared" si="992"/>
        <v>-32.199288710890848</v>
      </c>
      <c r="AE1379" s="21">
        <f t="shared" si="992"/>
        <v>-32.218496663138204</v>
      </c>
      <c r="AF1379" s="1"/>
    </row>
    <row r="1380" spans="1:32" x14ac:dyDescent="0.2">
      <c r="C1380" s="5" t="s">
        <v>111</v>
      </c>
      <c r="D1380" s="5"/>
      <c r="F1380" s="1" t="s">
        <v>55</v>
      </c>
      <c r="G1380" s="21">
        <f t="shared" si="987"/>
        <v>-475.57593141478935</v>
      </c>
      <c r="I1380" s="21">
        <f t="shared" ref="I1380:AE1380" si="993">I1220</f>
        <v>-56.557541166478941</v>
      </c>
      <c r="J1380" s="21">
        <f t="shared" si="993"/>
        <v>-267.7061937697539</v>
      </c>
      <c r="K1380" s="21">
        <f t="shared" si="993"/>
        <v>-151.31219647855653</v>
      </c>
      <c r="L1380" s="21">
        <f t="shared" si="993"/>
        <v>0</v>
      </c>
      <c r="M1380" s="21">
        <f t="shared" si="993"/>
        <v>0</v>
      </c>
      <c r="N1380" s="21">
        <f t="shared" si="993"/>
        <v>0</v>
      </c>
      <c r="O1380" s="21">
        <f t="shared" si="993"/>
        <v>0</v>
      </c>
      <c r="P1380" s="21">
        <f t="shared" si="993"/>
        <v>0</v>
      </c>
      <c r="Q1380" s="21">
        <f t="shared" si="993"/>
        <v>0</v>
      </c>
      <c r="R1380" s="21">
        <f t="shared" si="993"/>
        <v>0</v>
      </c>
      <c r="S1380" s="21">
        <f t="shared" si="993"/>
        <v>0</v>
      </c>
      <c r="T1380" s="21">
        <f t="shared" si="993"/>
        <v>0</v>
      </c>
      <c r="U1380" s="21">
        <f t="shared" si="993"/>
        <v>0</v>
      </c>
      <c r="V1380" s="21">
        <f t="shared" si="993"/>
        <v>0</v>
      </c>
      <c r="W1380" s="21">
        <f t="shared" si="993"/>
        <v>0</v>
      </c>
      <c r="X1380" s="21">
        <f t="shared" si="993"/>
        <v>0</v>
      </c>
      <c r="Y1380" s="21">
        <f t="shared" si="993"/>
        <v>0</v>
      </c>
      <c r="Z1380" s="21">
        <f t="shared" si="993"/>
        <v>0</v>
      </c>
      <c r="AA1380" s="21">
        <f t="shared" si="993"/>
        <v>0</v>
      </c>
      <c r="AB1380" s="21">
        <f t="shared" si="993"/>
        <v>0</v>
      </c>
      <c r="AC1380" s="21">
        <f t="shared" si="993"/>
        <v>0</v>
      </c>
      <c r="AD1380" s="21">
        <f t="shared" si="993"/>
        <v>0</v>
      </c>
      <c r="AE1380" s="21">
        <f t="shared" si="993"/>
        <v>0</v>
      </c>
      <c r="AF1380" s="1"/>
    </row>
    <row r="1381" spans="1:32" x14ac:dyDescent="0.2">
      <c r="C1381" s="5" t="s">
        <v>134</v>
      </c>
      <c r="D1381" s="5"/>
      <c r="F1381" s="1" t="s">
        <v>55</v>
      </c>
      <c r="G1381" s="21">
        <f t="shared" si="987"/>
        <v>-37.731628074363698</v>
      </c>
      <c r="I1381" s="21">
        <f t="shared" ref="I1381:AE1381" si="994">I1216</f>
        <v>0</v>
      </c>
      <c r="J1381" s="21">
        <f t="shared" si="994"/>
        <v>0</v>
      </c>
      <c r="K1381" s="21">
        <f t="shared" si="994"/>
        <v>-14.160716131695661</v>
      </c>
      <c r="L1381" s="21">
        <f t="shared" si="994"/>
        <v>-5.0492683477797407</v>
      </c>
      <c r="M1381" s="21">
        <f t="shared" si="994"/>
        <v>-18.996095745112967</v>
      </c>
      <c r="N1381" s="21">
        <f t="shared" si="994"/>
        <v>0</v>
      </c>
      <c r="O1381" s="21">
        <f t="shared" si="994"/>
        <v>0</v>
      </c>
      <c r="P1381" s="21">
        <f t="shared" si="994"/>
        <v>0</v>
      </c>
      <c r="Q1381" s="21">
        <f t="shared" si="994"/>
        <v>4.0573024745537367E-2</v>
      </c>
      <c r="R1381" s="21">
        <f t="shared" si="994"/>
        <v>4.0573024745530262E-2</v>
      </c>
      <c r="S1381" s="21">
        <f t="shared" si="994"/>
        <v>4.0573024745530262E-2</v>
      </c>
      <c r="T1381" s="21">
        <f t="shared" si="994"/>
        <v>4.0573024745526709E-2</v>
      </c>
      <c r="U1381" s="21">
        <f t="shared" si="994"/>
        <v>0</v>
      </c>
      <c r="V1381" s="21">
        <f t="shared" si="994"/>
        <v>6.0610077184019673E-2</v>
      </c>
      <c r="W1381" s="21">
        <f t="shared" si="994"/>
        <v>0.12765222564164702</v>
      </c>
      <c r="X1381" s="21">
        <f t="shared" si="994"/>
        <v>0.1238977484168835</v>
      </c>
      <c r="Y1381" s="21">
        <f t="shared" si="994"/>
        <v>0</v>
      </c>
      <c r="Z1381" s="21">
        <f t="shared" si="994"/>
        <v>0</v>
      </c>
      <c r="AA1381" s="21">
        <f t="shared" si="994"/>
        <v>0</v>
      </c>
      <c r="AB1381" s="21">
        <f t="shared" si="994"/>
        <v>0</v>
      </c>
      <c r="AC1381" s="21">
        <f t="shared" si="994"/>
        <v>0</v>
      </c>
      <c r="AD1381" s="21">
        <f t="shared" si="994"/>
        <v>0</v>
      </c>
      <c r="AE1381" s="21">
        <f t="shared" si="994"/>
        <v>0</v>
      </c>
      <c r="AF1381" s="1"/>
    </row>
    <row r="1382" spans="1:32" x14ac:dyDescent="0.2">
      <c r="C1382" s="20" t="s">
        <v>175</v>
      </c>
      <c r="D1382" s="20"/>
      <c r="F1382" s="9" t="s">
        <v>55</v>
      </c>
      <c r="G1382" s="44">
        <f t="shared" si="987"/>
        <v>1697.1637480209565</v>
      </c>
      <c r="H1382" s="9"/>
      <c r="I1382" s="44">
        <f>SUM(I1376:I1381)</f>
        <v>-56.557541166478941</v>
      </c>
      <c r="J1382" s="44">
        <f t="shared" ref="J1382:AE1382" si="995">SUM(J1376:J1381)</f>
        <v>-267.7061937697539</v>
      </c>
      <c r="K1382" s="44">
        <f>SUM(K1376:K1381)</f>
        <v>-124.00487669130889</v>
      </c>
      <c r="L1382" s="44">
        <f t="shared" si="995"/>
        <v>65.019488363830789</v>
      </c>
      <c r="M1382" s="44">
        <f t="shared" si="995"/>
        <v>118.9873214879828</v>
      </c>
      <c r="N1382" s="44">
        <f t="shared" si="995"/>
        <v>137.98341723309576</v>
      </c>
      <c r="O1382" s="44">
        <f t="shared" si="995"/>
        <v>137.98341723309574</v>
      </c>
      <c r="P1382" s="44">
        <f t="shared" si="995"/>
        <v>135.03170257897594</v>
      </c>
      <c r="Q1382" s="44">
        <f t="shared" si="995"/>
        <v>119.50602778044434</v>
      </c>
      <c r="R1382" s="44">
        <f t="shared" si="995"/>
        <v>108.1973515545435</v>
      </c>
      <c r="S1382" s="44">
        <f t="shared" si="995"/>
        <v>106.43996163353354</v>
      </c>
      <c r="T1382" s="44">
        <f t="shared" si="995"/>
        <v>105.09889033885702</v>
      </c>
      <c r="U1382" s="44">
        <f t="shared" si="995"/>
        <v>104.37833022443348</v>
      </c>
      <c r="V1382" s="44">
        <f t="shared" si="995"/>
        <v>103.41073042053539</v>
      </c>
      <c r="W1382" s="44">
        <f t="shared" si="995"/>
        <v>101.98153840346123</v>
      </c>
      <c r="X1382" s="44">
        <f t="shared" si="995"/>
        <v>100.61571493616941</v>
      </c>
      <c r="Y1382" s="44">
        <f t="shared" si="995"/>
        <v>100.32855228752084</v>
      </c>
      <c r="Z1382" s="44">
        <f t="shared" si="995"/>
        <v>100.21426685735865</v>
      </c>
      <c r="AA1382" s="44">
        <f t="shared" si="995"/>
        <v>100.13426705624514</v>
      </c>
      <c r="AB1382" s="44">
        <f t="shared" si="995"/>
        <v>100.07826719546566</v>
      </c>
      <c r="AC1382" s="44">
        <f t="shared" si="995"/>
        <v>100.03906729292004</v>
      </c>
      <c r="AD1382" s="44">
        <f t="shared" si="995"/>
        <v>100.0116273611381</v>
      </c>
      <c r="AE1382" s="44">
        <f t="shared" si="995"/>
        <v>99.992419408890726</v>
      </c>
      <c r="AF1382" s="1"/>
    </row>
    <row r="1383" spans="1:32" x14ac:dyDescent="0.2">
      <c r="C1383" s="5"/>
      <c r="D1383" s="5"/>
      <c r="I1383" s="21"/>
      <c r="AF1383" s="1"/>
    </row>
    <row r="1384" spans="1:32" x14ac:dyDescent="0.2">
      <c r="C1384" s="20" t="s">
        <v>176</v>
      </c>
      <c r="D1384" s="20"/>
      <c r="E1384" s="153">
        <v>8.8800000000000004E-2</v>
      </c>
      <c r="F1384" s="9" t="s">
        <v>55</v>
      </c>
      <c r="G1384" s="68">
        <f>NPV(E1384,I1382:AE1382)</f>
        <v>408.77288255616412</v>
      </c>
      <c r="H1384" s="68"/>
      <c r="AF1384" s="1"/>
    </row>
    <row r="1385" spans="1:32" x14ac:dyDescent="0.2">
      <c r="C1385" s="20" t="s">
        <v>177</v>
      </c>
      <c r="D1385" s="20"/>
      <c r="F1385" s="9" t="s">
        <v>8</v>
      </c>
      <c r="G1385" s="73">
        <f>IRR(I1382:AE1382)</f>
        <v>0.20405463977629545</v>
      </c>
      <c r="H1385" s="73"/>
      <c r="AF1385" s="1"/>
    </row>
    <row r="1386" spans="1:32" x14ac:dyDescent="0.2">
      <c r="A1386" s="5"/>
      <c r="C1386" s="20" t="s">
        <v>308</v>
      </c>
      <c r="D1386" s="20"/>
      <c r="F1386" s="9" t="s">
        <v>116</v>
      </c>
      <c r="G1386" s="44">
        <f>SUM(I1386:AE1386)</f>
        <v>3.9151707290254301</v>
      </c>
      <c r="H1386" s="44"/>
      <c r="I1386" s="21">
        <f>((SUM($I$1382:I1382)&lt;0)*1-AND(SUM($I$1382:I1382)&gt;0,SUM($H$1382:H1382)&lt;0)*1*SUM($H$1382:H1382)/I1382)*(I2&gt;0)</f>
        <v>0</v>
      </c>
      <c r="J1386" s="21">
        <f>((SUM($I$1382:J1382)&lt;0)*1-AND(SUM($I$1382:J1382)&gt;0,SUM($H$1382:I1382)&lt;0)*1*SUM($H$1382:I1382)/J1382)*(J2&gt;0)</f>
        <v>0</v>
      </c>
      <c r="K1386" s="21">
        <f>((SUM($I$1382:K1382)&lt;0)*1-AND(SUM($I$1382:K1382)&gt;0,SUM($H$1382:J1382)&lt;0)*1*SUM($H$1382:J1382)/K1382)*(K2&gt;0)</f>
        <v>0</v>
      </c>
      <c r="L1386" s="21">
        <f>((SUM($I$1382:L1382)&lt;0)*1-AND(SUM($I$1382:L1382)&gt;0,SUM($H$1382:K1382)&lt;0)*1*SUM($H$1382:K1382)/L1382)*(L2&gt;0)</f>
        <v>1</v>
      </c>
      <c r="M1386" s="21">
        <f>((SUM($I$1382:M1382)&lt;0)*1-AND(SUM($I$1382:M1382)&gt;0,SUM($H$1382:L1382)&lt;0)*1*SUM($H$1382:L1382)/M1382)*(M2&gt;0)</f>
        <v>1</v>
      </c>
      <c r="N1386" s="21">
        <f>((SUM($I$1382:N1382)&lt;0)*1-AND(SUM($I$1382:N1382)&gt;0,SUM($H$1382:M1382)&lt;0)*1*SUM($H$1382:M1382)/N1382)*(N2&gt;0)</f>
        <v>1</v>
      </c>
      <c r="O1386" s="21">
        <f>((SUM($I$1382:O1382)&lt;0)*1-AND(SUM($I$1382:O1382)&gt;0,SUM($H$1382:N1382)&lt;0)*1*SUM($H$1382:N1382)/O1382)*(O2&gt;0)</f>
        <v>0.91517072902543017</v>
      </c>
      <c r="P1386" s="21">
        <f>((SUM($I$1382:P1382)&lt;0)*1-AND(SUM($I$1382:P1382)&gt;0,SUM($H$1382:O1382)&lt;0)*1*SUM($H$1382:O1382)/P1382)*(P2&gt;0)</f>
        <v>0</v>
      </c>
      <c r="Q1386" s="21">
        <f>((SUM($I$1382:Q1382)&lt;0)*1-AND(SUM($I$1382:Q1382)&gt;0,SUM($H$1382:P1382)&lt;0)*1*SUM($H$1382:P1382)/Q1382)*(Q2&gt;0)</f>
        <v>0</v>
      </c>
      <c r="R1386" s="21">
        <f>((SUM($I$1382:R1382)&lt;0)*1-AND(SUM($I$1382:R1382)&gt;0,SUM($H$1382:Q1382)&lt;0)*1*SUM($H$1382:Q1382)/R1382)*(R2&gt;0)</f>
        <v>0</v>
      </c>
      <c r="S1386" s="21">
        <f>((SUM($I$1382:S1382)&lt;0)*1-AND(SUM($I$1382:S1382)&gt;0,SUM($H$1382:R1382)&lt;0)*1*SUM($H$1382:R1382)/S1382)*(S2&gt;0)</f>
        <v>0</v>
      </c>
      <c r="T1386" s="21">
        <f>((SUM($I$1382:T1382)&lt;0)*1-AND(SUM($I$1382:T1382)&gt;0,SUM($H$1382:S1382)&lt;0)*1*SUM($H$1382:S1382)/T1382)*(T2&gt;0)</f>
        <v>0</v>
      </c>
      <c r="U1386" s="21">
        <f>((SUM($I$1382:U1382)&lt;0)*1-AND(SUM($I$1382:U1382)&gt;0,SUM($H$1382:T1382)&lt;0)*1*SUM($H$1382:T1382)/U1382)*(U2&gt;0)</f>
        <v>0</v>
      </c>
      <c r="V1386" s="21">
        <f>((SUM($I$1382:V1382)&lt;0)*1-AND(SUM($I$1382:V1382)&gt;0,SUM($H$1382:U1382)&lt;0)*1*SUM($H$1382:U1382)/V1382)*(V2&gt;0)</f>
        <v>0</v>
      </c>
      <c r="W1386" s="21">
        <f>((SUM($I$1382:W1382)&lt;0)*1-AND(SUM($I$1382:W1382)&gt;0,SUM($H$1382:V1382)&lt;0)*1*SUM($H$1382:V1382)/W1382)*(W2&gt;0)</f>
        <v>0</v>
      </c>
      <c r="X1386" s="21">
        <f>((SUM($I$1382:X1382)&lt;0)*1-AND(SUM($I$1382:X1382)&gt;0,SUM($H$1382:W1382)&lt;0)*1*SUM($H$1382:W1382)/X1382)*(X2&gt;0)</f>
        <v>0</v>
      </c>
      <c r="Y1386" s="21">
        <f>((SUM($I$1382:Y1382)&lt;0)*1-AND(SUM($I$1382:Y1382)&gt;0,SUM($H$1382:X1382)&lt;0)*1*SUM($H$1382:X1382)/Y1382)*(Y2&gt;0)</f>
        <v>0</v>
      </c>
      <c r="Z1386" s="21">
        <f>((SUM($I$1382:Z1382)&lt;0)*1-AND(SUM($I$1382:Z1382)&gt;0,SUM($H$1382:Y1382)&lt;0)*1*SUM($H$1382:Y1382)/Z1382)*(Z2&gt;0)</f>
        <v>0</v>
      </c>
      <c r="AA1386" s="21">
        <f>((SUM($I$1382:AA1382)&lt;0)*1-AND(SUM($I$1382:AA1382)&gt;0,SUM($H$1382:Z1382)&lt;0)*1*SUM($H$1382:Z1382)/AA1382)*(AA2&gt;0)</f>
        <v>0</v>
      </c>
      <c r="AB1386" s="21">
        <f>((SUM($I$1382:AB1382)&lt;0)*1-AND(SUM($I$1382:AB1382)&gt;0,SUM($H$1382:AA1382)&lt;0)*1*SUM($H$1382:AA1382)/AB1382)*(AB2&gt;0)</f>
        <v>0</v>
      </c>
      <c r="AC1386" s="21">
        <f>((SUM($I$1382:AC1382)&lt;0)*1-AND(SUM($I$1382:AC1382)&gt;0,SUM($H$1382:AB1382)&lt;0)*1*SUM($H$1382:AB1382)/AC1382)*(AC2&gt;0)</f>
        <v>0</v>
      </c>
      <c r="AD1386" s="21">
        <f>((SUM($I$1382:AD1382)&lt;0)*1-AND(SUM($I$1382:AD1382)&gt;0,SUM($H$1382:AC1382)&lt;0)*1*SUM($H$1382:AC1382)/AD1382)*(AD2&gt;0)</f>
        <v>0</v>
      </c>
      <c r="AE1386" s="21">
        <f>((SUM($I$1382:AE1382)&lt;0)*1-AND(SUM($I$1382:AE1382)&gt;0,SUM($H$1382:AD1382)&lt;0)*1*SUM($H$1382:AD1382)/AE1382)*(AE2&gt;0)</f>
        <v>0</v>
      </c>
      <c r="AF1386" s="1"/>
    </row>
    <row r="1387" spans="1:32" x14ac:dyDescent="0.2">
      <c r="A1387" s="5"/>
      <c r="C1387" s="5"/>
      <c r="D1387" s="5"/>
      <c r="AF1387" s="1"/>
    </row>
    <row r="1388" spans="1:32" x14ac:dyDescent="0.2">
      <c r="A1388" s="5"/>
      <c r="C1388" s="20"/>
      <c r="D1388" s="20"/>
      <c r="G1388" s="69"/>
      <c r="H1388" s="69"/>
      <c r="AF1388" s="1"/>
    </row>
    <row r="1389" spans="1:32" x14ac:dyDescent="0.2">
      <c r="C1389" s="5" t="s">
        <v>180</v>
      </c>
      <c r="D1389" s="5"/>
      <c r="E1389" s="98">
        <v>5</v>
      </c>
      <c r="G1389" s="21"/>
      <c r="H1389" s="21"/>
      <c r="I1389" s="21">
        <f t="shared" ref="I1389:AE1389" si="996">($E$1389=I2)*1</f>
        <v>0</v>
      </c>
      <c r="J1389" s="21">
        <f t="shared" si="996"/>
        <v>0</v>
      </c>
      <c r="K1389" s="21">
        <f t="shared" si="996"/>
        <v>0</v>
      </c>
      <c r="L1389" s="21">
        <f t="shared" si="996"/>
        <v>0</v>
      </c>
      <c r="M1389" s="21">
        <f t="shared" si="996"/>
        <v>0</v>
      </c>
      <c r="N1389" s="21">
        <f t="shared" si="996"/>
        <v>0</v>
      </c>
      <c r="O1389" s="21">
        <f t="shared" si="996"/>
        <v>0</v>
      </c>
      <c r="P1389" s="21">
        <f t="shared" si="996"/>
        <v>1</v>
      </c>
      <c r="Q1389" s="21">
        <f t="shared" si="996"/>
        <v>0</v>
      </c>
      <c r="R1389" s="21">
        <f t="shared" si="996"/>
        <v>0</v>
      </c>
      <c r="S1389" s="21">
        <f t="shared" si="996"/>
        <v>0</v>
      </c>
      <c r="T1389" s="21">
        <f t="shared" si="996"/>
        <v>0</v>
      </c>
      <c r="U1389" s="21">
        <f t="shared" si="996"/>
        <v>0</v>
      </c>
      <c r="V1389" s="21">
        <f t="shared" si="996"/>
        <v>0</v>
      </c>
      <c r="W1389" s="21">
        <f t="shared" si="996"/>
        <v>0</v>
      </c>
      <c r="X1389" s="21">
        <f t="shared" si="996"/>
        <v>0</v>
      </c>
      <c r="Y1389" s="21">
        <f t="shared" si="996"/>
        <v>0</v>
      </c>
      <c r="Z1389" s="21">
        <f t="shared" si="996"/>
        <v>0</v>
      </c>
      <c r="AA1389" s="21">
        <f t="shared" si="996"/>
        <v>0</v>
      </c>
      <c r="AB1389" s="21">
        <f t="shared" si="996"/>
        <v>0</v>
      </c>
      <c r="AC1389" s="21">
        <f t="shared" si="996"/>
        <v>0</v>
      </c>
      <c r="AD1389" s="21">
        <f t="shared" si="996"/>
        <v>0</v>
      </c>
      <c r="AE1389" s="21">
        <f t="shared" si="996"/>
        <v>0</v>
      </c>
      <c r="AF1389" s="1"/>
    </row>
    <row r="1390" spans="1:32" x14ac:dyDescent="0.2">
      <c r="C1390" s="5" t="s">
        <v>181</v>
      </c>
      <c r="D1390" s="5"/>
      <c r="E1390" s="108">
        <v>7</v>
      </c>
      <c r="G1390" s="21"/>
      <c r="H1390" s="21"/>
      <c r="I1390" s="21">
        <f>$E$1390*I1389*(I1376+I1377+I1378)</f>
        <v>0</v>
      </c>
      <c r="J1390" s="21">
        <f t="shared" ref="J1390:AE1390" si="997">$E$1390*J1389*(J1376+J1377+J1378)</f>
        <v>0</v>
      </c>
      <c r="K1390" s="21">
        <f t="shared" si="997"/>
        <v>0</v>
      </c>
      <c r="L1390" s="21">
        <f t="shared" si="997"/>
        <v>0</v>
      </c>
      <c r="M1390" s="21">
        <f t="shared" si="997"/>
        <v>0</v>
      </c>
      <c r="N1390" s="21">
        <f t="shared" si="997"/>
        <v>0</v>
      </c>
      <c r="O1390" s="21">
        <f t="shared" si="997"/>
        <v>0</v>
      </c>
      <c r="P1390" s="21">
        <f t="shared" si="997"/>
        <v>965.88392063167021</v>
      </c>
      <c r="Q1390" s="21">
        <f t="shared" si="997"/>
        <v>0</v>
      </c>
      <c r="R1390" s="21">
        <f t="shared" si="997"/>
        <v>0</v>
      </c>
      <c r="S1390" s="21">
        <f t="shared" si="997"/>
        <v>0</v>
      </c>
      <c r="T1390" s="21">
        <f t="shared" si="997"/>
        <v>0</v>
      </c>
      <c r="U1390" s="21">
        <f t="shared" si="997"/>
        <v>0</v>
      </c>
      <c r="V1390" s="21">
        <f t="shared" si="997"/>
        <v>0</v>
      </c>
      <c r="W1390" s="21">
        <f t="shared" si="997"/>
        <v>0</v>
      </c>
      <c r="X1390" s="21">
        <f t="shared" si="997"/>
        <v>0</v>
      </c>
      <c r="Y1390" s="21">
        <f t="shared" si="997"/>
        <v>0</v>
      </c>
      <c r="Z1390" s="21">
        <f t="shared" si="997"/>
        <v>0</v>
      </c>
      <c r="AA1390" s="21">
        <f t="shared" si="997"/>
        <v>0</v>
      </c>
      <c r="AB1390" s="21">
        <f t="shared" si="997"/>
        <v>0</v>
      </c>
      <c r="AC1390" s="21">
        <f t="shared" si="997"/>
        <v>0</v>
      </c>
      <c r="AD1390" s="21">
        <f t="shared" si="997"/>
        <v>0</v>
      </c>
      <c r="AE1390" s="21">
        <f t="shared" si="997"/>
        <v>0</v>
      </c>
      <c r="AF1390" s="1"/>
    </row>
    <row r="1391" spans="1:32" x14ac:dyDescent="0.2">
      <c r="C1391" s="5" t="s">
        <v>179</v>
      </c>
      <c r="D1391" s="5"/>
      <c r="E1391" s="75"/>
      <c r="G1391" s="21"/>
      <c r="H1391" s="21"/>
      <c r="I1391" s="21">
        <f>OR((SUM($I$1389:I1389)=0),I1389=1)*1</f>
        <v>1</v>
      </c>
      <c r="J1391" s="21">
        <f>OR((SUM($I$1389:J1389)=0),J1389=1)*1</f>
        <v>1</v>
      </c>
      <c r="K1391" s="21">
        <f>OR((SUM($I$1389:K1389)=0),K1389=1)*1</f>
        <v>1</v>
      </c>
      <c r="L1391" s="21">
        <f>OR((SUM($I$1389:L1389)=0),L1389=1)*1</f>
        <v>1</v>
      </c>
      <c r="M1391" s="21">
        <f>OR((SUM($I$1389:M1389)=0),M1389=1)*1</f>
        <v>1</v>
      </c>
      <c r="N1391" s="21">
        <f>OR((SUM($I$1389:N1389)=0),N1389=1)*1</f>
        <v>1</v>
      </c>
      <c r="O1391" s="21">
        <f>OR((SUM($I$1389:O1389)=0),O1389=1)*1</f>
        <v>1</v>
      </c>
      <c r="P1391" s="21">
        <f>OR((SUM($I$1389:P1389)=0),P1389=1)*1</f>
        <v>1</v>
      </c>
      <c r="Q1391" s="21">
        <f>OR((SUM($I$1389:Q1389)=0),Q1389=1)*1</f>
        <v>0</v>
      </c>
      <c r="R1391" s="21">
        <f>OR((SUM($I$1389:R1389)=0),R1389=1)*1</f>
        <v>0</v>
      </c>
      <c r="S1391" s="21">
        <f>OR((SUM($I$1389:S1389)=0),S1389=1)*1</f>
        <v>0</v>
      </c>
      <c r="T1391" s="21">
        <f>OR((SUM($I$1389:T1389)=0),T1389=1)*1</f>
        <v>0</v>
      </c>
      <c r="U1391" s="21">
        <f>OR((SUM($I$1389:U1389)=0),U1389=1)*1</f>
        <v>0</v>
      </c>
      <c r="V1391" s="21">
        <f>OR((SUM($I$1389:V1389)=0),V1389=1)*1</f>
        <v>0</v>
      </c>
      <c r="W1391" s="21">
        <f>OR((SUM($I$1389:W1389)=0),W1389=1)*1</f>
        <v>0</v>
      </c>
      <c r="X1391" s="21">
        <f>OR((SUM($I$1389:X1389)=0),X1389=1)*1</f>
        <v>0</v>
      </c>
      <c r="Y1391" s="21">
        <f>OR((SUM($I$1389:Y1389)=0),Y1389=1)*1</f>
        <v>0</v>
      </c>
      <c r="Z1391" s="21">
        <f>OR((SUM($I$1389:Z1389)=0),Z1389=1)*1</f>
        <v>0</v>
      </c>
      <c r="AA1391" s="21">
        <f>OR((SUM($I$1389:AA1389)=0),AA1389=1)*1</f>
        <v>0</v>
      </c>
      <c r="AB1391" s="21">
        <f>OR((SUM($I$1389:AB1389)=0),AB1389=1)*1</f>
        <v>0</v>
      </c>
      <c r="AC1391" s="21">
        <f>OR((SUM($I$1389:AC1389)=0),AC1389=1)*1</f>
        <v>0</v>
      </c>
      <c r="AD1391" s="21">
        <f>OR((SUM($I$1389:AD1389)=0),AD1389=1)*1</f>
        <v>0</v>
      </c>
      <c r="AE1391" s="21">
        <f>OR((SUM($I$1389:AE1389)=0),AE1389=1)*1</f>
        <v>0</v>
      </c>
      <c r="AF1391" s="1"/>
    </row>
    <row r="1392" spans="1:32" x14ac:dyDescent="0.2">
      <c r="C1392" s="1" t="s">
        <v>178</v>
      </c>
      <c r="G1392" s="21">
        <f>SUM(I1392:AE1392)</f>
        <v>1112.6206559011096</v>
      </c>
      <c r="H1392" s="21"/>
      <c r="I1392" s="21">
        <f t="shared" ref="I1392:AE1392" si="998">I1390+I1391*I1382</f>
        <v>-56.557541166478941</v>
      </c>
      <c r="J1392" s="21">
        <f t="shared" si="998"/>
        <v>-267.7061937697539</v>
      </c>
      <c r="K1392" s="21">
        <f>K1390+K1391*K1382</f>
        <v>-124.00487669130889</v>
      </c>
      <c r="L1392" s="21">
        <f t="shared" si="998"/>
        <v>65.019488363830789</v>
      </c>
      <c r="M1392" s="21">
        <f t="shared" si="998"/>
        <v>118.9873214879828</v>
      </c>
      <c r="N1392" s="21">
        <f t="shared" si="998"/>
        <v>137.98341723309576</v>
      </c>
      <c r="O1392" s="21">
        <f t="shared" si="998"/>
        <v>137.98341723309574</v>
      </c>
      <c r="P1392" s="21">
        <f t="shared" si="998"/>
        <v>1100.9156232106461</v>
      </c>
      <c r="Q1392" s="21">
        <f t="shared" si="998"/>
        <v>0</v>
      </c>
      <c r="R1392" s="21">
        <f t="shared" si="998"/>
        <v>0</v>
      </c>
      <c r="S1392" s="21">
        <f t="shared" si="998"/>
        <v>0</v>
      </c>
      <c r="T1392" s="21">
        <f t="shared" si="998"/>
        <v>0</v>
      </c>
      <c r="U1392" s="21">
        <f t="shared" si="998"/>
        <v>0</v>
      </c>
      <c r="V1392" s="21">
        <f t="shared" si="998"/>
        <v>0</v>
      </c>
      <c r="W1392" s="21">
        <f t="shared" si="998"/>
        <v>0</v>
      </c>
      <c r="X1392" s="21">
        <f t="shared" si="998"/>
        <v>0</v>
      </c>
      <c r="Y1392" s="21">
        <f t="shared" si="998"/>
        <v>0</v>
      </c>
      <c r="Z1392" s="21">
        <f t="shared" si="998"/>
        <v>0</v>
      </c>
      <c r="AA1392" s="21">
        <f t="shared" si="998"/>
        <v>0</v>
      </c>
      <c r="AB1392" s="21">
        <f t="shared" si="998"/>
        <v>0</v>
      </c>
      <c r="AC1392" s="21">
        <f t="shared" si="998"/>
        <v>0</v>
      </c>
      <c r="AD1392" s="21">
        <f t="shared" si="998"/>
        <v>0</v>
      </c>
      <c r="AE1392" s="21">
        <f t="shared" si="998"/>
        <v>0</v>
      </c>
      <c r="AF1392" s="1"/>
    </row>
    <row r="1394" spans="2:32" x14ac:dyDescent="0.2">
      <c r="C1394" s="20" t="s">
        <v>176</v>
      </c>
      <c r="D1394" s="20"/>
      <c r="E1394" s="153">
        <v>8.8800000000000004E-2</v>
      </c>
      <c r="F1394" s="9" t="s">
        <v>55</v>
      </c>
      <c r="G1394" s="68">
        <f>NPV(E1394,I1392:AE1392)</f>
        <v>466.47861646229853</v>
      </c>
      <c r="H1394" s="68"/>
      <c r="I1394" s="21"/>
      <c r="AF1394" s="1"/>
    </row>
    <row r="1395" spans="2:32" x14ac:dyDescent="0.2">
      <c r="C1395" s="20" t="s">
        <v>177</v>
      </c>
      <c r="D1395" s="20"/>
      <c r="F1395" s="9" t="s">
        <v>8</v>
      </c>
      <c r="G1395" s="73">
        <f>IRR(I1392:AE1392)</f>
        <v>0.28079604145244552</v>
      </c>
      <c r="H1395" s="73"/>
      <c r="I1395" s="21"/>
      <c r="AF1395" s="1"/>
    </row>
    <row r="1396" spans="2:32" x14ac:dyDescent="0.2">
      <c r="C1396" s="20"/>
      <c r="D1396" s="20"/>
      <c r="AF1396" s="1"/>
    </row>
    <row r="1397" spans="2:32" x14ac:dyDescent="0.2">
      <c r="B1397" s="10">
        <f>B1374+0.1</f>
        <v>13.2</v>
      </c>
      <c r="C1397" s="20" t="s">
        <v>236</v>
      </c>
      <c r="D1397" s="20"/>
      <c r="K1397" s="21"/>
      <c r="AF1397" s="1"/>
    </row>
    <row r="1398" spans="2:32" x14ac:dyDescent="0.2">
      <c r="C1398" s="20"/>
      <c r="D1398" s="20"/>
      <c r="AF1398" s="1"/>
    </row>
    <row r="1399" spans="2:32" x14ac:dyDescent="0.2">
      <c r="C1399" s="5" t="s">
        <v>104</v>
      </c>
      <c r="D1399" s="20"/>
      <c r="G1399" s="21">
        <f t="shared" ref="G1399:G1420" si="999">SUM(I1399:AE1399)</f>
        <v>5808.2909072500015</v>
      </c>
      <c r="H1399" s="52"/>
      <c r="I1399" s="21">
        <f t="shared" ref="I1399:AE1399" si="1000">I1376</f>
        <v>0</v>
      </c>
      <c r="J1399" s="21">
        <f t="shared" si="1000"/>
        <v>0</v>
      </c>
      <c r="K1399" s="21">
        <f>K1376</f>
        <v>91.613421249999988</v>
      </c>
      <c r="L1399" s="21">
        <f t="shared" si="1000"/>
        <v>146.58147399999999</v>
      </c>
      <c r="M1399" s="21">
        <f t="shared" si="1000"/>
        <v>293.16294799999997</v>
      </c>
      <c r="N1399" s="21">
        <f t="shared" si="1000"/>
        <v>293.16294799999997</v>
      </c>
      <c r="O1399" s="21">
        <f t="shared" si="1000"/>
        <v>293.16294799999997</v>
      </c>
      <c r="P1399" s="21">
        <f t="shared" si="1000"/>
        <v>293.16294799999997</v>
      </c>
      <c r="Q1399" s="21">
        <f t="shared" si="1000"/>
        <v>293.16294799999997</v>
      </c>
      <c r="R1399" s="21">
        <f t="shared" si="1000"/>
        <v>293.16294799999997</v>
      </c>
      <c r="S1399" s="21">
        <f t="shared" si="1000"/>
        <v>293.16294799999997</v>
      </c>
      <c r="T1399" s="21">
        <f t="shared" si="1000"/>
        <v>293.16294799999997</v>
      </c>
      <c r="U1399" s="21">
        <f t="shared" si="1000"/>
        <v>293.16294799999997</v>
      </c>
      <c r="V1399" s="21">
        <f t="shared" si="1000"/>
        <v>293.16294799999997</v>
      </c>
      <c r="W1399" s="21">
        <f t="shared" si="1000"/>
        <v>293.16294799999997</v>
      </c>
      <c r="X1399" s="21">
        <f t="shared" si="1000"/>
        <v>293.16294799999997</v>
      </c>
      <c r="Y1399" s="21">
        <f t="shared" si="1000"/>
        <v>293.16294799999997</v>
      </c>
      <c r="Z1399" s="21">
        <f t="shared" si="1000"/>
        <v>293.16294799999997</v>
      </c>
      <c r="AA1399" s="21">
        <f t="shared" si="1000"/>
        <v>293.16294799999997</v>
      </c>
      <c r="AB1399" s="21">
        <f t="shared" si="1000"/>
        <v>293.16294799999997</v>
      </c>
      <c r="AC1399" s="21">
        <f t="shared" si="1000"/>
        <v>293.16294799999997</v>
      </c>
      <c r="AD1399" s="21">
        <f t="shared" si="1000"/>
        <v>293.16294799999997</v>
      </c>
      <c r="AE1399" s="21">
        <f t="shared" si="1000"/>
        <v>293.16294799999997</v>
      </c>
      <c r="AF1399" s="1"/>
    </row>
    <row r="1400" spans="2:32" x14ac:dyDescent="0.2">
      <c r="C1400" s="5" t="s">
        <v>120</v>
      </c>
      <c r="D1400" s="20"/>
      <c r="G1400" s="21">
        <f t="shared" si="999"/>
        <v>-3011.2789445794592</v>
      </c>
      <c r="H1400" s="52"/>
      <c r="I1400" s="21">
        <f t="shared" ref="I1400:AE1401" si="1001">I1377</f>
        <v>0</v>
      </c>
      <c r="J1400" s="21">
        <f t="shared" si="1001"/>
        <v>0</v>
      </c>
      <c r="K1400" s="21">
        <f>K1377</f>
        <v>-47.852836965524475</v>
      </c>
      <c r="L1400" s="21">
        <f t="shared" si="1001"/>
        <v>-73.395648131607246</v>
      </c>
      <c r="M1400" s="21">
        <f t="shared" si="1001"/>
        <v>-148.94539245333979</v>
      </c>
      <c r="N1400" s="21">
        <f t="shared" si="1001"/>
        <v>-148.94539245333979</v>
      </c>
      <c r="O1400" s="21">
        <f t="shared" si="1001"/>
        <v>-148.94539245333982</v>
      </c>
      <c r="P1400" s="21">
        <f t="shared" si="1001"/>
        <v>-148.94539245333982</v>
      </c>
      <c r="Q1400" s="21">
        <f t="shared" si="1001"/>
        <v>-149.43903092107712</v>
      </c>
      <c r="R1400" s="21">
        <f t="shared" si="1001"/>
        <v>-149.93266938881439</v>
      </c>
      <c r="S1400" s="21">
        <f t="shared" si="1001"/>
        <v>-150.42630785655166</v>
      </c>
      <c r="T1400" s="21">
        <f t="shared" si="1001"/>
        <v>-150.91994632428899</v>
      </c>
      <c r="U1400" s="21">
        <f t="shared" si="1001"/>
        <v>-150.91994632428899</v>
      </c>
      <c r="V1400" s="21">
        <f t="shared" si="1001"/>
        <v>-151.65736893002781</v>
      </c>
      <c r="W1400" s="21">
        <f t="shared" si="1001"/>
        <v>-153.21047100866781</v>
      </c>
      <c r="X1400" s="21">
        <f t="shared" si="1001"/>
        <v>-154.71789361440662</v>
      </c>
      <c r="Y1400" s="21">
        <f t="shared" si="1001"/>
        <v>-154.71789361440662</v>
      </c>
      <c r="Z1400" s="21">
        <f t="shared" si="1001"/>
        <v>-154.71789361440662</v>
      </c>
      <c r="AA1400" s="21">
        <f t="shared" si="1001"/>
        <v>-154.71789361440662</v>
      </c>
      <c r="AB1400" s="21">
        <f t="shared" si="1001"/>
        <v>-154.71789361440662</v>
      </c>
      <c r="AC1400" s="21">
        <f t="shared" si="1001"/>
        <v>-154.71789361440662</v>
      </c>
      <c r="AD1400" s="21">
        <f t="shared" si="1001"/>
        <v>-154.71789361440662</v>
      </c>
      <c r="AE1400" s="21">
        <f t="shared" si="1001"/>
        <v>-154.71789361440662</v>
      </c>
      <c r="AF1400" s="1"/>
    </row>
    <row r="1401" spans="2:32" x14ac:dyDescent="0.2">
      <c r="C1401" s="5" t="s">
        <v>444</v>
      </c>
      <c r="D1401" s="20"/>
      <c r="G1401" s="21">
        <f t="shared" si="999"/>
        <v>-123.85824548003839</v>
      </c>
      <c r="H1401" s="52"/>
      <c r="I1401" s="21">
        <f t="shared" si="1001"/>
        <v>0</v>
      </c>
      <c r="J1401" s="21">
        <f t="shared" si="1001"/>
        <v>0</v>
      </c>
      <c r="K1401" s="21">
        <f t="shared" si="1001"/>
        <v>-2.2925483655322112</v>
      </c>
      <c r="L1401" s="21">
        <f t="shared" si="1001"/>
        <v>-3.1170691567822111</v>
      </c>
      <c r="M1401" s="21">
        <f t="shared" si="1001"/>
        <v>-6.2341383135644222</v>
      </c>
      <c r="N1401" s="21">
        <f t="shared" si="1001"/>
        <v>-6.2341383135644222</v>
      </c>
      <c r="O1401" s="21">
        <f t="shared" si="1001"/>
        <v>-6.2341383135644222</v>
      </c>
      <c r="P1401" s="21">
        <f t="shared" si="1001"/>
        <v>-6.2341383135644222</v>
      </c>
      <c r="Q1401" s="21">
        <f t="shared" si="1001"/>
        <v>-6.2341383135644222</v>
      </c>
      <c r="R1401" s="21">
        <f t="shared" si="1001"/>
        <v>-6.2341383135644222</v>
      </c>
      <c r="S1401" s="21">
        <f t="shared" si="1001"/>
        <v>-6.2341383135644222</v>
      </c>
      <c r="T1401" s="21">
        <f t="shared" si="1001"/>
        <v>-6.2341383135644222</v>
      </c>
      <c r="U1401" s="21">
        <f t="shared" si="1001"/>
        <v>-6.2341383135644222</v>
      </c>
      <c r="V1401" s="21">
        <f t="shared" si="1001"/>
        <v>-6.2341383135644222</v>
      </c>
      <c r="W1401" s="21">
        <f t="shared" si="1001"/>
        <v>-6.2341383135644222</v>
      </c>
      <c r="X1401" s="21">
        <f t="shared" si="1001"/>
        <v>-6.2341383135644222</v>
      </c>
      <c r="Y1401" s="21">
        <f t="shared" si="1001"/>
        <v>-6.2341383135644222</v>
      </c>
      <c r="Z1401" s="21">
        <f t="shared" si="1001"/>
        <v>-6.2341383135644222</v>
      </c>
      <c r="AA1401" s="21">
        <f t="shared" si="1001"/>
        <v>-6.2341383135644222</v>
      </c>
      <c r="AB1401" s="21">
        <f t="shared" si="1001"/>
        <v>-6.2341383135644222</v>
      </c>
      <c r="AC1401" s="21">
        <f t="shared" si="1001"/>
        <v>-6.2341383135644222</v>
      </c>
      <c r="AD1401" s="21">
        <f t="shared" si="1001"/>
        <v>-6.2341383135644222</v>
      </c>
      <c r="AE1401" s="21">
        <f t="shared" si="1001"/>
        <v>-6.2341383135644222</v>
      </c>
      <c r="AF1401" s="1"/>
    </row>
    <row r="1402" spans="2:32" x14ac:dyDescent="0.2">
      <c r="C1402" s="5" t="s">
        <v>135</v>
      </c>
      <c r="D1402" s="20"/>
      <c r="G1402" s="21">
        <f t="shared" si="999"/>
        <v>-462.68240968039112</v>
      </c>
      <c r="H1402" s="52"/>
      <c r="I1402" s="21">
        <f t="shared" ref="I1402:AE1402" si="1002">I1379</f>
        <v>0</v>
      </c>
      <c r="J1402" s="21">
        <f t="shared" si="1002"/>
        <v>0</v>
      </c>
      <c r="K1402" s="21">
        <f>K1379</f>
        <v>0</v>
      </c>
      <c r="L1402" s="21">
        <f t="shared" si="1002"/>
        <v>0</v>
      </c>
      <c r="M1402" s="21">
        <f t="shared" si="1002"/>
        <v>0</v>
      </c>
      <c r="N1402" s="21">
        <f t="shared" si="1002"/>
        <v>0</v>
      </c>
      <c r="O1402" s="21">
        <f t="shared" si="1002"/>
        <v>0</v>
      </c>
      <c r="P1402" s="21">
        <f t="shared" si="1002"/>
        <v>-2.9517146541198098</v>
      </c>
      <c r="Q1402" s="21">
        <f t="shared" si="1002"/>
        <v>-18.024324009659644</v>
      </c>
      <c r="R1402" s="21">
        <f t="shared" si="1002"/>
        <v>-28.839361767823199</v>
      </c>
      <c r="S1402" s="21">
        <f t="shared" si="1002"/>
        <v>-30.103113221095882</v>
      </c>
      <c r="T1402" s="21">
        <f t="shared" si="1002"/>
        <v>-30.950546048035086</v>
      </c>
      <c r="U1402" s="21">
        <f t="shared" si="1002"/>
        <v>-31.630533137713083</v>
      </c>
      <c r="V1402" s="21">
        <f t="shared" si="1002"/>
        <v>-31.921320413056375</v>
      </c>
      <c r="W1402" s="21">
        <f t="shared" si="1002"/>
        <v>-31.864452499948161</v>
      </c>
      <c r="X1402" s="21">
        <f t="shared" si="1002"/>
        <v>-31.719098884276413</v>
      </c>
      <c r="Y1402" s="21">
        <f t="shared" si="1002"/>
        <v>-31.882363784508101</v>
      </c>
      <c r="Z1402" s="21">
        <f t="shared" si="1002"/>
        <v>-31.996649214670285</v>
      </c>
      <c r="AA1402" s="21">
        <f t="shared" si="1002"/>
        <v>-32.076649015783808</v>
      </c>
      <c r="AB1402" s="21">
        <f t="shared" si="1002"/>
        <v>-32.13264887656328</v>
      </c>
      <c r="AC1402" s="21">
        <f t="shared" si="1002"/>
        <v>-32.171848779108906</v>
      </c>
      <c r="AD1402" s="21">
        <f t="shared" si="1002"/>
        <v>-32.199288710890848</v>
      </c>
      <c r="AE1402" s="21">
        <f t="shared" si="1002"/>
        <v>-32.218496663138204</v>
      </c>
      <c r="AF1402" s="1"/>
    </row>
    <row r="1403" spans="2:32" x14ac:dyDescent="0.2">
      <c r="C1403" s="5" t="s">
        <v>111</v>
      </c>
      <c r="D1403" s="20"/>
      <c r="G1403" s="21">
        <f t="shared" si="999"/>
        <v>-475.57593141478935</v>
      </c>
      <c r="H1403" s="52"/>
      <c r="I1403" s="21">
        <f t="shared" ref="I1403:AE1403" si="1003">I1380</f>
        <v>-56.557541166478941</v>
      </c>
      <c r="J1403" s="21">
        <f t="shared" si="1003"/>
        <v>-267.7061937697539</v>
      </c>
      <c r="K1403" s="21">
        <f>K1380</f>
        <v>-151.31219647855653</v>
      </c>
      <c r="L1403" s="21">
        <f t="shared" si="1003"/>
        <v>0</v>
      </c>
      <c r="M1403" s="21">
        <f t="shared" si="1003"/>
        <v>0</v>
      </c>
      <c r="N1403" s="21">
        <f t="shared" si="1003"/>
        <v>0</v>
      </c>
      <c r="O1403" s="21">
        <f t="shared" si="1003"/>
        <v>0</v>
      </c>
      <c r="P1403" s="21">
        <f t="shared" si="1003"/>
        <v>0</v>
      </c>
      <c r="Q1403" s="21">
        <f t="shared" si="1003"/>
        <v>0</v>
      </c>
      <c r="R1403" s="21">
        <f t="shared" si="1003"/>
        <v>0</v>
      </c>
      <c r="S1403" s="21">
        <f t="shared" si="1003"/>
        <v>0</v>
      </c>
      <c r="T1403" s="21">
        <f t="shared" si="1003"/>
        <v>0</v>
      </c>
      <c r="U1403" s="21">
        <f t="shared" si="1003"/>
        <v>0</v>
      </c>
      <c r="V1403" s="21">
        <f t="shared" si="1003"/>
        <v>0</v>
      </c>
      <c r="W1403" s="21">
        <f t="shared" si="1003"/>
        <v>0</v>
      </c>
      <c r="X1403" s="21">
        <f t="shared" si="1003"/>
        <v>0</v>
      </c>
      <c r="Y1403" s="21">
        <f t="shared" si="1003"/>
        <v>0</v>
      </c>
      <c r="Z1403" s="21">
        <f t="shared" si="1003"/>
        <v>0</v>
      </c>
      <c r="AA1403" s="21">
        <f t="shared" si="1003"/>
        <v>0</v>
      </c>
      <c r="AB1403" s="21">
        <f t="shared" si="1003"/>
        <v>0</v>
      </c>
      <c r="AC1403" s="21">
        <f t="shared" si="1003"/>
        <v>0</v>
      </c>
      <c r="AD1403" s="21">
        <f t="shared" si="1003"/>
        <v>0</v>
      </c>
      <c r="AE1403" s="21">
        <f t="shared" si="1003"/>
        <v>0</v>
      </c>
      <c r="AF1403" s="1"/>
    </row>
    <row r="1404" spans="2:32" x14ac:dyDescent="0.2">
      <c r="C1404" s="5" t="s">
        <v>134</v>
      </c>
      <c r="D1404" s="20"/>
      <c r="G1404" s="21">
        <f t="shared" si="999"/>
        <v>-37.731628074363698</v>
      </c>
      <c r="H1404" s="52"/>
      <c r="I1404" s="21">
        <f t="shared" ref="I1404:AE1404" si="1004">I1381</f>
        <v>0</v>
      </c>
      <c r="J1404" s="21">
        <f t="shared" si="1004"/>
        <v>0</v>
      </c>
      <c r="K1404" s="21">
        <f>K1381</f>
        <v>-14.160716131695661</v>
      </c>
      <c r="L1404" s="21">
        <f t="shared" si="1004"/>
        <v>-5.0492683477797407</v>
      </c>
      <c r="M1404" s="21">
        <f t="shared" si="1004"/>
        <v>-18.996095745112967</v>
      </c>
      <c r="N1404" s="21">
        <f t="shared" si="1004"/>
        <v>0</v>
      </c>
      <c r="O1404" s="21">
        <f t="shared" si="1004"/>
        <v>0</v>
      </c>
      <c r="P1404" s="21">
        <f t="shared" si="1004"/>
        <v>0</v>
      </c>
      <c r="Q1404" s="21">
        <f t="shared" si="1004"/>
        <v>4.0573024745537367E-2</v>
      </c>
      <c r="R1404" s="21">
        <f t="shared" si="1004"/>
        <v>4.0573024745530262E-2</v>
      </c>
      <c r="S1404" s="21">
        <f t="shared" si="1004"/>
        <v>4.0573024745530262E-2</v>
      </c>
      <c r="T1404" s="21">
        <f t="shared" si="1004"/>
        <v>4.0573024745526709E-2</v>
      </c>
      <c r="U1404" s="21">
        <f t="shared" si="1004"/>
        <v>0</v>
      </c>
      <c r="V1404" s="21">
        <f t="shared" si="1004"/>
        <v>6.0610077184019673E-2</v>
      </c>
      <c r="W1404" s="21">
        <f t="shared" si="1004"/>
        <v>0.12765222564164702</v>
      </c>
      <c r="X1404" s="21">
        <f t="shared" si="1004"/>
        <v>0.1238977484168835</v>
      </c>
      <c r="Y1404" s="21">
        <f t="shared" si="1004"/>
        <v>0</v>
      </c>
      <c r="Z1404" s="21">
        <f t="shared" si="1004"/>
        <v>0</v>
      </c>
      <c r="AA1404" s="21">
        <f t="shared" si="1004"/>
        <v>0</v>
      </c>
      <c r="AB1404" s="21">
        <f t="shared" si="1004"/>
        <v>0</v>
      </c>
      <c r="AC1404" s="21">
        <f t="shared" si="1004"/>
        <v>0</v>
      </c>
      <c r="AD1404" s="21">
        <f t="shared" si="1004"/>
        <v>0</v>
      </c>
      <c r="AE1404" s="21">
        <f t="shared" si="1004"/>
        <v>0</v>
      </c>
      <c r="AF1404" s="1"/>
    </row>
    <row r="1405" spans="2:32" x14ac:dyDescent="0.2">
      <c r="C1405" s="1" t="s">
        <v>956</v>
      </c>
      <c r="D1405" s="20"/>
      <c r="G1405" s="21">
        <f t="shared" si="999"/>
        <v>9.9999422500000001</v>
      </c>
      <c r="H1405" s="52"/>
      <c r="I1405" s="21">
        <f>I1234</f>
        <v>9.9999422500000001</v>
      </c>
      <c r="J1405" s="21">
        <f t="shared" ref="J1405:AE1405" si="1005">J1234</f>
        <v>0</v>
      </c>
      <c r="K1405" s="21">
        <f t="shared" si="1005"/>
        <v>0</v>
      </c>
      <c r="L1405" s="21">
        <f t="shared" si="1005"/>
        <v>0</v>
      </c>
      <c r="M1405" s="21">
        <f t="shared" si="1005"/>
        <v>0</v>
      </c>
      <c r="N1405" s="21">
        <f t="shared" si="1005"/>
        <v>0</v>
      </c>
      <c r="O1405" s="21">
        <f t="shared" si="1005"/>
        <v>0</v>
      </c>
      <c r="P1405" s="21">
        <f t="shared" si="1005"/>
        <v>0</v>
      </c>
      <c r="Q1405" s="21">
        <f t="shared" si="1005"/>
        <v>0</v>
      </c>
      <c r="R1405" s="21">
        <f t="shared" si="1005"/>
        <v>0</v>
      </c>
      <c r="S1405" s="21">
        <f t="shared" si="1005"/>
        <v>0</v>
      </c>
      <c r="T1405" s="21">
        <f t="shared" si="1005"/>
        <v>0</v>
      </c>
      <c r="U1405" s="21">
        <f t="shared" si="1005"/>
        <v>0</v>
      </c>
      <c r="V1405" s="21">
        <f t="shared" si="1005"/>
        <v>0</v>
      </c>
      <c r="W1405" s="21">
        <f t="shared" si="1005"/>
        <v>0</v>
      </c>
      <c r="X1405" s="21">
        <f t="shared" si="1005"/>
        <v>0</v>
      </c>
      <c r="Y1405" s="21">
        <f t="shared" si="1005"/>
        <v>0</v>
      </c>
      <c r="Z1405" s="21">
        <f t="shared" si="1005"/>
        <v>0</v>
      </c>
      <c r="AA1405" s="21">
        <f t="shared" si="1005"/>
        <v>0</v>
      </c>
      <c r="AB1405" s="21">
        <f t="shared" si="1005"/>
        <v>0</v>
      </c>
      <c r="AC1405" s="21">
        <f t="shared" si="1005"/>
        <v>0</v>
      </c>
      <c r="AD1405" s="21">
        <f t="shared" si="1005"/>
        <v>0</v>
      </c>
      <c r="AE1405" s="21">
        <f t="shared" si="1005"/>
        <v>0</v>
      </c>
      <c r="AF1405" s="1"/>
    </row>
    <row r="1406" spans="2:32" x14ac:dyDescent="0.2">
      <c r="C1406" s="1" t="s">
        <v>957</v>
      </c>
      <c r="D1406" s="20"/>
      <c r="G1406" s="21">
        <f t="shared" si="999"/>
        <v>0</v>
      </c>
      <c r="H1406" s="52"/>
      <c r="I1406" s="21">
        <f t="shared" ref="I1406:AE1406" si="1006">I1235</f>
        <v>0</v>
      </c>
      <c r="J1406" s="21">
        <f t="shared" si="1006"/>
        <v>0</v>
      </c>
      <c r="K1406" s="21">
        <f t="shared" si="1006"/>
        <v>0</v>
      </c>
      <c r="L1406" s="21">
        <f t="shared" si="1006"/>
        <v>0</v>
      </c>
      <c r="M1406" s="21">
        <f t="shared" si="1006"/>
        <v>0</v>
      </c>
      <c r="N1406" s="21">
        <f t="shared" si="1006"/>
        <v>0</v>
      </c>
      <c r="O1406" s="21">
        <f t="shared" si="1006"/>
        <v>0</v>
      </c>
      <c r="P1406" s="21">
        <f t="shared" si="1006"/>
        <v>0</v>
      </c>
      <c r="Q1406" s="21">
        <f t="shared" si="1006"/>
        <v>0</v>
      </c>
      <c r="R1406" s="21">
        <f t="shared" si="1006"/>
        <v>0</v>
      </c>
      <c r="S1406" s="21">
        <f t="shared" si="1006"/>
        <v>0</v>
      </c>
      <c r="T1406" s="21">
        <f t="shared" si="1006"/>
        <v>0</v>
      </c>
      <c r="U1406" s="21">
        <f t="shared" si="1006"/>
        <v>0</v>
      </c>
      <c r="V1406" s="21">
        <f t="shared" si="1006"/>
        <v>0</v>
      </c>
      <c r="W1406" s="21">
        <f t="shared" si="1006"/>
        <v>0</v>
      </c>
      <c r="X1406" s="21">
        <f t="shared" si="1006"/>
        <v>0</v>
      </c>
      <c r="Y1406" s="21">
        <f t="shared" si="1006"/>
        <v>0</v>
      </c>
      <c r="Z1406" s="21">
        <f t="shared" si="1006"/>
        <v>0</v>
      </c>
      <c r="AA1406" s="21">
        <f t="shared" si="1006"/>
        <v>0</v>
      </c>
      <c r="AB1406" s="21">
        <f t="shared" si="1006"/>
        <v>0</v>
      </c>
      <c r="AC1406" s="21">
        <f t="shared" si="1006"/>
        <v>0</v>
      </c>
      <c r="AD1406" s="21">
        <f t="shared" si="1006"/>
        <v>0</v>
      </c>
      <c r="AE1406" s="21">
        <f t="shared" si="1006"/>
        <v>0</v>
      </c>
      <c r="AF1406" s="1"/>
    </row>
    <row r="1407" spans="2:32" x14ac:dyDescent="0.2">
      <c r="C1407" s="1" t="s">
        <v>958</v>
      </c>
      <c r="D1407" s="20"/>
      <c r="G1407" s="21">
        <f t="shared" si="999"/>
        <v>-6.1732363881177683</v>
      </c>
      <c r="H1407" s="52"/>
      <c r="I1407" s="21">
        <f t="shared" ref="I1407:AE1407" si="1007">I1236</f>
        <v>-1.0099932893521877</v>
      </c>
      <c r="J1407" s="21">
        <f t="shared" si="1007"/>
        <v>-1.2644676976568752</v>
      </c>
      <c r="K1407" s="21">
        <f t="shared" si="1007"/>
        <v>-1.2644676976568752</v>
      </c>
      <c r="L1407" s="21">
        <f t="shared" si="1007"/>
        <v>-0.63223384882843758</v>
      </c>
      <c r="M1407" s="21">
        <f t="shared" si="1007"/>
        <v>-0.10537230813807293</v>
      </c>
      <c r="N1407" s="21">
        <f t="shared" si="1007"/>
        <v>-0.10537230813807293</v>
      </c>
      <c r="O1407" s="21">
        <f t="shared" si="1007"/>
        <v>-0.10537230813807293</v>
      </c>
      <c r="P1407" s="21">
        <f t="shared" si="1007"/>
        <v>-0.10537230813807293</v>
      </c>
      <c r="Q1407" s="21">
        <f t="shared" si="1007"/>
        <v>-0.10537230813807293</v>
      </c>
      <c r="R1407" s="21">
        <f t="shared" si="1007"/>
        <v>-0.10537230813807293</v>
      </c>
      <c r="S1407" s="21">
        <f t="shared" si="1007"/>
        <v>-0.10537230813807293</v>
      </c>
      <c r="T1407" s="21">
        <f t="shared" si="1007"/>
        <v>-0.10537230813807293</v>
      </c>
      <c r="U1407" s="21">
        <f t="shared" si="1007"/>
        <v>-0.10537230813807293</v>
      </c>
      <c r="V1407" s="21">
        <f t="shared" si="1007"/>
        <v>-0.10537230813807293</v>
      </c>
      <c r="W1407" s="21">
        <f t="shared" si="1007"/>
        <v>-0.10537230813807293</v>
      </c>
      <c r="X1407" s="21">
        <f t="shared" si="1007"/>
        <v>-0.10537230813807293</v>
      </c>
      <c r="Y1407" s="21">
        <f t="shared" si="1007"/>
        <v>-0.10537230813807293</v>
      </c>
      <c r="Z1407" s="21">
        <f t="shared" si="1007"/>
        <v>-0.10537230813807293</v>
      </c>
      <c r="AA1407" s="21">
        <f t="shared" si="1007"/>
        <v>-0.10537230813807293</v>
      </c>
      <c r="AB1407" s="21">
        <f t="shared" si="1007"/>
        <v>-0.10537230813807293</v>
      </c>
      <c r="AC1407" s="21">
        <f t="shared" si="1007"/>
        <v>-0.10537230813807293</v>
      </c>
      <c r="AD1407" s="21">
        <f t="shared" si="1007"/>
        <v>-0.10537230813807293</v>
      </c>
      <c r="AE1407" s="21">
        <f t="shared" si="1007"/>
        <v>-0.10537230813807293</v>
      </c>
      <c r="AF1407" s="1"/>
    </row>
    <row r="1408" spans="2:32" x14ac:dyDescent="0.2">
      <c r="C1408" s="1" t="s">
        <v>959</v>
      </c>
      <c r="D1408" s="20"/>
      <c r="G1408" s="21">
        <f t="shared" si="999"/>
        <v>-0.35</v>
      </c>
      <c r="H1408" s="52"/>
      <c r="I1408" s="21">
        <f t="shared" ref="I1408:AE1408" si="1008">I1237</f>
        <v>-0.35</v>
      </c>
      <c r="J1408" s="21">
        <f t="shared" si="1008"/>
        <v>0</v>
      </c>
      <c r="K1408" s="21">
        <f t="shared" si="1008"/>
        <v>0</v>
      </c>
      <c r="L1408" s="21">
        <f t="shared" si="1008"/>
        <v>0</v>
      </c>
      <c r="M1408" s="21">
        <f t="shared" si="1008"/>
        <v>0</v>
      </c>
      <c r="N1408" s="21">
        <f t="shared" si="1008"/>
        <v>0</v>
      </c>
      <c r="O1408" s="21">
        <f t="shared" si="1008"/>
        <v>0</v>
      </c>
      <c r="P1408" s="21">
        <f t="shared" si="1008"/>
        <v>0</v>
      </c>
      <c r="Q1408" s="21">
        <f t="shared" si="1008"/>
        <v>0</v>
      </c>
      <c r="R1408" s="21">
        <f t="shared" si="1008"/>
        <v>0</v>
      </c>
      <c r="S1408" s="21">
        <f t="shared" si="1008"/>
        <v>0</v>
      </c>
      <c r="T1408" s="21">
        <f t="shared" si="1008"/>
        <v>0</v>
      </c>
      <c r="U1408" s="21">
        <f t="shared" si="1008"/>
        <v>0</v>
      </c>
      <c r="V1408" s="21">
        <f t="shared" si="1008"/>
        <v>0</v>
      </c>
      <c r="W1408" s="21">
        <f t="shared" si="1008"/>
        <v>0</v>
      </c>
      <c r="X1408" s="21">
        <f t="shared" si="1008"/>
        <v>0</v>
      </c>
      <c r="Y1408" s="21">
        <f t="shared" si="1008"/>
        <v>0</v>
      </c>
      <c r="Z1408" s="21">
        <f t="shared" si="1008"/>
        <v>0</v>
      </c>
      <c r="AA1408" s="21">
        <f t="shared" si="1008"/>
        <v>0</v>
      </c>
      <c r="AB1408" s="21">
        <f t="shared" si="1008"/>
        <v>0</v>
      </c>
      <c r="AC1408" s="21">
        <f t="shared" si="1008"/>
        <v>0</v>
      </c>
      <c r="AD1408" s="21">
        <f t="shared" si="1008"/>
        <v>0</v>
      </c>
      <c r="AE1408" s="21">
        <f t="shared" si="1008"/>
        <v>0</v>
      </c>
      <c r="AF1408" s="1"/>
    </row>
    <row r="1409" spans="3:32" x14ac:dyDescent="0.2">
      <c r="C1409" s="5" t="s">
        <v>463</v>
      </c>
      <c r="D1409" s="20"/>
      <c r="G1409" s="21">
        <f t="shared" si="999"/>
        <v>330</v>
      </c>
      <c r="H1409" s="52"/>
      <c r="I1409" s="21">
        <f>I1556</f>
        <v>33</v>
      </c>
      <c r="J1409" s="21">
        <f t="shared" ref="J1409:AE1409" si="1009">J1556</f>
        <v>189.75</v>
      </c>
      <c r="K1409" s="21">
        <f>K1556</f>
        <v>107.25</v>
      </c>
      <c r="L1409" s="21">
        <f>L1556</f>
        <v>0</v>
      </c>
      <c r="M1409" s="21">
        <f t="shared" si="1009"/>
        <v>0</v>
      </c>
      <c r="N1409" s="21">
        <f t="shared" si="1009"/>
        <v>0</v>
      </c>
      <c r="O1409" s="21">
        <f t="shared" si="1009"/>
        <v>0</v>
      </c>
      <c r="P1409" s="21">
        <f t="shared" si="1009"/>
        <v>0</v>
      </c>
      <c r="Q1409" s="21">
        <f t="shared" si="1009"/>
        <v>0</v>
      </c>
      <c r="R1409" s="21">
        <f t="shared" si="1009"/>
        <v>0</v>
      </c>
      <c r="S1409" s="21">
        <f t="shared" si="1009"/>
        <v>0</v>
      </c>
      <c r="T1409" s="21">
        <f t="shared" si="1009"/>
        <v>0</v>
      </c>
      <c r="U1409" s="21">
        <f t="shared" si="1009"/>
        <v>0</v>
      </c>
      <c r="V1409" s="21">
        <f t="shared" si="1009"/>
        <v>0</v>
      </c>
      <c r="W1409" s="21">
        <f t="shared" si="1009"/>
        <v>0</v>
      </c>
      <c r="X1409" s="21">
        <f t="shared" si="1009"/>
        <v>0</v>
      </c>
      <c r="Y1409" s="21">
        <f t="shared" si="1009"/>
        <v>0</v>
      </c>
      <c r="Z1409" s="21">
        <f t="shared" si="1009"/>
        <v>0</v>
      </c>
      <c r="AA1409" s="21">
        <f t="shared" si="1009"/>
        <v>0</v>
      </c>
      <c r="AB1409" s="21">
        <f t="shared" si="1009"/>
        <v>0</v>
      </c>
      <c r="AC1409" s="21">
        <f t="shared" si="1009"/>
        <v>0</v>
      </c>
      <c r="AD1409" s="21">
        <f t="shared" si="1009"/>
        <v>0</v>
      </c>
      <c r="AE1409" s="21">
        <f t="shared" si="1009"/>
        <v>0</v>
      </c>
      <c r="AF1409" s="1"/>
    </row>
    <row r="1410" spans="3:32" x14ac:dyDescent="0.2">
      <c r="C1410" s="1" t="s">
        <v>464</v>
      </c>
      <c r="D1410" s="20"/>
      <c r="G1410" s="21">
        <f t="shared" si="999"/>
        <v>-312.63157894736844</v>
      </c>
      <c r="H1410" s="52"/>
      <c r="I1410" s="21">
        <f>I1557</f>
        <v>0</v>
      </c>
      <c r="J1410" s="21">
        <f t="shared" ref="J1410:AE1410" si="1010">J1557</f>
        <v>0</v>
      </c>
      <c r="K1410" s="21">
        <f>K1557</f>
        <v>-17.368421052631579</v>
      </c>
      <c r="L1410" s="21">
        <f t="shared" si="1010"/>
        <v>-17.368421052631579</v>
      </c>
      <c r="M1410" s="21">
        <f t="shared" si="1010"/>
        <v>-34.736842105263158</v>
      </c>
      <c r="N1410" s="21">
        <f t="shared" si="1010"/>
        <v>-34.736842105263158</v>
      </c>
      <c r="O1410" s="21">
        <f t="shared" si="1010"/>
        <v>-34.736842105263158</v>
      </c>
      <c r="P1410" s="21">
        <f t="shared" si="1010"/>
        <v>-34.736842105263158</v>
      </c>
      <c r="Q1410" s="21">
        <f t="shared" si="1010"/>
        <v>-34.736842105263158</v>
      </c>
      <c r="R1410" s="21">
        <f t="shared" si="1010"/>
        <v>-34.736842105263158</v>
      </c>
      <c r="S1410" s="21">
        <f t="shared" si="1010"/>
        <v>-34.736842105263158</v>
      </c>
      <c r="T1410" s="21">
        <f t="shared" si="1010"/>
        <v>-34.736842105263158</v>
      </c>
      <c r="U1410" s="21">
        <f t="shared" si="1010"/>
        <v>0</v>
      </c>
      <c r="V1410" s="21">
        <f t="shared" si="1010"/>
        <v>0</v>
      </c>
      <c r="W1410" s="21">
        <f t="shared" si="1010"/>
        <v>0</v>
      </c>
      <c r="X1410" s="21">
        <f t="shared" si="1010"/>
        <v>0</v>
      </c>
      <c r="Y1410" s="21">
        <f t="shared" si="1010"/>
        <v>0</v>
      </c>
      <c r="Z1410" s="21">
        <f t="shared" si="1010"/>
        <v>0</v>
      </c>
      <c r="AA1410" s="21">
        <f t="shared" si="1010"/>
        <v>0</v>
      </c>
      <c r="AB1410" s="21">
        <f t="shared" si="1010"/>
        <v>0</v>
      </c>
      <c r="AC1410" s="21">
        <f t="shared" si="1010"/>
        <v>0</v>
      </c>
      <c r="AD1410" s="21">
        <f t="shared" si="1010"/>
        <v>0</v>
      </c>
      <c r="AE1410" s="21">
        <f t="shared" si="1010"/>
        <v>0</v>
      </c>
      <c r="AF1410" s="1"/>
    </row>
    <row r="1411" spans="3:32" x14ac:dyDescent="0.2">
      <c r="C1411" s="1" t="s">
        <v>474</v>
      </c>
      <c r="D1411" s="20"/>
      <c r="G1411" s="21">
        <f t="shared" si="999"/>
        <v>0</v>
      </c>
      <c r="H1411" s="52"/>
      <c r="I1411" s="21">
        <f>-I1560</f>
        <v>0</v>
      </c>
      <c r="J1411" s="21">
        <f t="shared" ref="J1411:AE1411" si="1011">-J1560</f>
        <v>0</v>
      </c>
      <c r="K1411" s="21">
        <f>-K1560</f>
        <v>0</v>
      </c>
      <c r="L1411" s="21">
        <f t="shared" si="1011"/>
        <v>0</v>
      </c>
      <c r="M1411" s="21">
        <f t="shared" si="1011"/>
        <v>0</v>
      </c>
      <c r="N1411" s="21">
        <f t="shared" si="1011"/>
        <v>0</v>
      </c>
      <c r="O1411" s="21">
        <f t="shared" si="1011"/>
        <v>0</v>
      </c>
      <c r="P1411" s="21">
        <f t="shared" si="1011"/>
        <v>0</v>
      </c>
      <c r="Q1411" s="21">
        <f t="shared" si="1011"/>
        <v>0</v>
      </c>
      <c r="R1411" s="21">
        <f t="shared" si="1011"/>
        <v>0</v>
      </c>
      <c r="S1411" s="21">
        <f t="shared" si="1011"/>
        <v>0</v>
      </c>
      <c r="T1411" s="21">
        <f t="shared" si="1011"/>
        <v>0</v>
      </c>
      <c r="U1411" s="21">
        <f t="shared" si="1011"/>
        <v>0</v>
      </c>
      <c r="V1411" s="21">
        <f t="shared" si="1011"/>
        <v>0</v>
      </c>
      <c r="W1411" s="21">
        <f t="shared" si="1011"/>
        <v>0</v>
      </c>
      <c r="X1411" s="21">
        <f t="shared" si="1011"/>
        <v>0</v>
      </c>
      <c r="Y1411" s="21">
        <f t="shared" si="1011"/>
        <v>0</v>
      </c>
      <c r="Z1411" s="21">
        <f t="shared" si="1011"/>
        <v>0</v>
      </c>
      <c r="AA1411" s="21">
        <f t="shared" si="1011"/>
        <v>0</v>
      </c>
      <c r="AB1411" s="21">
        <f t="shared" si="1011"/>
        <v>0</v>
      </c>
      <c r="AC1411" s="21">
        <f t="shared" si="1011"/>
        <v>0</v>
      </c>
      <c r="AD1411" s="21">
        <f t="shared" si="1011"/>
        <v>0</v>
      </c>
      <c r="AE1411" s="21">
        <f t="shared" si="1011"/>
        <v>0</v>
      </c>
      <c r="AF1411" s="1"/>
    </row>
    <row r="1412" spans="3:32" x14ac:dyDescent="0.2">
      <c r="C1412" s="1" t="s">
        <v>475</v>
      </c>
      <c r="D1412" s="20"/>
      <c r="G1412" s="21">
        <f t="shared" si="999"/>
        <v>-12.168536276993446</v>
      </c>
      <c r="H1412" s="52"/>
      <c r="I1412" s="21">
        <f>-I1571</f>
        <v>-9.8466004862175804</v>
      </c>
      <c r="J1412" s="21">
        <f t="shared" ref="J1412:AE1412" si="1012">-J1571</f>
        <v>-2.0445363821433498</v>
      </c>
      <c r="K1412" s="21">
        <f>-K1571</f>
        <v>-0.27739940863251478</v>
      </c>
      <c r="L1412" s="21">
        <f t="shared" si="1012"/>
        <v>0</v>
      </c>
      <c r="M1412" s="21">
        <f t="shared" si="1012"/>
        <v>0</v>
      </c>
      <c r="N1412" s="21">
        <f t="shared" si="1012"/>
        <v>0</v>
      </c>
      <c r="O1412" s="21">
        <f t="shared" si="1012"/>
        <v>0</v>
      </c>
      <c r="P1412" s="21">
        <f t="shared" si="1012"/>
        <v>0</v>
      </c>
      <c r="Q1412" s="21">
        <f t="shared" si="1012"/>
        <v>0</v>
      </c>
      <c r="R1412" s="21">
        <f t="shared" si="1012"/>
        <v>0</v>
      </c>
      <c r="S1412" s="21">
        <f t="shared" si="1012"/>
        <v>0</v>
      </c>
      <c r="T1412" s="21">
        <f t="shared" si="1012"/>
        <v>0</v>
      </c>
      <c r="U1412" s="21">
        <f t="shared" si="1012"/>
        <v>0</v>
      </c>
      <c r="V1412" s="21">
        <f t="shared" si="1012"/>
        <v>0</v>
      </c>
      <c r="W1412" s="21">
        <f t="shared" si="1012"/>
        <v>0</v>
      </c>
      <c r="X1412" s="21">
        <f t="shared" si="1012"/>
        <v>0</v>
      </c>
      <c r="Y1412" s="21">
        <f t="shared" si="1012"/>
        <v>0</v>
      </c>
      <c r="Z1412" s="21">
        <f t="shared" si="1012"/>
        <v>0</v>
      </c>
      <c r="AA1412" s="21">
        <f t="shared" si="1012"/>
        <v>0</v>
      </c>
      <c r="AB1412" s="21">
        <f t="shared" si="1012"/>
        <v>0</v>
      </c>
      <c r="AC1412" s="21">
        <f t="shared" si="1012"/>
        <v>0</v>
      </c>
      <c r="AD1412" s="21">
        <f t="shared" si="1012"/>
        <v>0</v>
      </c>
      <c r="AE1412" s="21">
        <f t="shared" si="1012"/>
        <v>0</v>
      </c>
      <c r="AF1412" s="1"/>
    </row>
    <row r="1413" spans="3:32" x14ac:dyDescent="0.2">
      <c r="C1413" s="1" t="s">
        <v>476</v>
      </c>
      <c r="D1413" s="20"/>
      <c r="G1413" s="21">
        <f t="shared" si="999"/>
        <v>46.857274194108598</v>
      </c>
      <c r="H1413" s="52"/>
      <c r="I1413" s="21">
        <f t="shared" ref="I1413:AE1413" si="1013">I947</f>
        <v>0</v>
      </c>
      <c r="J1413" s="21">
        <f t="shared" si="1013"/>
        <v>0</v>
      </c>
      <c r="K1413" s="21">
        <f t="shared" si="1013"/>
        <v>17.57147782279073</v>
      </c>
      <c r="L1413" s="21">
        <f t="shared" si="1013"/>
        <v>5.8571592742635694</v>
      </c>
      <c r="M1413" s="21">
        <f t="shared" si="1013"/>
        <v>23.428637097054299</v>
      </c>
      <c r="N1413" s="21">
        <f t="shared" si="1013"/>
        <v>0</v>
      </c>
      <c r="O1413" s="21">
        <f t="shared" si="1013"/>
        <v>0</v>
      </c>
      <c r="P1413" s="21">
        <f t="shared" si="1013"/>
        <v>0</v>
      </c>
      <c r="Q1413" s="21">
        <f t="shared" si="1013"/>
        <v>0</v>
      </c>
      <c r="R1413" s="21">
        <f t="shared" si="1013"/>
        <v>0</v>
      </c>
      <c r="S1413" s="21">
        <f t="shared" si="1013"/>
        <v>0</v>
      </c>
      <c r="T1413" s="21">
        <f t="shared" si="1013"/>
        <v>0</v>
      </c>
      <c r="U1413" s="21">
        <f t="shared" si="1013"/>
        <v>0</v>
      </c>
      <c r="V1413" s="21">
        <f t="shared" si="1013"/>
        <v>0</v>
      </c>
      <c r="W1413" s="21">
        <f t="shared" si="1013"/>
        <v>0</v>
      </c>
      <c r="X1413" s="21">
        <f t="shared" si="1013"/>
        <v>0</v>
      </c>
      <c r="Y1413" s="21">
        <f t="shared" si="1013"/>
        <v>0</v>
      </c>
      <c r="Z1413" s="21">
        <f t="shared" si="1013"/>
        <v>0</v>
      </c>
      <c r="AA1413" s="21">
        <f t="shared" si="1013"/>
        <v>0</v>
      </c>
      <c r="AB1413" s="21">
        <f t="shared" si="1013"/>
        <v>0</v>
      </c>
      <c r="AC1413" s="21">
        <f t="shared" si="1013"/>
        <v>0</v>
      </c>
      <c r="AD1413" s="21">
        <f t="shared" si="1013"/>
        <v>0</v>
      </c>
      <c r="AE1413" s="21">
        <f t="shared" si="1013"/>
        <v>0</v>
      </c>
      <c r="AF1413" s="1"/>
    </row>
    <row r="1414" spans="3:32" x14ac:dyDescent="0.2">
      <c r="C1414" s="1" t="s">
        <v>477</v>
      </c>
      <c r="D1414" s="20"/>
      <c r="G1414" s="21">
        <f t="shared" si="999"/>
        <v>0</v>
      </c>
      <c r="H1414" s="52"/>
      <c r="I1414" s="21">
        <f t="shared" ref="I1414:AE1414" si="1014">I948</f>
        <v>0</v>
      </c>
      <c r="J1414" s="21">
        <f t="shared" si="1014"/>
        <v>0</v>
      </c>
      <c r="K1414" s="21">
        <f t="shared" si="1014"/>
        <v>0</v>
      </c>
      <c r="L1414" s="21">
        <f t="shared" si="1014"/>
        <v>0</v>
      </c>
      <c r="M1414" s="21">
        <f t="shared" si="1014"/>
        <v>0</v>
      </c>
      <c r="N1414" s="21">
        <f t="shared" si="1014"/>
        <v>0</v>
      </c>
      <c r="O1414" s="21">
        <f t="shared" si="1014"/>
        <v>0</v>
      </c>
      <c r="P1414" s="21">
        <f t="shared" si="1014"/>
        <v>0</v>
      </c>
      <c r="Q1414" s="21">
        <f t="shared" si="1014"/>
        <v>0</v>
      </c>
      <c r="R1414" s="21">
        <f t="shared" si="1014"/>
        <v>0</v>
      </c>
      <c r="S1414" s="21">
        <f t="shared" si="1014"/>
        <v>0</v>
      </c>
      <c r="T1414" s="21">
        <f t="shared" si="1014"/>
        <v>0</v>
      </c>
      <c r="U1414" s="21">
        <f t="shared" si="1014"/>
        <v>0</v>
      </c>
      <c r="V1414" s="21">
        <f t="shared" si="1014"/>
        <v>0</v>
      </c>
      <c r="W1414" s="21">
        <f t="shared" si="1014"/>
        <v>0</v>
      </c>
      <c r="X1414" s="21">
        <f t="shared" si="1014"/>
        <v>0</v>
      </c>
      <c r="Y1414" s="21">
        <f t="shared" si="1014"/>
        <v>0</v>
      </c>
      <c r="Z1414" s="21">
        <f t="shared" si="1014"/>
        <v>0</v>
      </c>
      <c r="AA1414" s="21">
        <f t="shared" si="1014"/>
        <v>0</v>
      </c>
      <c r="AB1414" s="21">
        <f t="shared" si="1014"/>
        <v>0</v>
      </c>
      <c r="AC1414" s="21">
        <f t="shared" si="1014"/>
        <v>0</v>
      </c>
      <c r="AD1414" s="21">
        <f t="shared" si="1014"/>
        <v>0</v>
      </c>
      <c r="AE1414" s="21">
        <f t="shared" si="1014"/>
        <v>0</v>
      </c>
      <c r="AF1414" s="1"/>
    </row>
    <row r="1415" spans="3:32" x14ac:dyDescent="0.2">
      <c r="C1415" s="1" t="s">
        <v>478</v>
      </c>
      <c r="D1415" s="20"/>
      <c r="G1415" s="21">
        <f t="shared" si="999"/>
        <v>-71.537539464460735</v>
      </c>
      <c r="H1415" s="52"/>
      <c r="I1415" s="21">
        <f t="shared" ref="I1415:AE1415" si="1015">-I951</f>
        <v>0</v>
      </c>
      <c r="J1415" s="21">
        <f t="shared" si="1015"/>
        <v>0</v>
      </c>
      <c r="K1415" s="21">
        <f t="shared" si="1015"/>
        <v>-0.39824532786748684</v>
      </c>
      <c r="L1415" s="21">
        <f t="shared" si="1015"/>
        <v>-0.85338284543032894</v>
      </c>
      <c r="M1415" s="21">
        <f t="shared" si="1015"/>
        <v>-2.8114364516465162</v>
      </c>
      <c r="N1415" s="21">
        <f t="shared" si="1015"/>
        <v>-3.748581935528688</v>
      </c>
      <c r="O1415" s="21">
        <f t="shared" si="1015"/>
        <v>-3.748581935528688</v>
      </c>
      <c r="P1415" s="21">
        <f t="shared" si="1015"/>
        <v>-3.748581935528688</v>
      </c>
      <c r="Q1415" s="21">
        <f t="shared" si="1015"/>
        <v>-3.748581935528688</v>
      </c>
      <c r="R1415" s="21">
        <f t="shared" si="1015"/>
        <v>-3.748581935528688</v>
      </c>
      <c r="S1415" s="21">
        <f t="shared" si="1015"/>
        <v>-3.748581935528688</v>
      </c>
      <c r="T1415" s="21">
        <f t="shared" si="1015"/>
        <v>-3.748581935528688</v>
      </c>
      <c r="U1415" s="21">
        <f t="shared" si="1015"/>
        <v>-3.748581935528688</v>
      </c>
      <c r="V1415" s="21">
        <f t="shared" si="1015"/>
        <v>-3.748581935528688</v>
      </c>
      <c r="W1415" s="21">
        <f t="shared" si="1015"/>
        <v>-3.748581935528688</v>
      </c>
      <c r="X1415" s="21">
        <f t="shared" si="1015"/>
        <v>-3.748581935528688</v>
      </c>
      <c r="Y1415" s="21">
        <f t="shared" si="1015"/>
        <v>-3.748581935528688</v>
      </c>
      <c r="Z1415" s="21">
        <f t="shared" si="1015"/>
        <v>-3.748581935528688</v>
      </c>
      <c r="AA1415" s="21">
        <f t="shared" si="1015"/>
        <v>-3.748581935528688</v>
      </c>
      <c r="AB1415" s="21">
        <f t="shared" si="1015"/>
        <v>-3.748581935528688</v>
      </c>
      <c r="AC1415" s="21">
        <f t="shared" si="1015"/>
        <v>-3.748581935528688</v>
      </c>
      <c r="AD1415" s="21">
        <f t="shared" si="1015"/>
        <v>-3.748581935528688</v>
      </c>
      <c r="AE1415" s="21">
        <f t="shared" si="1015"/>
        <v>-3.748581935528688</v>
      </c>
      <c r="AF1415" s="1"/>
    </row>
    <row r="1416" spans="3:32" x14ac:dyDescent="0.2">
      <c r="C1416" s="1" t="s">
        <v>769</v>
      </c>
      <c r="D1416" s="20"/>
      <c r="G1416" s="21">
        <f t="shared" si="999"/>
        <v>0</v>
      </c>
      <c r="H1416" s="52"/>
      <c r="I1416" s="21">
        <f>I1639</f>
        <v>0</v>
      </c>
      <c r="J1416" s="21">
        <f t="shared" ref="J1416:AE1416" si="1016">J1639</f>
        <v>0</v>
      </c>
      <c r="K1416" s="21">
        <f t="shared" si="1016"/>
        <v>0</v>
      </c>
      <c r="L1416" s="21">
        <f t="shared" si="1016"/>
        <v>0</v>
      </c>
      <c r="M1416" s="21">
        <f t="shared" si="1016"/>
        <v>0</v>
      </c>
      <c r="N1416" s="21">
        <f t="shared" si="1016"/>
        <v>0</v>
      </c>
      <c r="O1416" s="21">
        <f t="shared" si="1016"/>
        <v>0</v>
      </c>
      <c r="P1416" s="21">
        <f t="shared" si="1016"/>
        <v>0</v>
      </c>
      <c r="Q1416" s="21">
        <f t="shared" si="1016"/>
        <v>0</v>
      </c>
      <c r="R1416" s="21">
        <f t="shared" si="1016"/>
        <v>0</v>
      </c>
      <c r="S1416" s="21">
        <f t="shared" si="1016"/>
        <v>0</v>
      </c>
      <c r="T1416" s="21">
        <f t="shared" si="1016"/>
        <v>0</v>
      </c>
      <c r="U1416" s="21">
        <f t="shared" si="1016"/>
        <v>0</v>
      </c>
      <c r="V1416" s="21">
        <f t="shared" si="1016"/>
        <v>0</v>
      </c>
      <c r="W1416" s="21">
        <f t="shared" si="1016"/>
        <v>0</v>
      </c>
      <c r="X1416" s="21">
        <f t="shared" si="1016"/>
        <v>0</v>
      </c>
      <c r="Y1416" s="21">
        <f t="shared" si="1016"/>
        <v>0</v>
      </c>
      <c r="Z1416" s="21">
        <f t="shared" si="1016"/>
        <v>0</v>
      </c>
      <c r="AA1416" s="21">
        <f t="shared" si="1016"/>
        <v>0</v>
      </c>
      <c r="AB1416" s="21">
        <f t="shared" si="1016"/>
        <v>0</v>
      </c>
      <c r="AC1416" s="21">
        <f t="shared" si="1016"/>
        <v>0</v>
      </c>
      <c r="AD1416" s="21">
        <f t="shared" si="1016"/>
        <v>0</v>
      </c>
      <c r="AE1416" s="21">
        <f t="shared" si="1016"/>
        <v>0</v>
      </c>
      <c r="AF1416" s="1"/>
    </row>
    <row r="1417" spans="3:32" x14ac:dyDescent="0.2">
      <c r="C1417" s="1" t="s">
        <v>770</v>
      </c>
      <c r="D1417" s="20"/>
      <c r="G1417" s="21">
        <f t="shared" si="999"/>
        <v>0</v>
      </c>
      <c r="H1417" s="52"/>
      <c r="I1417" s="21">
        <f>I1640</f>
        <v>0</v>
      </c>
      <c r="J1417" s="21">
        <f t="shared" ref="J1417:AE1417" si="1017">J1640</f>
        <v>0</v>
      </c>
      <c r="K1417" s="21">
        <f t="shared" si="1017"/>
        <v>0</v>
      </c>
      <c r="L1417" s="21">
        <f t="shared" si="1017"/>
        <v>0</v>
      </c>
      <c r="M1417" s="21">
        <f t="shared" si="1017"/>
        <v>0</v>
      </c>
      <c r="N1417" s="21">
        <f t="shared" si="1017"/>
        <v>0</v>
      </c>
      <c r="O1417" s="21">
        <f t="shared" si="1017"/>
        <v>0</v>
      </c>
      <c r="P1417" s="21">
        <f t="shared" si="1017"/>
        <v>0</v>
      </c>
      <c r="Q1417" s="21">
        <f t="shared" si="1017"/>
        <v>0</v>
      </c>
      <c r="R1417" s="21">
        <f t="shared" si="1017"/>
        <v>0</v>
      </c>
      <c r="S1417" s="21">
        <f t="shared" si="1017"/>
        <v>0</v>
      </c>
      <c r="T1417" s="21">
        <f t="shared" si="1017"/>
        <v>0</v>
      </c>
      <c r="U1417" s="21">
        <f t="shared" si="1017"/>
        <v>0</v>
      </c>
      <c r="V1417" s="21">
        <f t="shared" si="1017"/>
        <v>0</v>
      </c>
      <c r="W1417" s="21">
        <f t="shared" si="1017"/>
        <v>0</v>
      </c>
      <c r="X1417" s="21">
        <f t="shared" si="1017"/>
        <v>0</v>
      </c>
      <c r="Y1417" s="21">
        <f t="shared" si="1017"/>
        <v>0</v>
      </c>
      <c r="Z1417" s="21">
        <f t="shared" si="1017"/>
        <v>0</v>
      </c>
      <c r="AA1417" s="21">
        <f t="shared" si="1017"/>
        <v>0</v>
      </c>
      <c r="AB1417" s="21">
        <f t="shared" si="1017"/>
        <v>0</v>
      </c>
      <c r="AC1417" s="21">
        <f t="shared" si="1017"/>
        <v>0</v>
      </c>
      <c r="AD1417" s="21">
        <f t="shared" si="1017"/>
        <v>0</v>
      </c>
      <c r="AE1417" s="21">
        <f t="shared" si="1017"/>
        <v>0</v>
      </c>
      <c r="AF1417" s="1"/>
    </row>
    <row r="1418" spans="3:32" x14ac:dyDescent="0.2">
      <c r="C1418" s="1" t="s">
        <v>771</v>
      </c>
      <c r="D1418" s="20"/>
      <c r="G1418" s="21">
        <f t="shared" si="999"/>
        <v>0</v>
      </c>
      <c r="H1418" s="52"/>
      <c r="I1418" s="21">
        <f>-I1643</f>
        <v>0</v>
      </c>
      <c r="J1418" s="21">
        <f t="shared" ref="J1418:AE1418" si="1018">-J1643</f>
        <v>0</v>
      </c>
      <c r="K1418" s="21">
        <f t="shared" si="1018"/>
        <v>0</v>
      </c>
      <c r="L1418" s="21">
        <f t="shared" si="1018"/>
        <v>0</v>
      </c>
      <c r="M1418" s="21">
        <f t="shared" si="1018"/>
        <v>0</v>
      </c>
      <c r="N1418" s="21">
        <f t="shared" si="1018"/>
        <v>0</v>
      </c>
      <c r="O1418" s="21">
        <f t="shared" si="1018"/>
        <v>0</v>
      </c>
      <c r="P1418" s="21">
        <f t="shared" si="1018"/>
        <v>0</v>
      </c>
      <c r="Q1418" s="21">
        <f t="shared" si="1018"/>
        <v>0</v>
      </c>
      <c r="R1418" s="21">
        <f t="shared" si="1018"/>
        <v>0</v>
      </c>
      <c r="S1418" s="21">
        <f t="shared" si="1018"/>
        <v>0</v>
      </c>
      <c r="T1418" s="21">
        <f t="shared" si="1018"/>
        <v>0</v>
      </c>
      <c r="U1418" s="21">
        <f t="shared" si="1018"/>
        <v>0</v>
      </c>
      <c r="V1418" s="21">
        <f t="shared" si="1018"/>
        <v>0</v>
      </c>
      <c r="W1418" s="21">
        <f t="shared" si="1018"/>
        <v>0</v>
      </c>
      <c r="X1418" s="21">
        <f t="shared" si="1018"/>
        <v>0</v>
      </c>
      <c r="Y1418" s="21">
        <f t="shared" si="1018"/>
        <v>0</v>
      </c>
      <c r="Z1418" s="21">
        <f t="shared" si="1018"/>
        <v>0</v>
      </c>
      <c r="AA1418" s="21">
        <f t="shared" si="1018"/>
        <v>0</v>
      </c>
      <c r="AB1418" s="21">
        <f t="shared" si="1018"/>
        <v>0</v>
      </c>
      <c r="AC1418" s="21">
        <f t="shared" si="1018"/>
        <v>0</v>
      </c>
      <c r="AD1418" s="21">
        <f t="shared" si="1018"/>
        <v>0</v>
      </c>
      <c r="AE1418" s="21">
        <f t="shared" si="1018"/>
        <v>0</v>
      </c>
      <c r="AF1418" s="1"/>
    </row>
    <row r="1419" spans="3:32" x14ac:dyDescent="0.2">
      <c r="C1419" s="1" t="s">
        <v>772</v>
      </c>
      <c r="D1419" s="20"/>
      <c r="G1419" s="21">
        <f t="shared" si="999"/>
        <v>-0.57980024272866759</v>
      </c>
      <c r="H1419" s="52"/>
      <c r="I1419" s="21">
        <f>-I1654</f>
        <v>-0.23192009709146702</v>
      </c>
      <c r="J1419" s="21">
        <f t="shared" ref="J1419:AE1419" si="1019">-J1654</f>
        <v>-0.23192009709146702</v>
      </c>
      <c r="K1419" s="21">
        <f t="shared" si="1019"/>
        <v>-0.11596004854573351</v>
      </c>
      <c r="L1419" s="21">
        <f t="shared" si="1019"/>
        <v>0</v>
      </c>
      <c r="M1419" s="21">
        <f t="shared" si="1019"/>
        <v>0</v>
      </c>
      <c r="N1419" s="21">
        <f t="shared" si="1019"/>
        <v>0</v>
      </c>
      <c r="O1419" s="21">
        <f t="shared" si="1019"/>
        <v>0</v>
      </c>
      <c r="P1419" s="21">
        <f t="shared" si="1019"/>
        <v>0</v>
      </c>
      <c r="Q1419" s="21">
        <f t="shared" si="1019"/>
        <v>0</v>
      </c>
      <c r="R1419" s="21">
        <f t="shared" si="1019"/>
        <v>0</v>
      </c>
      <c r="S1419" s="21">
        <f t="shared" si="1019"/>
        <v>0</v>
      </c>
      <c r="T1419" s="21">
        <f t="shared" si="1019"/>
        <v>0</v>
      </c>
      <c r="U1419" s="21">
        <f t="shared" si="1019"/>
        <v>0</v>
      </c>
      <c r="V1419" s="21">
        <f t="shared" si="1019"/>
        <v>0</v>
      </c>
      <c r="W1419" s="21">
        <f t="shared" si="1019"/>
        <v>0</v>
      </c>
      <c r="X1419" s="21">
        <f t="shared" si="1019"/>
        <v>0</v>
      </c>
      <c r="Y1419" s="21">
        <f t="shared" si="1019"/>
        <v>0</v>
      </c>
      <c r="Z1419" s="21">
        <f t="shared" si="1019"/>
        <v>0</v>
      </c>
      <c r="AA1419" s="21">
        <f t="shared" si="1019"/>
        <v>0</v>
      </c>
      <c r="AB1419" s="21">
        <f t="shared" si="1019"/>
        <v>0</v>
      </c>
      <c r="AC1419" s="21">
        <f t="shared" si="1019"/>
        <v>0</v>
      </c>
      <c r="AD1419" s="21">
        <f t="shared" si="1019"/>
        <v>0</v>
      </c>
      <c r="AE1419" s="21">
        <f t="shared" si="1019"/>
        <v>0</v>
      </c>
      <c r="AF1419" s="1"/>
    </row>
    <row r="1420" spans="3:32" x14ac:dyDescent="0.2">
      <c r="C1420" s="9" t="s">
        <v>237</v>
      </c>
      <c r="D1420" s="20"/>
      <c r="E1420" s="9"/>
      <c r="F1420" s="9"/>
      <c r="G1420" s="44">
        <f t="shared" si="999"/>
        <v>1680.5802731453962</v>
      </c>
      <c r="H1420" s="53"/>
      <c r="I1420" s="44">
        <f t="shared" ref="I1420:AE1420" si="1020">SUM(I1399:I1419)</f>
        <v>-24.996112789140177</v>
      </c>
      <c r="J1420" s="44">
        <f t="shared" si="1020"/>
        <v>-81.497117946645574</v>
      </c>
      <c r="K1420" s="44">
        <f t="shared" si="1020"/>
        <v>-18.60789240385234</v>
      </c>
      <c r="L1420" s="44">
        <f t="shared" si="1020"/>
        <v>52.022609891204013</v>
      </c>
      <c r="M1420" s="44">
        <f t="shared" si="1020"/>
        <v>104.76230771998935</v>
      </c>
      <c r="N1420" s="44">
        <f t="shared" si="1020"/>
        <v>99.392620884165851</v>
      </c>
      <c r="O1420" s="44">
        <f t="shared" si="1020"/>
        <v>99.392620884165822</v>
      </c>
      <c r="P1420" s="44">
        <f t="shared" si="1020"/>
        <v>96.440906230046025</v>
      </c>
      <c r="Q1420" s="44">
        <f t="shared" si="1020"/>
        <v>80.915231431514414</v>
      </c>
      <c r="R1420" s="44">
        <f t="shared" si="1020"/>
        <v>69.606555205613589</v>
      </c>
      <c r="S1420" s="44">
        <f t="shared" si="1020"/>
        <v>67.849165284603615</v>
      </c>
      <c r="T1420" s="44">
        <f t="shared" si="1020"/>
        <v>66.508093989927104</v>
      </c>
      <c r="U1420" s="44">
        <f t="shared" si="1020"/>
        <v>100.52437598076672</v>
      </c>
      <c r="V1420" s="44">
        <f t="shared" si="1020"/>
        <v>99.556776176868624</v>
      </c>
      <c r="W1420" s="44">
        <f t="shared" si="1020"/>
        <v>98.127584159794466</v>
      </c>
      <c r="X1420" s="44">
        <f t="shared" si="1020"/>
        <v>96.761760692502648</v>
      </c>
      <c r="Y1420" s="44">
        <f t="shared" si="1020"/>
        <v>96.474598043854073</v>
      </c>
      <c r="Z1420" s="44">
        <f t="shared" si="1020"/>
        <v>96.360312613691889</v>
      </c>
      <c r="AA1420" s="44">
        <f t="shared" si="1020"/>
        <v>96.280312812578373</v>
      </c>
      <c r="AB1420" s="44">
        <f t="shared" si="1020"/>
        <v>96.224312951798893</v>
      </c>
      <c r="AC1420" s="44">
        <f t="shared" si="1020"/>
        <v>96.185113049253275</v>
      </c>
      <c r="AD1420" s="44">
        <f t="shared" si="1020"/>
        <v>96.157673117471333</v>
      </c>
      <c r="AE1420" s="44">
        <f t="shared" si="1020"/>
        <v>96.138465165223963</v>
      </c>
      <c r="AF1420" s="1"/>
    </row>
    <row r="1421" spans="3:32" x14ac:dyDescent="0.2">
      <c r="C1421" s="20"/>
      <c r="D1421" s="20"/>
      <c r="H1421" s="5"/>
      <c r="I1421" s="53"/>
      <c r="J1421" s="53"/>
      <c r="K1421" s="53"/>
      <c r="L1421" s="53"/>
      <c r="M1421" s="53"/>
      <c r="N1421" s="53"/>
      <c r="O1421" s="53"/>
      <c r="P1421" s="53"/>
      <c r="Q1421" s="53"/>
      <c r="R1421" s="53"/>
      <c r="S1421" s="53"/>
      <c r="T1421" s="53"/>
      <c r="U1421" s="53"/>
      <c r="V1421" s="53"/>
      <c r="W1421" s="53"/>
      <c r="X1421" s="53"/>
      <c r="Y1421" s="53"/>
      <c r="Z1421" s="53"/>
      <c r="AA1421" s="53"/>
      <c r="AB1421" s="53"/>
      <c r="AC1421" s="53"/>
      <c r="AD1421" s="53"/>
      <c r="AE1421" s="53"/>
      <c r="AF1421" s="1"/>
    </row>
    <row r="1422" spans="3:32" x14ac:dyDescent="0.2">
      <c r="C1422" s="20" t="s">
        <v>176</v>
      </c>
      <c r="D1422" s="20"/>
      <c r="E1422" s="153">
        <v>8.8800000000000004E-2</v>
      </c>
      <c r="F1422" s="9" t="s">
        <v>55</v>
      </c>
      <c r="G1422" s="68">
        <f>NPV(E1422,I1420:AE1420)</f>
        <v>520.99955244429555</v>
      </c>
      <c r="H1422" s="503"/>
      <c r="I1422" s="21"/>
      <c r="J1422" s="21"/>
      <c r="AF1422" s="1"/>
    </row>
    <row r="1423" spans="3:32" x14ac:dyDescent="0.2">
      <c r="C1423" s="20" t="s">
        <v>177</v>
      </c>
      <c r="D1423" s="20"/>
      <c r="F1423" s="9" t="s">
        <v>8</v>
      </c>
      <c r="G1423" s="73">
        <f>IRR(I1420:AE1420)</f>
        <v>0.43961061399240364</v>
      </c>
      <c r="H1423" s="504"/>
      <c r="AF1423" s="1"/>
    </row>
    <row r="1424" spans="3:32" x14ac:dyDescent="0.2">
      <c r="C1424" s="20" t="s">
        <v>308</v>
      </c>
      <c r="D1424" s="20"/>
      <c r="F1424" s="9" t="s">
        <v>116</v>
      </c>
      <c r="G1424" s="53">
        <f>SUM(I1424:AE1424)</f>
        <v>1.697564943335915</v>
      </c>
      <c r="H1424" s="53"/>
      <c r="I1424" s="21">
        <f>((SUM($I$1420:I1420)&lt;0)*1-AND(SUM($I$1420:I1420)&gt;0,SUM($H$1420:H1420)&lt;0)*1*SUM($H$1420:H1420)/I1420)*(I2&gt;0)</f>
        <v>0</v>
      </c>
      <c r="J1424" s="52">
        <f>((SUM($I$1420:J1420)&lt;0)*1-AND(SUM($I$1420:J1420)&gt;0,SUM($H$1420:I1420)&lt;0)*1*SUM($H$1420:I1420)/J1420)*(J2&gt;0)</f>
        <v>0</v>
      </c>
      <c r="K1424" s="21">
        <f>((SUM($I$1420:K1420)&lt;0)*1-AND(SUM($I$1420:K1420)&gt;0,SUM($H$1420:J1420)&lt;0)*1*SUM($H$1420:J1420)/K1420)*(K2&gt;0)</f>
        <v>0</v>
      </c>
      <c r="L1424" s="21">
        <f>((SUM($I$1420:L1420)&lt;0)*1-AND(SUM($I$1420:L1420)&gt;0,SUM($H$1420:K1420)&lt;0)*1*SUM($H$1420:K1420)/L1420)*(L2&gt;0)</f>
        <v>1</v>
      </c>
      <c r="M1424" s="21">
        <f>((SUM($I$1420:M1420)&lt;0)*1-AND(SUM($I$1420:M1420)&gt;0,SUM($H$1420:L1420)&lt;0)*1*SUM($H$1420:L1420)/M1420)*(M2&gt;0)</f>
        <v>0.69756494333591501</v>
      </c>
      <c r="N1424" s="21">
        <f>((SUM($I$1420:N1420)&lt;0)*1-AND(SUM($I$1420:N1420)&gt;0,SUM($H$1420:M1420)&lt;0)*1*SUM($H$1420:M1420)/N1420)*(N2&gt;0)</f>
        <v>0</v>
      </c>
      <c r="O1424" s="21">
        <f>((SUM($I$1420:O1420)&lt;0)*1-AND(SUM($I$1420:O1420)&gt;0,SUM($H$1420:N1420)&lt;0)*1*SUM($H$1420:N1420)/O1420)*(O2&gt;0)</f>
        <v>0</v>
      </c>
      <c r="P1424" s="21">
        <f>((SUM($I$1420:P1420)&lt;0)*1-AND(SUM($I$1420:P1420)&gt;0,SUM($H$1420:O1420)&lt;0)*1*SUM($H$1420:O1420)/P1420)*(P2&gt;0)</f>
        <v>0</v>
      </c>
      <c r="Q1424" s="21">
        <f>((SUM($I$1420:Q1420)&lt;0)*1-AND(SUM($I$1420:Q1420)&gt;0,SUM($H$1420:P1420)&lt;0)*1*SUM($H$1420:P1420)/Q1420)*(Q2&gt;0)</f>
        <v>0</v>
      </c>
      <c r="R1424" s="21">
        <f>((SUM($I$1420:R1420)&lt;0)*1-AND(SUM($I$1420:R1420)&gt;0,SUM($H$1420:Q1420)&lt;0)*1*SUM($H$1420:Q1420)/R1420)*(R2&gt;0)</f>
        <v>0</v>
      </c>
      <c r="S1424" s="21">
        <f>((SUM($I$1420:S1420)&lt;0)*1-AND(SUM($I$1420:S1420)&gt;0,SUM($H$1420:R1420)&lt;0)*1*SUM($H$1420:R1420)/S1420)*(S2&gt;0)</f>
        <v>0</v>
      </c>
      <c r="T1424" s="21">
        <f>((SUM($I$1420:T1420)&lt;0)*1-AND(SUM($I$1420:T1420)&gt;0,SUM($H$1420:S1420)&lt;0)*1*SUM($H$1420:S1420)/T1420)*(T2&gt;0)</f>
        <v>0</v>
      </c>
      <c r="U1424" s="21">
        <f>((SUM($I$1420:U1420)&lt;0)*1-AND(SUM($I$1420:U1420)&gt;0,SUM($H$1420:T1420)&lt;0)*1*SUM($H$1420:T1420)/U1420)*(U2&gt;0)</f>
        <v>0</v>
      </c>
      <c r="V1424" s="21">
        <f>((SUM($I$1420:V1420)&lt;0)*1-AND(SUM($I$1420:V1420)&gt;0,SUM($H$1420:U1420)&lt;0)*1*SUM($H$1420:U1420)/V1420)*(V2&gt;0)</f>
        <v>0</v>
      </c>
      <c r="W1424" s="21">
        <f>((SUM($I$1420:W1420)&lt;0)*1-AND(SUM($I$1420:W1420)&gt;0,SUM($H$1420:V1420)&lt;0)*1*SUM($H$1420:V1420)/W1420)*(W2&gt;0)</f>
        <v>0</v>
      </c>
      <c r="X1424" s="21">
        <f>((SUM($I$1420:X1420)&lt;0)*1-AND(SUM($I$1420:X1420)&gt;0,SUM($H$1420:W1420)&lt;0)*1*SUM($H$1420:W1420)/X1420)*(X2&gt;0)</f>
        <v>0</v>
      </c>
      <c r="Y1424" s="21">
        <f>((SUM($I$1420:Y1420)&lt;0)*1-AND(SUM($I$1420:Y1420)&gt;0,SUM($H$1420:X1420)&lt;0)*1*SUM($H$1420:X1420)/Y1420)*(Y2&gt;0)</f>
        <v>0</v>
      </c>
      <c r="Z1424" s="21">
        <f>((SUM($I$1420:Z1420)&lt;0)*1-AND(SUM($I$1420:Z1420)&gt;0,SUM($H$1420:Y1420)&lt;0)*1*SUM($H$1420:Y1420)/Z1420)*(Z2&gt;0)</f>
        <v>0</v>
      </c>
      <c r="AA1424" s="21">
        <f>((SUM($I$1420:AA1420)&lt;0)*1-AND(SUM($I$1420:AA1420)&gt;0,SUM($H$1420:Z1420)&lt;0)*1*SUM($H$1420:Z1420)/AA1420)*(AA2&gt;0)</f>
        <v>0</v>
      </c>
      <c r="AB1424" s="21">
        <f>((SUM($I$1420:AB1420)&lt;0)*1-AND(SUM($I$1420:AB1420)&gt;0,SUM($H$1420:AA1420)&lt;0)*1*SUM($H$1420:AA1420)/AB1420)*(AB2&gt;0)</f>
        <v>0</v>
      </c>
      <c r="AC1424" s="21">
        <f>((SUM($I$1420:AC1420)&lt;0)*1-AND(SUM($I$1420:AC1420)&gt;0,SUM($H$1420:AB1420)&lt;0)*1*SUM($H$1420:AB1420)/AC1420)*(AC2&gt;0)</f>
        <v>0</v>
      </c>
      <c r="AD1424" s="21">
        <f>((SUM($I$1420:AD1420)&lt;0)*1-AND(SUM($I$1420:AD1420)&gt;0,SUM($H$1420:AC1420)&lt;0)*1*SUM($H$1420:AC1420)/AD1420)*(AD2&gt;0)</f>
        <v>0</v>
      </c>
      <c r="AE1424" s="21">
        <f>((SUM($I$1420:AE1420)&lt;0)*1-AND(SUM($I$1420:AE1420)&gt;0,SUM($H$1420:AD1420)&lt;0)*1*SUM($H$1420:AD1420)/AE1420)*(AE2&gt;0)</f>
        <v>0</v>
      </c>
      <c r="AF1424" s="1"/>
    </row>
    <row r="1425" spans="1:37" x14ac:dyDescent="0.2">
      <c r="A1425" s="5"/>
      <c r="C1425" s="20"/>
      <c r="D1425" s="20"/>
      <c r="H1425" s="5"/>
      <c r="AF1425" s="1"/>
    </row>
    <row r="1426" spans="1:37" x14ac:dyDescent="0.2">
      <c r="C1426" s="20"/>
      <c r="D1426" s="20"/>
      <c r="H1426" s="5"/>
      <c r="AF1426" s="1"/>
    </row>
    <row r="1427" spans="1:37" x14ac:dyDescent="0.2">
      <c r="C1427" s="5" t="s">
        <v>180</v>
      </c>
      <c r="D1427" s="20"/>
      <c r="E1427" s="92">
        <f>E1389</f>
        <v>5</v>
      </c>
      <c r="H1427" s="5"/>
      <c r="I1427" s="21">
        <f t="shared" ref="I1427:AE1427" si="1021">I1389</f>
        <v>0</v>
      </c>
      <c r="J1427" s="21">
        <f t="shared" si="1021"/>
        <v>0</v>
      </c>
      <c r="K1427" s="21">
        <f t="shared" si="1021"/>
        <v>0</v>
      </c>
      <c r="L1427" s="21">
        <f t="shared" si="1021"/>
        <v>0</v>
      </c>
      <c r="M1427" s="21">
        <f t="shared" si="1021"/>
        <v>0</v>
      </c>
      <c r="N1427" s="21">
        <f t="shared" si="1021"/>
        <v>0</v>
      </c>
      <c r="O1427" s="21">
        <f t="shared" si="1021"/>
        <v>0</v>
      </c>
      <c r="P1427" s="21">
        <f t="shared" si="1021"/>
        <v>1</v>
      </c>
      <c r="Q1427" s="21">
        <f t="shared" si="1021"/>
        <v>0</v>
      </c>
      <c r="R1427" s="21">
        <f t="shared" si="1021"/>
        <v>0</v>
      </c>
      <c r="S1427" s="21">
        <f t="shared" si="1021"/>
        <v>0</v>
      </c>
      <c r="T1427" s="21">
        <f t="shared" si="1021"/>
        <v>0</v>
      </c>
      <c r="U1427" s="21">
        <f t="shared" si="1021"/>
        <v>0</v>
      </c>
      <c r="V1427" s="21">
        <f t="shared" si="1021"/>
        <v>0</v>
      </c>
      <c r="W1427" s="21">
        <f t="shared" si="1021"/>
        <v>0</v>
      </c>
      <c r="X1427" s="21">
        <f t="shared" si="1021"/>
        <v>0</v>
      </c>
      <c r="Y1427" s="21">
        <f t="shared" si="1021"/>
        <v>0</v>
      </c>
      <c r="Z1427" s="21">
        <f t="shared" si="1021"/>
        <v>0</v>
      </c>
      <c r="AA1427" s="21">
        <f t="shared" si="1021"/>
        <v>0</v>
      </c>
      <c r="AB1427" s="21">
        <f t="shared" si="1021"/>
        <v>0</v>
      </c>
      <c r="AC1427" s="21">
        <f t="shared" si="1021"/>
        <v>0</v>
      </c>
      <c r="AD1427" s="21">
        <f t="shared" si="1021"/>
        <v>0</v>
      </c>
      <c r="AE1427" s="21">
        <f t="shared" si="1021"/>
        <v>0</v>
      </c>
      <c r="AF1427" s="1"/>
    </row>
    <row r="1428" spans="1:37" x14ac:dyDescent="0.2">
      <c r="C1428" s="5" t="s">
        <v>238</v>
      </c>
      <c r="D1428" s="20"/>
      <c r="E1428" s="93">
        <f>E1390</f>
        <v>7</v>
      </c>
      <c r="H1428" s="5"/>
      <c r="I1428" s="21">
        <f t="shared" ref="I1428:AE1428" si="1022">I1390</f>
        <v>0</v>
      </c>
      <c r="J1428" s="21">
        <f t="shared" si="1022"/>
        <v>0</v>
      </c>
      <c r="K1428" s="21">
        <f t="shared" si="1022"/>
        <v>0</v>
      </c>
      <c r="L1428" s="21">
        <f t="shared" si="1022"/>
        <v>0</v>
      </c>
      <c r="M1428" s="21">
        <f t="shared" si="1022"/>
        <v>0</v>
      </c>
      <c r="N1428" s="21">
        <f t="shared" si="1022"/>
        <v>0</v>
      </c>
      <c r="O1428" s="21">
        <f t="shared" si="1022"/>
        <v>0</v>
      </c>
      <c r="P1428" s="21">
        <f t="shared" si="1022"/>
        <v>965.88392063167021</v>
      </c>
      <c r="Q1428" s="21">
        <f t="shared" si="1022"/>
        <v>0</v>
      </c>
      <c r="R1428" s="21">
        <f t="shared" si="1022"/>
        <v>0</v>
      </c>
      <c r="S1428" s="21">
        <f t="shared" si="1022"/>
        <v>0</v>
      </c>
      <c r="T1428" s="21">
        <f t="shared" si="1022"/>
        <v>0</v>
      </c>
      <c r="U1428" s="21">
        <f t="shared" si="1022"/>
        <v>0</v>
      </c>
      <c r="V1428" s="21">
        <f t="shared" si="1022"/>
        <v>0</v>
      </c>
      <c r="W1428" s="21">
        <f t="shared" si="1022"/>
        <v>0</v>
      </c>
      <c r="X1428" s="21">
        <f t="shared" si="1022"/>
        <v>0</v>
      </c>
      <c r="Y1428" s="21">
        <f t="shared" si="1022"/>
        <v>0</v>
      </c>
      <c r="Z1428" s="21">
        <f t="shared" si="1022"/>
        <v>0</v>
      </c>
      <c r="AA1428" s="21">
        <f t="shared" si="1022"/>
        <v>0</v>
      </c>
      <c r="AB1428" s="21">
        <f t="shared" si="1022"/>
        <v>0</v>
      </c>
      <c r="AC1428" s="21">
        <f t="shared" si="1022"/>
        <v>0</v>
      </c>
      <c r="AD1428" s="21">
        <f t="shared" si="1022"/>
        <v>0</v>
      </c>
      <c r="AE1428" s="21">
        <f t="shared" si="1022"/>
        <v>0</v>
      </c>
      <c r="AF1428" s="1"/>
    </row>
    <row r="1429" spans="1:37" x14ac:dyDescent="0.2">
      <c r="C1429" s="5" t="s">
        <v>239</v>
      </c>
      <c r="D1429" s="20"/>
      <c r="E1429" s="93"/>
      <c r="H1429" s="5"/>
      <c r="I1429" s="21">
        <f t="shared" ref="I1429:AE1429" si="1023">-I1427*I1558</f>
        <v>0</v>
      </c>
      <c r="J1429" s="21">
        <f t="shared" si="1023"/>
        <v>0</v>
      </c>
      <c r="K1429" s="21">
        <f t="shared" si="1023"/>
        <v>0</v>
      </c>
      <c r="L1429" s="21">
        <f t="shared" si="1023"/>
        <v>0</v>
      </c>
      <c r="M1429" s="21">
        <f t="shared" si="1023"/>
        <v>0</v>
      </c>
      <c r="N1429" s="21">
        <f t="shared" si="1023"/>
        <v>0</v>
      </c>
      <c r="O1429" s="21">
        <f t="shared" si="1023"/>
        <v>0</v>
      </c>
      <c r="P1429" s="21">
        <f t="shared" si="1023"/>
        <v>-156.31578947368425</v>
      </c>
      <c r="Q1429" s="21">
        <f t="shared" si="1023"/>
        <v>0</v>
      </c>
      <c r="R1429" s="21">
        <f t="shared" si="1023"/>
        <v>0</v>
      </c>
      <c r="S1429" s="21">
        <f t="shared" si="1023"/>
        <v>0</v>
      </c>
      <c r="T1429" s="21">
        <f t="shared" si="1023"/>
        <v>0</v>
      </c>
      <c r="U1429" s="21">
        <f t="shared" si="1023"/>
        <v>0</v>
      </c>
      <c r="V1429" s="21">
        <f t="shared" si="1023"/>
        <v>0</v>
      </c>
      <c r="W1429" s="21">
        <f t="shared" si="1023"/>
        <v>0</v>
      </c>
      <c r="X1429" s="21">
        <f t="shared" si="1023"/>
        <v>0</v>
      </c>
      <c r="Y1429" s="21">
        <f t="shared" si="1023"/>
        <v>0</v>
      </c>
      <c r="Z1429" s="21">
        <f t="shared" si="1023"/>
        <v>0</v>
      </c>
      <c r="AA1429" s="21">
        <f t="shared" si="1023"/>
        <v>0</v>
      </c>
      <c r="AB1429" s="21">
        <f t="shared" si="1023"/>
        <v>0</v>
      </c>
      <c r="AC1429" s="21">
        <f t="shared" si="1023"/>
        <v>0</v>
      </c>
      <c r="AD1429" s="21">
        <f t="shared" si="1023"/>
        <v>0</v>
      </c>
      <c r="AE1429" s="21">
        <f t="shared" si="1023"/>
        <v>0</v>
      </c>
      <c r="AF1429" s="1"/>
    </row>
    <row r="1430" spans="1:37" x14ac:dyDescent="0.2">
      <c r="C1430" s="5" t="s">
        <v>240</v>
      </c>
      <c r="D1430" s="20"/>
      <c r="E1430" s="93"/>
      <c r="H1430" s="5"/>
      <c r="I1430" s="21">
        <f>I1428+I1429</f>
        <v>0</v>
      </c>
      <c r="J1430" s="21">
        <f t="shared" ref="J1430:AE1430" si="1024">J1428+J1429</f>
        <v>0</v>
      </c>
      <c r="K1430" s="21">
        <f>K1428+K1429</f>
        <v>0</v>
      </c>
      <c r="L1430" s="21">
        <f t="shared" si="1024"/>
        <v>0</v>
      </c>
      <c r="M1430" s="21">
        <f t="shared" si="1024"/>
        <v>0</v>
      </c>
      <c r="N1430" s="21">
        <f t="shared" si="1024"/>
        <v>0</v>
      </c>
      <c r="O1430" s="21">
        <f t="shared" si="1024"/>
        <v>0</v>
      </c>
      <c r="P1430" s="21">
        <f t="shared" si="1024"/>
        <v>809.56813115798593</v>
      </c>
      <c r="Q1430" s="21">
        <f t="shared" si="1024"/>
        <v>0</v>
      </c>
      <c r="R1430" s="21">
        <f t="shared" si="1024"/>
        <v>0</v>
      </c>
      <c r="S1430" s="21">
        <f t="shared" si="1024"/>
        <v>0</v>
      </c>
      <c r="T1430" s="21">
        <f t="shared" si="1024"/>
        <v>0</v>
      </c>
      <c r="U1430" s="21">
        <f t="shared" si="1024"/>
        <v>0</v>
      </c>
      <c r="V1430" s="21">
        <f t="shared" si="1024"/>
        <v>0</v>
      </c>
      <c r="W1430" s="21">
        <f t="shared" si="1024"/>
        <v>0</v>
      </c>
      <c r="X1430" s="21">
        <f t="shared" si="1024"/>
        <v>0</v>
      </c>
      <c r="Y1430" s="21">
        <f t="shared" si="1024"/>
        <v>0</v>
      </c>
      <c r="Z1430" s="21">
        <f t="shared" si="1024"/>
        <v>0</v>
      </c>
      <c r="AA1430" s="21">
        <f t="shared" si="1024"/>
        <v>0</v>
      </c>
      <c r="AB1430" s="21">
        <f t="shared" si="1024"/>
        <v>0</v>
      </c>
      <c r="AC1430" s="21">
        <f t="shared" si="1024"/>
        <v>0</v>
      </c>
      <c r="AD1430" s="21">
        <f t="shared" si="1024"/>
        <v>0</v>
      </c>
      <c r="AE1430" s="21">
        <f t="shared" si="1024"/>
        <v>0</v>
      </c>
      <c r="AF1430" s="1"/>
    </row>
    <row r="1431" spans="1:37" x14ac:dyDescent="0.2">
      <c r="C1431" s="5"/>
      <c r="D1431" s="20"/>
      <c r="E1431" s="93"/>
      <c r="H1431" s="5"/>
      <c r="I1431" s="21"/>
      <c r="J1431" s="21"/>
      <c r="K1431" s="21"/>
      <c r="L1431" s="21"/>
      <c r="M1431" s="21"/>
      <c r="N1431" s="21"/>
      <c r="O1431" s="21"/>
      <c r="P1431" s="21"/>
      <c r="Q1431" s="21"/>
      <c r="R1431" s="21"/>
      <c r="S1431" s="21"/>
      <c r="T1431" s="21"/>
      <c r="U1431" s="21"/>
      <c r="V1431" s="21"/>
      <c r="W1431" s="21"/>
      <c r="X1431" s="21"/>
      <c r="Y1431" s="21"/>
      <c r="Z1431" s="21"/>
      <c r="AA1431" s="21"/>
      <c r="AB1431" s="21"/>
      <c r="AC1431" s="21"/>
      <c r="AD1431" s="21"/>
      <c r="AE1431" s="21"/>
      <c r="AF1431" s="1"/>
    </row>
    <row r="1432" spans="1:37" x14ac:dyDescent="0.2">
      <c r="C1432" s="5" t="s">
        <v>179</v>
      </c>
      <c r="D1432" s="20"/>
      <c r="H1432" s="5"/>
      <c r="I1432" s="21">
        <f t="shared" ref="I1432:AE1432" si="1025">I1391</f>
        <v>1</v>
      </c>
      <c r="J1432" s="21">
        <f t="shared" si="1025"/>
        <v>1</v>
      </c>
      <c r="K1432" s="21">
        <f t="shared" si="1025"/>
        <v>1</v>
      </c>
      <c r="L1432" s="21">
        <f t="shared" si="1025"/>
        <v>1</v>
      </c>
      <c r="M1432" s="21">
        <f t="shared" si="1025"/>
        <v>1</v>
      </c>
      <c r="N1432" s="21">
        <f t="shared" si="1025"/>
        <v>1</v>
      </c>
      <c r="O1432" s="21">
        <f t="shared" si="1025"/>
        <v>1</v>
      </c>
      <c r="P1432" s="21">
        <f t="shared" si="1025"/>
        <v>1</v>
      </c>
      <c r="Q1432" s="21">
        <f t="shared" si="1025"/>
        <v>0</v>
      </c>
      <c r="R1432" s="21">
        <f t="shared" si="1025"/>
        <v>0</v>
      </c>
      <c r="S1432" s="21">
        <f t="shared" si="1025"/>
        <v>0</v>
      </c>
      <c r="T1432" s="21">
        <f t="shared" si="1025"/>
        <v>0</v>
      </c>
      <c r="U1432" s="21">
        <f t="shared" si="1025"/>
        <v>0</v>
      </c>
      <c r="V1432" s="21">
        <f t="shared" si="1025"/>
        <v>0</v>
      </c>
      <c r="W1432" s="21">
        <f t="shared" si="1025"/>
        <v>0</v>
      </c>
      <c r="X1432" s="21">
        <f t="shared" si="1025"/>
        <v>0</v>
      </c>
      <c r="Y1432" s="21">
        <f t="shared" si="1025"/>
        <v>0</v>
      </c>
      <c r="Z1432" s="21">
        <f t="shared" si="1025"/>
        <v>0</v>
      </c>
      <c r="AA1432" s="21">
        <f t="shared" si="1025"/>
        <v>0</v>
      </c>
      <c r="AB1432" s="21">
        <f t="shared" si="1025"/>
        <v>0</v>
      </c>
      <c r="AC1432" s="21">
        <f t="shared" si="1025"/>
        <v>0</v>
      </c>
      <c r="AD1432" s="21">
        <f t="shared" si="1025"/>
        <v>0</v>
      </c>
      <c r="AE1432" s="21">
        <f t="shared" si="1025"/>
        <v>0</v>
      </c>
      <c r="AF1432" s="1"/>
    </row>
    <row r="1433" spans="1:37" x14ac:dyDescent="0.2">
      <c r="C1433" s="1" t="s">
        <v>178</v>
      </c>
      <c r="D1433" s="20"/>
      <c r="G1433" s="21">
        <f>SUM(I1433:AE1433)</f>
        <v>1136.478073627919</v>
      </c>
      <c r="H1433" s="52"/>
      <c r="I1433" s="21">
        <f>I1430+I1432*I1420</f>
        <v>-24.996112789140177</v>
      </c>
      <c r="J1433" s="21">
        <f t="shared" ref="J1433:AE1433" si="1026">J1430+J1432*J1420</f>
        <v>-81.497117946645574</v>
      </c>
      <c r="K1433" s="21">
        <f>K1430+K1432*K1420</f>
        <v>-18.60789240385234</v>
      </c>
      <c r="L1433" s="21">
        <f t="shared" si="1026"/>
        <v>52.022609891204013</v>
      </c>
      <c r="M1433" s="21">
        <f t="shared" si="1026"/>
        <v>104.76230771998935</v>
      </c>
      <c r="N1433" s="21">
        <f t="shared" si="1026"/>
        <v>99.392620884165851</v>
      </c>
      <c r="O1433" s="21">
        <f t="shared" si="1026"/>
        <v>99.392620884165822</v>
      </c>
      <c r="P1433" s="21">
        <f t="shared" si="1026"/>
        <v>906.00903738803197</v>
      </c>
      <c r="Q1433" s="21">
        <f t="shared" si="1026"/>
        <v>0</v>
      </c>
      <c r="R1433" s="21">
        <f t="shared" si="1026"/>
        <v>0</v>
      </c>
      <c r="S1433" s="21">
        <f t="shared" si="1026"/>
        <v>0</v>
      </c>
      <c r="T1433" s="21">
        <f t="shared" si="1026"/>
        <v>0</v>
      </c>
      <c r="U1433" s="21">
        <f t="shared" si="1026"/>
        <v>0</v>
      </c>
      <c r="V1433" s="21">
        <f t="shared" si="1026"/>
        <v>0</v>
      </c>
      <c r="W1433" s="21">
        <f t="shared" si="1026"/>
        <v>0</v>
      </c>
      <c r="X1433" s="21">
        <f t="shared" si="1026"/>
        <v>0</v>
      </c>
      <c r="Y1433" s="21">
        <f t="shared" si="1026"/>
        <v>0</v>
      </c>
      <c r="Z1433" s="21">
        <f t="shared" si="1026"/>
        <v>0</v>
      </c>
      <c r="AA1433" s="21">
        <f t="shared" si="1026"/>
        <v>0</v>
      </c>
      <c r="AB1433" s="21">
        <f t="shared" si="1026"/>
        <v>0</v>
      </c>
      <c r="AC1433" s="21">
        <f t="shared" si="1026"/>
        <v>0</v>
      </c>
      <c r="AD1433" s="21">
        <f t="shared" si="1026"/>
        <v>0</v>
      </c>
      <c r="AE1433" s="21">
        <f t="shared" si="1026"/>
        <v>0</v>
      </c>
      <c r="AF1433" s="1"/>
    </row>
    <row r="1434" spans="1:37" x14ac:dyDescent="0.2">
      <c r="C1434" s="20"/>
      <c r="D1434" s="20"/>
      <c r="H1434" s="5"/>
      <c r="AF1434" s="1"/>
    </row>
    <row r="1435" spans="1:37" x14ac:dyDescent="0.2">
      <c r="C1435" s="20" t="s">
        <v>176</v>
      </c>
      <c r="D1435" s="20"/>
      <c r="E1435" s="94">
        <f>E1422</f>
        <v>8.8800000000000004E-2</v>
      </c>
      <c r="F1435" s="9" t="s">
        <v>55</v>
      </c>
      <c r="G1435" s="68">
        <f>NPV(E1435,I1433:AE1433)</f>
        <v>572.53122483887557</v>
      </c>
      <c r="H1435" s="503"/>
      <c r="I1435" s="21"/>
      <c r="AF1435" s="1"/>
    </row>
    <row r="1436" spans="1:37" x14ac:dyDescent="0.2">
      <c r="C1436" s="20" t="s">
        <v>177</v>
      </c>
      <c r="D1436" s="20"/>
      <c r="F1436" s="9" t="s">
        <v>8</v>
      </c>
      <c r="G1436" s="73">
        <f>IRR(I1433:AE1433)</f>
        <v>0.57720335922957444</v>
      </c>
      <c r="H1436" s="504"/>
      <c r="I1436" s="21"/>
      <c r="AF1436" s="1"/>
    </row>
    <row r="1437" spans="1:37" x14ac:dyDescent="0.2">
      <c r="C1437" s="20"/>
      <c r="D1437" s="20"/>
      <c r="AF1437" s="1"/>
    </row>
    <row r="1438" spans="1:37" x14ac:dyDescent="0.2">
      <c r="B1438" s="6"/>
      <c r="C1438" s="6"/>
      <c r="D1438" s="6"/>
      <c r="E1438" s="7"/>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G1438" s="6"/>
      <c r="AH1438" s="6"/>
      <c r="AI1438" s="6"/>
      <c r="AJ1438" s="6"/>
    </row>
    <row r="1439" spans="1:37" x14ac:dyDescent="0.2">
      <c r="G1439" s="69"/>
      <c r="AK1439" s="5"/>
    </row>
    <row r="1440" spans="1:37" x14ac:dyDescent="0.2">
      <c r="B1440" s="8">
        <f>B1372+1</f>
        <v>14</v>
      </c>
      <c r="C1440" s="9" t="s">
        <v>182</v>
      </c>
      <c r="D1440" s="9"/>
      <c r="G1440" s="69"/>
      <c r="I1440" s="69"/>
    </row>
    <row r="1441" spans="2:36" x14ac:dyDescent="0.2">
      <c r="I1441" s="35"/>
    </row>
    <row r="1442" spans="2:36" x14ac:dyDescent="0.2">
      <c r="C1442" s="1" t="s">
        <v>234</v>
      </c>
      <c r="F1442" s="537">
        <v>0</v>
      </c>
      <c r="I1442" s="35"/>
    </row>
    <row r="1443" spans="2:36" x14ac:dyDescent="0.2">
      <c r="I1443" s="35"/>
    </row>
    <row r="1444" spans="2:36" x14ac:dyDescent="0.2">
      <c r="B1444" s="10">
        <f>B1440+0.1</f>
        <v>14.1</v>
      </c>
      <c r="C1444" s="9" t="s">
        <v>183</v>
      </c>
      <c r="D1444" s="9"/>
      <c r="I1444" s="77"/>
      <c r="J1444" s="77"/>
      <c r="K1444" s="77"/>
      <c r="L1444" s="77"/>
      <c r="M1444" s="77"/>
      <c r="N1444" s="77"/>
      <c r="O1444" s="77"/>
      <c r="P1444" s="77"/>
      <c r="Q1444" s="77"/>
      <c r="R1444" s="77"/>
      <c r="S1444" s="77"/>
      <c r="T1444" s="77"/>
      <c r="U1444" s="77"/>
      <c r="V1444" s="77"/>
      <c r="W1444" s="77"/>
      <c r="X1444" s="77"/>
      <c r="Y1444" s="77"/>
      <c r="Z1444" s="77"/>
      <c r="AA1444" s="77"/>
      <c r="AB1444" s="77"/>
      <c r="AC1444" s="77"/>
      <c r="AD1444" s="77"/>
      <c r="AE1444" s="77"/>
      <c r="AF1444" s="90"/>
      <c r="AG1444" s="77"/>
      <c r="AH1444" s="77"/>
      <c r="AI1444" s="77"/>
      <c r="AJ1444" s="77"/>
    </row>
    <row r="1445" spans="2:36" x14ac:dyDescent="0.2">
      <c r="G1445" s="68"/>
      <c r="J1445" s="69"/>
      <c r="K1445" s="69"/>
      <c r="L1445" s="69"/>
    </row>
    <row r="1446" spans="2:36" x14ac:dyDescent="0.2">
      <c r="C1446" s="5" t="s">
        <v>104</v>
      </c>
      <c r="F1446" s="1" t="s">
        <v>55</v>
      </c>
      <c r="G1446" s="41">
        <f>'Quarterly Plant Model'!G1446</f>
        <v>36.645368499999996</v>
      </c>
      <c r="I1446" s="41">
        <f>SUMIF('Quarterly Plant Model'!$I$2:$V$2,'Plant model'!I$2,'Quarterly Plant Model'!$I1446:$V1446)</f>
        <v>0</v>
      </c>
      <c r="J1446" s="41">
        <f>SUMIF('Quarterly Plant Model'!$I$2:$V$2,'Plant model'!J$2,'Quarterly Plant Model'!$I1446:$V1446)</f>
        <v>0</v>
      </c>
      <c r="K1446" s="41">
        <f>SUMIF('Quarterly Plant Model'!$I$2:$V$2,'Plant model'!K$2,'Quarterly Plant Model'!$I1446:$V1446)</f>
        <v>91.613421249999988</v>
      </c>
      <c r="L1446" s="41">
        <f>SUMIF('Quarterly Plant Model'!$I$2:$V$2,'Plant model'!L$2,'Quarterly Plant Model'!$I1446:$V1446)</f>
        <v>146.58147399999999</v>
      </c>
      <c r="M1446" s="603">
        <v>0</v>
      </c>
      <c r="N1446" s="50">
        <v>0</v>
      </c>
      <c r="O1446" s="50">
        <v>0</v>
      </c>
      <c r="P1446" s="50">
        <v>0</v>
      </c>
      <c r="Q1446" s="50">
        <v>0</v>
      </c>
      <c r="R1446" s="50">
        <v>0</v>
      </c>
      <c r="S1446" s="50">
        <v>0</v>
      </c>
      <c r="T1446" s="50">
        <v>0</v>
      </c>
      <c r="U1446" s="50">
        <v>0</v>
      </c>
      <c r="V1446" s="50">
        <v>0</v>
      </c>
      <c r="W1446" s="50">
        <v>0</v>
      </c>
      <c r="X1446" s="50">
        <v>0</v>
      </c>
      <c r="Y1446" s="50">
        <v>0</v>
      </c>
      <c r="Z1446" s="50">
        <v>0</v>
      </c>
      <c r="AA1446" s="50">
        <v>0</v>
      </c>
      <c r="AB1446" s="50">
        <v>0</v>
      </c>
      <c r="AC1446" s="50">
        <v>0</v>
      </c>
      <c r="AD1446" s="50">
        <v>0</v>
      </c>
      <c r="AE1446" s="50">
        <v>0</v>
      </c>
    </row>
    <row r="1447" spans="2:36" x14ac:dyDescent="0.2">
      <c r="C1447" s="5" t="s">
        <v>120</v>
      </c>
      <c r="F1447" s="1" t="s">
        <v>55</v>
      </c>
      <c r="G1447" s="41">
        <f>'Quarterly Plant Model'!G1447</f>
        <v>-19.662910695891949</v>
      </c>
      <c r="I1447" s="41">
        <f>SUMIF('Quarterly Plant Model'!$I$2:$V$2,'Plant model'!I$2,'Quarterly Plant Model'!$I1447:$V1447)</f>
        <v>0</v>
      </c>
      <c r="J1447" s="41">
        <f>SUMIF('Quarterly Plant Model'!$I$2:$V$2,'Plant model'!J$2,'Quarterly Plant Model'!$I1447:$V1447)</f>
        <v>0</v>
      </c>
      <c r="K1447" s="41">
        <f>SUMIF('Quarterly Plant Model'!$I$2:$V$2,'Plant model'!K$2,'Quarterly Plant Model'!$I1447:$V1447)</f>
        <v>-47.852836965524475</v>
      </c>
      <c r="L1447" s="41">
        <f>SUMIF('Quarterly Plant Model'!$I$2:$V$2,'Plant model'!L$2,'Quarterly Plant Model'!$I1447:$V1447)</f>
        <v>-73.395648131607246</v>
      </c>
      <c r="M1447" s="603">
        <v>0</v>
      </c>
      <c r="N1447" s="50">
        <v>0</v>
      </c>
      <c r="O1447" s="50">
        <v>0</v>
      </c>
      <c r="P1447" s="50">
        <v>0</v>
      </c>
      <c r="Q1447" s="50">
        <v>0</v>
      </c>
      <c r="R1447" s="50">
        <v>0</v>
      </c>
      <c r="S1447" s="50">
        <v>0</v>
      </c>
      <c r="T1447" s="50">
        <v>0</v>
      </c>
      <c r="U1447" s="50">
        <v>0</v>
      </c>
      <c r="V1447" s="50">
        <v>0</v>
      </c>
      <c r="W1447" s="50">
        <v>0</v>
      </c>
      <c r="X1447" s="50">
        <v>0</v>
      </c>
      <c r="Y1447" s="50">
        <v>0</v>
      </c>
      <c r="Z1447" s="50">
        <v>0</v>
      </c>
      <c r="AA1447" s="50">
        <v>0</v>
      </c>
      <c r="AB1447" s="50">
        <v>0</v>
      </c>
      <c r="AC1447" s="50">
        <v>0</v>
      </c>
      <c r="AD1447" s="50">
        <v>0</v>
      </c>
      <c r="AE1447" s="50">
        <v>0</v>
      </c>
    </row>
    <row r="1448" spans="2:36" x14ac:dyDescent="0.2">
      <c r="C1448" s="5" t="s">
        <v>444</v>
      </c>
      <c r="F1448" s="1" t="s">
        <v>55</v>
      </c>
      <c r="G1448" s="41">
        <f>'Quarterly Plant Model'!G1448</f>
        <v>-1.0088540508911055</v>
      </c>
      <c r="I1448" s="41">
        <f>SUMIF('Quarterly Plant Model'!$I$2:$V$2,'Plant model'!I$2,'Quarterly Plant Model'!$I1448:$V1448)</f>
        <v>0</v>
      </c>
      <c r="J1448" s="41">
        <f>SUMIF('Quarterly Plant Model'!$I$2:$V$2,'Plant model'!J$2,'Quarterly Plant Model'!$I1448:$V1448)</f>
        <v>0</v>
      </c>
      <c r="K1448" s="41">
        <f>SUMIF('Quarterly Plant Model'!$I$2:$V$2,'Plant model'!K$2,'Quarterly Plant Model'!$I1448:$V1448)</f>
        <v>-2.2925483655322112</v>
      </c>
      <c r="L1448" s="41">
        <f>SUMIF('Quarterly Plant Model'!$I$2:$V$2,'Plant model'!L$2,'Quarterly Plant Model'!$I1448:$V1448)</f>
        <v>-3.1170691567822111</v>
      </c>
      <c r="M1448" s="603">
        <v>0</v>
      </c>
      <c r="N1448" s="50">
        <v>0</v>
      </c>
      <c r="O1448" s="50">
        <v>0</v>
      </c>
      <c r="P1448" s="50">
        <v>0</v>
      </c>
      <c r="Q1448" s="50">
        <v>0</v>
      </c>
      <c r="R1448" s="50">
        <v>0</v>
      </c>
      <c r="S1448" s="50">
        <v>0</v>
      </c>
      <c r="T1448" s="50">
        <v>0</v>
      </c>
      <c r="U1448" s="50">
        <v>0</v>
      </c>
      <c r="V1448" s="50">
        <v>0</v>
      </c>
      <c r="W1448" s="50">
        <v>0</v>
      </c>
      <c r="X1448" s="50">
        <v>0</v>
      </c>
      <c r="Y1448" s="50">
        <v>0</v>
      </c>
      <c r="Z1448" s="50">
        <v>0</v>
      </c>
      <c r="AA1448" s="50">
        <v>0</v>
      </c>
      <c r="AB1448" s="50">
        <v>0</v>
      </c>
      <c r="AC1448" s="50">
        <v>0</v>
      </c>
      <c r="AD1448" s="50">
        <v>0</v>
      </c>
      <c r="AE1448" s="50">
        <v>0</v>
      </c>
    </row>
    <row r="1449" spans="2:36" x14ac:dyDescent="0.2">
      <c r="C1449" s="5" t="s">
        <v>135</v>
      </c>
      <c r="F1449" s="1" t="s">
        <v>55</v>
      </c>
      <c r="G1449" s="41">
        <f>'Quarterly Plant Model'!G1449</f>
        <v>0</v>
      </c>
      <c r="I1449" s="41">
        <f>SUMIF('Quarterly Plant Model'!$I$2:$V$2,'Plant model'!I$2,'Quarterly Plant Model'!$I1449:$V1449)</f>
        <v>0</v>
      </c>
      <c r="J1449" s="41">
        <f>SUMIF('Quarterly Plant Model'!$I$2:$V$2,'Plant model'!J$2,'Quarterly Plant Model'!$I1449:$V1449)</f>
        <v>0</v>
      </c>
      <c r="K1449" s="41">
        <f>SUMIF('Quarterly Plant Model'!$I$2:$V$2,'Plant model'!K$2,'Quarterly Plant Model'!$I1449:$V1449)</f>
        <v>0</v>
      </c>
      <c r="L1449" s="41">
        <f>SUMIF('Quarterly Plant Model'!$I$2:$V$2,'Plant model'!L$2,'Quarterly Plant Model'!$I1449:$V1449)</f>
        <v>0</v>
      </c>
      <c r="M1449" s="603">
        <v>0</v>
      </c>
      <c r="N1449" s="50">
        <v>0</v>
      </c>
      <c r="O1449" s="50">
        <v>0</v>
      </c>
      <c r="P1449" s="50">
        <v>0</v>
      </c>
      <c r="Q1449" s="50">
        <v>0</v>
      </c>
      <c r="R1449" s="50">
        <v>0</v>
      </c>
      <c r="S1449" s="50">
        <v>0</v>
      </c>
      <c r="T1449" s="50">
        <v>0</v>
      </c>
      <c r="U1449" s="50">
        <v>0</v>
      </c>
      <c r="V1449" s="50">
        <v>0</v>
      </c>
      <c r="W1449" s="50">
        <v>0</v>
      </c>
      <c r="X1449" s="50">
        <v>0</v>
      </c>
      <c r="Y1449" s="50">
        <v>0</v>
      </c>
      <c r="Z1449" s="50">
        <v>0</v>
      </c>
      <c r="AA1449" s="50">
        <v>0</v>
      </c>
      <c r="AB1449" s="50">
        <v>0</v>
      </c>
      <c r="AC1449" s="50">
        <v>0</v>
      </c>
      <c r="AD1449" s="50">
        <v>0</v>
      </c>
      <c r="AE1449" s="50">
        <v>0</v>
      </c>
    </row>
    <row r="1450" spans="2:36" x14ac:dyDescent="0.2">
      <c r="C1450" s="1" t="s">
        <v>111</v>
      </c>
      <c r="E1450" s="509"/>
      <c r="F1450" s="1" t="s">
        <v>55</v>
      </c>
      <c r="G1450" s="41">
        <f>'Quarterly Plant Model'!G1450</f>
        <v>-475.57593141478941</v>
      </c>
      <c r="I1450" s="41">
        <f>SUMIF('Quarterly Plant Model'!$I$2:$V$2,'Plant model'!I$2,'Quarterly Plant Model'!$I1450:$V1450)</f>
        <v>-56.557541166478941</v>
      </c>
      <c r="J1450" s="41">
        <f>SUMIF('Quarterly Plant Model'!$I$2:$V$2,'Plant model'!J$2,'Quarterly Plant Model'!$I1450:$V1450)</f>
        <v>-267.7061937697539</v>
      </c>
      <c r="K1450" s="41">
        <f>SUMIF('Quarterly Plant Model'!$I$2:$V$2,'Plant model'!K$2,'Quarterly Plant Model'!$I1450:$V1450)</f>
        <v>-151.31219647855653</v>
      </c>
      <c r="L1450" s="41">
        <f>SUMIF('Quarterly Plant Model'!$I$2:$V$2,'Plant model'!L$2,'Quarterly Plant Model'!$I1450:$V1450)</f>
        <v>0</v>
      </c>
      <c r="M1450" s="603">
        <v>0</v>
      </c>
      <c r="N1450" s="50">
        <v>0</v>
      </c>
      <c r="O1450" s="50">
        <v>0</v>
      </c>
      <c r="P1450" s="50">
        <v>0</v>
      </c>
      <c r="Q1450" s="50">
        <v>0</v>
      </c>
      <c r="R1450" s="50">
        <v>0</v>
      </c>
      <c r="S1450" s="50">
        <v>0</v>
      </c>
      <c r="T1450" s="50">
        <v>0</v>
      </c>
      <c r="U1450" s="50">
        <v>0</v>
      </c>
      <c r="V1450" s="50">
        <v>0</v>
      </c>
      <c r="W1450" s="50">
        <v>0</v>
      </c>
      <c r="X1450" s="50">
        <v>0</v>
      </c>
      <c r="Y1450" s="50">
        <v>0</v>
      </c>
      <c r="Z1450" s="50">
        <v>0</v>
      </c>
      <c r="AA1450" s="50">
        <v>0</v>
      </c>
      <c r="AB1450" s="50">
        <v>0</v>
      </c>
      <c r="AC1450" s="50">
        <v>0</v>
      </c>
      <c r="AD1450" s="50">
        <v>0</v>
      </c>
      <c r="AE1450" s="50">
        <v>0</v>
      </c>
      <c r="AF1450" s="52"/>
      <c r="AG1450" s="21"/>
      <c r="AH1450" s="21"/>
      <c r="AI1450" s="21"/>
      <c r="AJ1450" s="21"/>
    </row>
    <row r="1451" spans="2:36" x14ac:dyDescent="0.2">
      <c r="C1451" s="1" t="s">
        <v>919</v>
      </c>
      <c r="E1451" s="509"/>
      <c r="F1451" s="1" t="s">
        <v>55</v>
      </c>
      <c r="G1451" s="41">
        <f>'Quarterly Plant Model'!G1451</f>
        <v>0</v>
      </c>
      <c r="I1451" s="41">
        <f>SUMIF('Quarterly Plant Model'!$I$2:$V$2,'Plant model'!I$2,'Quarterly Plant Model'!$I1451:$V1451)</f>
        <v>0</v>
      </c>
      <c r="J1451" s="41">
        <f>SUMIF('Quarterly Plant Model'!$I$2:$V$2,'Plant model'!J$2,'Quarterly Plant Model'!$I1451:$V1451)</f>
        <v>0</v>
      </c>
      <c r="K1451" s="41">
        <f>SUMIF('Quarterly Plant Model'!$I$2:$V$2,'Plant model'!K$2,'Quarterly Plant Model'!$I1451:$V1451)</f>
        <v>0</v>
      </c>
      <c r="L1451" s="41">
        <f>SUMIF('Quarterly Plant Model'!$I$2:$V$2,'Plant model'!L$2,'Quarterly Plant Model'!$I1451:$V1451)</f>
        <v>0</v>
      </c>
      <c r="M1451" s="603">
        <v>0</v>
      </c>
      <c r="N1451" s="50">
        <v>0</v>
      </c>
      <c r="O1451" s="50">
        <v>0</v>
      </c>
      <c r="P1451" s="50">
        <v>0</v>
      </c>
      <c r="Q1451" s="50">
        <v>0</v>
      </c>
      <c r="R1451" s="50">
        <v>0</v>
      </c>
      <c r="S1451" s="50">
        <v>0</v>
      </c>
      <c r="T1451" s="50">
        <v>0</v>
      </c>
      <c r="U1451" s="50">
        <v>0</v>
      </c>
      <c r="V1451" s="50">
        <v>0</v>
      </c>
      <c r="W1451" s="50">
        <v>0</v>
      </c>
      <c r="X1451" s="50">
        <v>0</v>
      </c>
      <c r="Y1451" s="50">
        <v>0</v>
      </c>
      <c r="Z1451" s="50">
        <v>0</v>
      </c>
      <c r="AA1451" s="50">
        <v>0</v>
      </c>
      <c r="AB1451" s="50">
        <v>0</v>
      </c>
      <c r="AC1451" s="50">
        <v>0</v>
      </c>
      <c r="AD1451" s="50">
        <v>0</v>
      </c>
      <c r="AE1451" s="50">
        <v>0</v>
      </c>
      <c r="AF1451" s="52"/>
      <c r="AG1451" s="21"/>
      <c r="AH1451" s="21"/>
      <c r="AI1451" s="21"/>
      <c r="AJ1451" s="21"/>
    </row>
    <row r="1452" spans="2:36" x14ac:dyDescent="0.2">
      <c r="C1452" s="1" t="s">
        <v>920</v>
      </c>
      <c r="E1452" s="509"/>
      <c r="F1452" s="1" t="s">
        <v>55</v>
      </c>
      <c r="G1452" s="41">
        <f>'Quarterly Plant Model'!G1452</f>
        <v>-9.1545728130854211</v>
      </c>
      <c r="I1452" s="41">
        <f>SUMIF('Quarterly Plant Model'!$I$2:$V$2,'Plant model'!I$2,'Quarterly Plant Model'!$I1452:$V1452)</f>
        <v>0</v>
      </c>
      <c r="J1452" s="41">
        <f>SUMIF('Quarterly Plant Model'!$I$2:$V$2,'Plant model'!J$2,'Quarterly Plant Model'!$I1452:$V1452)</f>
        <v>0</v>
      </c>
      <c r="K1452" s="41">
        <f>SUMIF('Quarterly Plant Model'!$I$2:$V$2,'Plant model'!K$2,'Quarterly Plant Model'!$I1452:$V1452)</f>
        <v>-14.160716131695661</v>
      </c>
      <c r="L1452" s="41">
        <f>SUMIF('Quarterly Plant Model'!$I$2:$V$2,'Plant model'!L$2,'Quarterly Plant Model'!$I1452:$V1452)</f>
        <v>-5.0492683477797407</v>
      </c>
      <c r="M1452" s="603">
        <v>0</v>
      </c>
      <c r="N1452" s="50">
        <v>0</v>
      </c>
      <c r="O1452" s="50">
        <v>0</v>
      </c>
      <c r="P1452" s="50">
        <v>0</v>
      </c>
      <c r="Q1452" s="50">
        <v>0</v>
      </c>
      <c r="R1452" s="50">
        <v>0</v>
      </c>
      <c r="S1452" s="50">
        <v>0</v>
      </c>
      <c r="T1452" s="50">
        <v>0</v>
      </c>
      <c r="U1452" s="50">
        <v>0</v>
      </c>
      <c r="V1452" s="50">
        <v>0</v>
      </c>
      <c r="W1452" s="50">
        <v>0</v>
      </c>
      <c r="X1452" s="50">
        <v>0</v>
      </c>
      <c r="Y1452" s="50">
        <v>0</v>
      </c>
      <c r="Z1452" s="50">
        <v>0</v>
      </c>
      <c r="AA1452" s="50">
        <v>0</v>
      </c>
      <c r="AB1452" s="50">
        <v>0</v>
      </c>
      <c r="AC1452" s="50">
        <v>0</v>
      </c>
      <c r="AD1452" s="50">
        <v>0</v>
      </c>
      <c r="AE1452" s="50">
        <v>0</v>
      </c>
      <c r="AF1452" s="52"/>
      <c r="AG1452" s="21"/>
      <c r="AH1452" s="21"/>
      <c r="AI1452" s="21"/>
      <c r="AJ1452" s="21"/>
    </row>
    <row r="1453" spans="2:36" x14ac:dyDescent="0.2">
      <c r="C1453" s="1" t="s">
        <v>184</v>
      </c>
      <c r="E1453" s="78"/>
      <c r="F1453" s="1" t="s">
        <v>55</v>
      </c>
      <c r="G1453" s="41">
        <f>'Quarterly Plant Model'!G1453</f>
        <v>0</v>
      </c>
      <c r="H1453" s="602">
        <f>I1462</f>
        <v>0</v>
      </c>
      <c r="I1453" s="41">
        <f>SUMIF('Quarterly Plant Model'!$I$2:$V$2,'Plant model'!I$2,'Quarterly Plant Model'!$I1453:$V1453)</f>
        <v>0</v>
      </c>
      <c r="J1453" s="41">
        <f>SUMIF('Quarterly Plant Model'!$I$2:$V$2,'Plant model'!J$2,'Quarterly Plant Model'!$I1453:$V1453)</f>
        <v>0</v>
      </c>
      <c r="K1453" s="41">
        <f>SUMIF('Quarterly Plant Model'!$I$2:$V$2,'Plant model'!K$2,'Quarterly Plant Model'!$I1453:$V1453)</f>
        <v>0</v>
      </c>
      <c r="L1453" s="41">
        <f>SUMIF('Quarterly Plant Model'!$I$2:$V$2,'Plant model'!L$2,'Quarterly Plant Model'!$I1453:$V1453)</f>
        <v>0</v>
      </c>
      <c r="M1453" s="603">
        <v>0</v>
      </c>
      <c r="N1453" s="50">
        <v>0</v>
      </c>
      <c r="O1453" s="50">
        <v>0</v>
      </c>
      <c r="P1453" s="50">
        <v>0</v>
      </c>
      <c r="Q1453" s="50">
        <v>0</v>
      </c>
      <c r="R1453" s="50">
        <v>0</v>
      </c>
      <c r="S1453" s="50">
        <v>0</v>
      </c>
      <c r="T1453" s="50">
        <v>0</v>
      </c>
      <c r="U1453" s="50">
        <v>0</v>
      </c>
      <c r="V1453" s="50">
        <v>0</v>
      </c>
      <c r="W1453" s="50">
        <v>0</v>
      </c>
      <c r="X1453" s="50">
        <v>0</v>
      </c>
      <c r="Y1453" s="50">
        <v>0</v>
      </c>
      <c r="Z1453" s="50">
        <v>0</v>
      </c>
      <c r="AA1453" s="50">
        <v>0</v>
      </c>
      <c r="AB1453" s="50">
        <v>0</v>
      </c>
      <c r="AC1453" s="50">
        <v>0</v>
      </c>
      <c r="AD1453" s="50">
        <v>0</v>
      </c>
      <c r="AE1453" s="50">
        <v>0</v>
      </c>
      <c r="AF1453" s="52"/>
      <c r="AG1453" s="21"/>
      <c r="AH1453" s="21"/>
      <c r="AI1453" s="21"/>
      <c r="AJ1453" s="21"/>
    </row>
    <row r="1454" spans="2:36" x14ac:dyDescent="0.2">
      <c r="C1454" s="1" t="s">
        <v>185</v>
      </c>
      <c r="F1454" s="1" t="s">
        <v>55</v>
      </c>
      <c r="G1454" s="41">
        <f>'Quarterly Plant Model'!G1454</f>
        <v>0</v>
      </c>
      <c r="H1454" s="602">
        <f>-H1563-H1569</f>
        <v>0</v>
      </c>
      <c r="I1454" s="41">
        <f>SUMIF('Quarterly Plant Model'!$I$2:$V$2,'Plant model'!I$2,'Quarterly Plant Model'!$I1454:$V1454)</f>
        <v>0</v>
      </c>
      <c r="J1454" s="41">
        <f>SUMIF('Quarterly Plant Model'!$I$2:$V$2,'Plant model'!J$2,'Quarterly Plant Model'!$I1454:$V1454)</f>
        <v>0</v>
      </c>
      <c r="K1454" s="41">
        <f>SUMIF('Quarterly Plant Model'!$I$2:$V$2,'Plant model'!K$2,'Quarterly Plant Model'!$I1454:$V1454)</f>
        <v>0</v>
      </c>
      <c r="L1454" s="41">
        <f>SUMIF('Quarterly Plant Model'!$I$2:$V$2,'Plant model'!L$2,'Quarterly Plant Model'!$I1454:$V1454)</f>
        <v>0</v>
      </c>
      <c r="M1454" s="603">
        <v>0</v>
      </c>
      <c r="N1454" s="50">
        <v>0</v>
      </c>
      <c r="O1454" s="50">
        <v>0</v>
      </c>
      <c r="P1454" s="50">
        <v>0</v>
      </c>
      <c r="Q1454" s="50">
        <v>0</v>
      </c>
      <c r="R1454" s="50">
        <v>0</v>
      </c>
      <c r="S1454" s="50">
        <v>0</v>
      </c>
      <c r="T1454" s="50">
        <v>0</v>
      </c>
      <c r="U1454" s="50">
        <v>0</v>
      </c>
      <c r="V1454" s="50">
        <v>0</v>
      </c>
      <c r="W1454" s="50">
        <v>0</v>
      </c>
      <c r="X1454" s="50">
        <v>0</v>
      </c>
      <c r="Y1454" s="50">
        <v>0</v>
      </c>
      <c r="Z1454" s="50">
        <v>0</v>
      </c>
      <c r="AA1454" s="50">
        <v>0</v>
      </c>
      <c r="AB1454" s="50">
        <v>0</v>
      </c>
      <c r="AC1454" s="50">
        <v>0</v>
      </c>
      <c r="AD1454" s="50">
        <v>0</v>
      </c>
      <c r="AE1454" s="50">
        <v>0</v>
      </c>
      <c r="AF1454" s="52"/>
      <c r="AG1454" s="21"/>
      <c r="AH1454" s="21"/>
      <c r="AI1454" s="21"/>
      <c r="AJ1454" s="21"/>
    </row>
    <row r="1455" spans="2:36" x14ac:dyDescent="0.2">
      <c r="C1455" s="1" t="s">
        <v>954</v>
      </c>
      <c r="F1455" s="1" t="s">
        <v>55</v>
      </c>
      <c r="G1455" s="41">
        <f>'Quarterly Plant Model'!G1455</f>
        <v>-0.35</v>
      </c>
      <c r="H1455" s="602"/>
      <c r="I1455" s="41">
        <f>SUMIF('Quarterly Plant Model'!$I$2:$V$2,'Plant model'!I$2,'Quarterly Plant Model'!$I1455:$V1455)</f>
        <v>-0.35</v>
      </c>
      <c r="J1455" s="41">
        <f>SUMIF('Quarterly Plant Model'!$I$2:$V$2,'Plant model'!J$2,'Quarterly Plant Model'!$I1455:$V1455)</f>
        <v>0</v>
      </c>
      <c r="K1455" s="41">
        <f>SUMIF('Quarterly Plant Model'!$I$2:$V$2,'Plant model'!K$2,'Quarterly Plant Model'!$I1455:$V1455)</f>
        <v>0</v>
      </c>
      <c r="L1455" s="41">
        <f>SUMIF('Quarterly Plant Model'!$I$2:$V$2,'Plant model'!L$2,'Quarterly Plant Model'!$I1455:$V1455)</f>
        <v>0</v>
      </c>
      <c r="M1455" s="603">
        <v>0</v>
      </c>
      <c r="N1455" s="50">
        <v>0</v>
      </c>
      <c r="O1455" s="50">
        <v>0</v>
      </c>
      <c r="P1455" s="50">
        <v>0</v>
      </c>
      <c r="Q1455" s="50">
        <v>0</v>
      </c>
      <c r="R1455" s="50">
        <v>0</v>
      </c>
      <c r="S1455" s="50">
        <v>0</v>
      </c>
      <c r="T1455" s="50">
        <v>0</v>
      </c>
      <c r="U1455" s="50">
        <v>0</v>
      </c>
      <c r="V1455" s="50">
        <v>0</v>
      </c>
      <c r="W1455" s="50">
        <v>0</v>
      </c>
      <c r="X1455" s="50">
        <v>0</v>
      </c>
      <c r="Y1455" s="50">
        <v>0</v>
      </c>
      <c r="Z1455" s="50">
        <v>0</v>
      </c>
      <c r="AA1455" s="50">
        <v>0</v>
      </c>
      <c r="AB1455" s="50">
        <v>0</v>
      </c>
      <c r="AC1455" s="50">
        <v>0</v>
      </c>
      <c r="AD1455" s="50">
        <v>0</v>
      </c>
      <c r="AE1455" s="50">
        <v>0</v>
      </c>
      <c r="AF1455" s="52"/>
      <c r="AG1455" s="21"/>
      <c r="AH1455" s="21"/>
      <c r="AI1455" s="21"/>
      <c r="AJ1455" s="21"/>
    </row>
    <row r="1456" spans="2:36" x14ac:dyDescent="0.2">
      <c r="C1456" s="1" t="s">
        <v>955</v>
      </c>
      <c r="F1456" s="1" t="s">
        <v>55</v>
      </c>
      <c r="G1456" s="41">
        <f>'Quarterly Plant Model'!G1456</f>
        <v>-3.2228117602517194</v>
      </c>
      <c r="H1456" s="602"/>
      <c r="I1456" s="41">
        <f>SUMIF('Quarterly Plant Model'!$I$2:$V$2,'Plant model'!I$2,'Quarterly Plant Model'!$I1456:$V1456)</f>
        <v>-1.0099932893521877</v>
      </c>
      <c r="J1456" s="41">
        <f>SUMIF('Quarterly Plant Model'!$I$2:$V$2,'Plant model'!J$2,'Quarterly Plant Model'!$I1456:$V1456)</f>
        <v>-1.2644676976568752</v>
      </c>
      <c r="K1456" s="41">
        <f>SUMIF('Quarterly Plant Model'!$I$2:$V$2,'Plant model'!K$2,'Quarterly Plant Model'!$I1456:$V1456)</f>
        <v>-1.2644676976568752</v>
      </c>
      <c r="L1456" s="41">
        <f>SUMIF('Quarterly Plant Model'!$I$2:$V$2,'Plant model'!L$2,'Quarterly Plant Model'!$I1456:$V1456)</f>
        <v>-0.63223384882843758</v>
      </c>
      <c r="M1456" s="603">
        <v>0</v>
      </c>
      <c r="N1456" s="50">
        <v>0</v>
      </c>
      <c r="O1456" s="50">
        <v>0</v>
      </c>
      <c r="P1456" s="50">
        <v>0</v>
      </c>
      <c r="Q1456" s="50">
        <v>0</v>
      </c>
      <c r="R1456" s="50">
        <v>0</v>
      </c>
      <c r="S1456" s="50">
        <v>0</v>
      </c>
      <c r="T1456" s="50">
        <v>0</v>
      </c>
      <c r="U1456" s="50">
        <v>0</v>
      </c>
      <c r="V1456" s="50">
        <v>0</v>
      </c>
      <c r="W1456" s="50">
        <v>0</v>
      </c>
      <c r="X1456" s="50">
        <v>0</v>
      </c>
      <c r="Y1456" s="50">
        <v>0</v>
      </c>
      <c r="Z1456" s="50">
        <v>0</v>
      </c>
      <c r="AA1456" s="50">
        <v>0</v>
      </c>
      <c r="AB1456" s="50">
        <v>0</v>
      </c>
      <c r="AC1456" s="50">
        <v>0</v>
      </c>
      <c r="AD1456" s="50">
        <v>0</v>
      </c>
      <c r="AE1456" s="50">
        <v>0</v>
      </c>
      <c r="AF1456" s="52"/>
      <c r="AG1456" s="21"/>
      <c r="AH1456" s="21"/>
      <c r="AI1456" s="21"/>
      <c r="AJ1456" s="21"/>
    </row>
    <row r="1457" spans="2:36" x14ac:dyDescent="0.2">
      <c r="C1457" s="9" t="s">
        <v>186</v>
      </c>
      <c r="D1457" s="9"/>
      <c r="F1457" s="9" t="s">
        <v>55</v>
      </c>
      <c r="G1457" s="41">
        <f>'Quarterly Plant Model'!G1457</f>
        <v>0</v>
      </c>
      <c r="H1457" s="602">
        <f>SUM(H1450:H1454)</f>
        <v>0</v>
      </c>
      <c r="I1457" s="21">
        <f>IF($F$1442=1,SUM(I1446:I1454),0)</f>
        <v>0</v>
      </c>
      <c r="J1457" s="21">
        <f t="shared" ref="J1457:AE1457" si="1027">IF($F$1442=1,SUM(J1446:J1454),0)</f>
        <v>0</v>
      </c>
      <c r="K1457" s="21">
        <f t="shared" si="1027"/>
        <v>0</v>
      </c>
      <c r="L1457" s="21">
        <f t="shared" si="1027"/>
        <v>0</v>
      </c>
      <c r="M1457" s="21">
        <f t="shared" si="1027"/>
        <v>0</v>
      </c>
      <c r="N1457" s="21">
        <f t="shared" si="1027"/>
        <v>0</v>
      </c>
      <c r="O1457" s="21">
        <f t="shared" si="1027"/>
        <v>0</v>
      </c>
      <c r="P1457" s="21">
        <f t="shared" si="1027"/>
        <v>0</v>
      </c>
      <c r="Q1457" s="21">
        <f t="shared" si="1027"/>
        <v>0</v>
      </c>
      <c r="R1457" s="21">
        <f t="shared" si="1027"/>
        <v>0</v>
      </c>
      <c r="S1457" s="21">
        <f t="shared" si="1027"/>
        <v>0</v>
      </c>
      <c r="T1457" s="21">
        <f t="shared" si="1027"/>
        <v>0</v>
      </c>
      <c r="U1457" s="21">
        <f t="shared" si="1027"/>
        <v>0</v>
      </c>
      <c r="V1457" s="21">
        <f t="shared" si="1027"/>
        <v>0</v>
      </c>
      <c r="W1457" s="21">
        <f t="shared" si="1027"/>
        <v>0</v>
      </c>
      <c r="X1457" s="21">
        <f t="shared" si="1027"/>
        <v>0</v>
      </c>
      <c r="Y1457" s="21">
        <f t="shared" si="1027"/>
        <v>0</v>
      </c>
      <c r="Z1457" s="21">
        <f t="shared" si="1027"/>
        <v>0</v>
      </c>
      <c r="AA1457" s="21">
        <f t="shared" si="1027"/>
        <v>0</v>
      </c>
      <c r="AB1457" s="21">
        <f t="shared" si="1027"/>
        <v>0</v>
      </c>
      <c r="AC1457" s="21">
        <f t="shared" si="1027"/>
        <v>0</v>
      </c>
      <c r="AD1457" s="21">
        <f t="shared" si="1027"/>
        <v>0</v>
      </c>
      <c r="AE1457" s="21">
        <f t="shared" si="1027"/>
        <v>0</v>
      </c>
      <c r="AF1457" s="52"/>
      <c r="AG1457" s="21"/>
      <c r="AH1457" s="21"/>
      <c r="AI1457" s="21"/>
      <c r="AJ1457" s="21"/>
    </row>
    <row r="1459" spans="2:36" x14ac:dyDescent="0.2">
      <c r="C1459" s="1" t="s">
        <v>926</v>
      </c>
      <c r="I1459" s="41">
        <f>(SUMIF('Quarterly Plant Model'!$I$2:$V$2,'Plant model'!I$2,'Quarterly Plant Model'!$I1459:$V1459)&gt;0)*1</f>
        <v>1</v>
      </c>
      <c r="J1459" s="41">
        <f>(SUMIF('Quarterly Plant Model'!$I$2:$V$2,'Plant model'!J$2,'Quarterly Plant Model'!$I1459:$V1459)&gt;0)*1</f>
        <v>1</v>
      </c>
      <c r="K1459" s="41">
        <f>(SUMIF('Quarterly Plant Model'!$I$2:$V$2,'Plant model'!K$2,'Quarterly Plant Model'!$I1459:$V1459)&gt;0)*1</f>
        <v>1</v>
      </c>
      <c r="L1459" s="41">
        <f>(SUMIF('Quarterly Plant Model'!$I$2:$V$2,'Plant model'!L$2,'Quarterly Plant Model'!$I1459:$V1459)&gt;0)*1</f>
        <v>0</v>
      </c>
      <c r="M1459" s="41">
        <f>(SUMIF('Quarterly Plant Model'!$I$2:$V$2,'Plant model'!M$2,'Quarterly Plant Model'!$I1459:$V1459)&gt;0)*1</f>
        <v>0</v>
      </c>
      <c r="N1459" s="41">
        <f>(SUMIF('Quarterly Plant Model'!$I$2:$V$2,'Plant model'!N$2,'Quarterly Plant Model'!$I1459:$V1459)&gt;0)*1</f>
        <v>0</v>
      </c>
      <c r="O1459" s="41">
        <f>(SUMIF('Quarterly Plant Model'!$I$2:$V$2,'Plant model'!O$2,'Quarterly Plant Model'!$I1459:$V1459)&gt;0)*1</f>
        <v>0</v>
      </c>
      <c r="P1459" s="41">
        <f>(SUMIF('Quarterly Plant Model'!$I$2:$V$2,'Plant model'!P$2,'Quarterly Plant Model'!$I1459:$V1459)&gt;0)*1</f>
        <v>0</v>
      </c>
      <c r="Q1459" s="41">
        <f>(SUMIF('Quarterly Plant Model'!$I$2:$V$2,'Plant model'!Q$2,'Quarterly Plant Model'!$I1459:$V1459)&gt;0)*1</f>
        <v>0</v>
      </c>
      <c r="R1459" s="41">
        <f>(SUMIF('Quarterly Plant Model'!$I$2:$V$2,'Plant model'!R$2,'Quarterly Plant Model'!$I1459:$V1459)&gt;0)*1</f>
        <v>0</v>
      </c>
      <c r="S1459" s="41">
        <f>(SUMIF('Quarterly Plant Model'!$I$2:$V$2,'Plant model'!S$2,'Quarterly Plant Model'!$I1459:$V1459)&gt;0)*1</f>
        <v>0</v>
      </c>
      <c r="T1459" s="41">
        <f>(SUMIF('Quarterly Plant Model'!$I$2:$V$2,'Plant model'!T$2,'Quarterly Plant Model'!$I1459:$V1459)&gt;0)*1</f>
        <v>0</v>
      </c>
      <c r="U1459" s="41">
        <f>(SUMIF('Quarterly Plant Model'!$I$2:$V$2,'Plant model'!U$2,'Quarterly Plant Model'!$I1459:$V1459)&gt;0)*1</f>
        <v>0</v>
      </c>
      <c r="V1459" s="41">
        <f>(SUMIF('Quarterly Plant Model'!$I$2:$V$2,'Plant model'!V$2,'Quarterly Plant Model'!$I1459:$V1459)&gt;0)*1</f>
        <v>0</v>
      </c>
      <c r="W1459" s="41">
        <f>(SUMIF('Quarterly Plant Model'!$I$2:$V$2,'Plant model'!W$2,'Quarterly Plant Model'!$I1459:$V1459)&gt;0)*1</f>
        <v>0</v>
      </c>
      <c r="X1459" s="41">
        <f>(SUMIF('Quarterly Plant Model'!$I$2:$V$2,'Plant model'!X$2,'Quarterly Plant Model'!$I1459:$V1459)&gt;0)*1</f>
        <v>0</v>
      </c>
      <c r="Y1459" s="41">
        <f>(SUMIF('Quarterly Plant Model'!$I$2:$V$2,'Plant model'!Y$2,'Quarterly Plant Model'!$I1459:$V1459)&gt;0)*1</f>
        <v>0</v>
      </c>
      <c r="Z1459" s="41">
        <f>(SUMIF('Quarterly Plant Model'!$I$2:$V$2,'Plant model'!Z$2,'Quarterly Plant Model'!$I1459:$V1459)&gt;0)*1</f>
        <v>0</v>
      </c>
      <c r="AA1459" s="41">
        <f>(SUMIF('Quarterly Plant Model'!$I$2:$V$2,'Plant model'!AA$2,'Quarterly Plant Model'!$I1459:$V1459)&gt;0)*1</f>
        <v>0</v>
      </c>
      <c r="AB1459" s="41">
        <f>(SUMIF('Quarterly Plant Model'!$I$2:$V$2,'Plant model'!AB$2,'Quarterly Plant Model'!$I1459:$V1459)&gt;0)*1</f>
        <v>0</v>
      </c>
      <c r="AC1459" s="41">
        <f>(SUMIF('Quarterly Plant Model'!$I$2:$V$2,'Plant model'!AC$2,'Quarterly Plant Model'!$I1459:$V1459)&gt;0)*1</f>
        <v>0</v>
      </c>
      <c r="AD1459" s="41">
        <f>(SUMIF('Quarterly Plant Model'!$I$2:$V$2,'Plant model'!AD$2,'Quarterly Plant Model'!$I1459:$V1459)&gt;0)*1</f>
        <v>0</v>
      </c>
      <c r="AE1459" s="41">
        <f>(SUMIF('Quarterly Plant Model'!$I$2:$V$2,'Plant model'!AE$2,'Quarterly Plant Model'!$I1459:$V1459)&gt;0)*1</f>
        <v>0</v>
      </c>
    </row>
    <row r="1461" spans="2:36" x14ac:dyDescent="0.2">
      <c r="C1461" s="79"/>
      <c r="D1461" s="79"/>
      <c r="E1461" s="79"/>
      <c r="F1461" s="79"/>
      <c r="G1461" s="80"/>
      <c r="H1461" s="79"/>
      <c r="I1461" s="80"/>
      <c r="J1461" s="80"/>
      <c r="K1461" s="80"/>
      <c r="L1461" s="80"/>
      <c r="M1461" s="80"/>
      <c r="N1461" s="80"/>
      <c r="O1461" s="80"/>
      <c r="P1461" s="80"/>
      <c r="Q1461" s="80"/>
      <c r="R1461" s="80"/>
      <c r="S1461" s="80"/>
      <c r="T1461" s="80"/>
      <c r="U1461" s="80"/>
      <c r="V1461" s="80"/>
      <c r="W1461" s="80"/>
      <c r="X1461" s="80"/>
      <c r="Y1461" s="80"/>
      <c r="Z1461" s="80"/>
      <c r="AA1461" s="80"/>
      <c r="AB1461" s="80"/>
      <c r="AC1461" s="80"/>
      <c r="AD1461" s="80"/>
      <c r="AE1461" s="80"/>
      <c r="AF1461" s="45"/>
      <c r="AG1461" s="80"/>
      <c r="AH1461" s="80"/>
      <c r="AI1461" s="80"/>
      <c r="AJ1461" s="80"/>
    </row>
    <row r="1462" spans="2:36" x14ac:dyDescent="0.2">
      <c r="C1462" s="5"/>
      <c r="D1462" s="5"/>
      <c r="G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52"/>
      <c r="AG1462" s="21"/>
      <c r="AH1462" s="21"/>
      <c r="AI1462" s="21"/>
      <c r="AJ1462" s="21"/>
    </row>
    <row r="1463" spans="2:36" x14ac:dyDescent="0.2">
      <c r="B1463" s="10">
        <f>B1444+0.1</f>
        <v>14.2</v>
      </c>
      <c r="C1463" s="20" t="s">
        <v>187</v>
      </c>
      <c r="D1463" s="20"/>
      <c r="G1463" s="21"/>
      <c r="H1463" s="69"/>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52"/>
      <c r="AG1463" s="21"/>
      <c r="AH1463" s="21"/>
      <c r="AI1463" s="21"/>
      <c r="AJ1463" s="21"/>
    </row>
    <row r="1464" spans="2:36" x14ac:dyDescent="0.2">
      <c r="C1464" s="5"/>
      <c r="D1464" s="5"/>
      <c r="G1464" s="21"/>
      <c r="I1464" s="21"/>
      <c r="J1464" s="21"/>
      <c r="K1464" s="21"/>
      <c r="L1464" s="21"/>
      <c r="M1464" s="21"/>
      <c r="N1464" s="21"/>
      <c r="O1464" s="21"/>
      <c r="P1464" s="21"/>
      <c r="Q1464" s="21"/>
      <c r="R1464" s="21"/>
      <c r="S1464" s="21"/>
      <c r="T1464" s="21"/>
      <c r="U1464" s="21"/>
      <c r="V1464" s="21"/>
      <c r="W1464" s="21"/>
      <c r="X1464" s="21"/>
      <c r="Y1464" s="21"/>
      <c r="Z1464" s="21"/>
      <c r="AA1464" s="21"/>
      <c r="AB1464" s="21"/>
      <c r="AC1464" s="21"/>
      <c r="AD1464" s="21"/>
      <c r="AE1464" s="21"/>
      <c r="AF1464" s="52"/>
      <c r="AG1464" s="21"/>
      <c r="AH1464" s="21"/>
      <c r="AI1464" s="21"/>
      <c r="AJ1464" s="21"/>
    </row>
    <row r="1465" spans="2:36" x14ac:dyDescent="0.2">
      <c r="B1465" s="24"/>
      <c r="C1465" s="20" t="s">
        <v>188</v>
      </c>
      <c r="D1465" s="20"/>
      <c r="G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52"/>
      <c r="AG1465" s="21"/>
      <c r="AH1465" s="21"/>
      <c r="AI1465" s="21"/>
      <c r="AJ1465" s="21"/>
    </row>
    <row r="1466" spans="2:36" x14ac:dyDescent="0.2">
      <c r="B1466" s="24"/>
      <c r="C1466" s="20"/>
      <c r="D1466" s="20"/>
      <c r="G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52"/>
      <c r="AG1466" s="21"/>
      <c r="AH1466" s="21"/>
      <c r="AI1466" s="21"/>
      <c r="AJ1466" s="21"/>
    </row>
    <row r="1467" spans="2:36" x14ac:dyDescent="0.2">
      <c r="B1467" s="24"/>
      <c r="C1467" s="5" t="s">
        <v>928</v>
      </c>
      <c r="D1467" s="20"/>
      <c r="E1467" s="538">
        <f>'Quarterly Plant Model'!E1467</f>
        <v>44926</v>
      </c>
      <c r="G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52"/>
      <c r="AG1467" s="21"/>
      <c r="AH1467" s="21"/>
      <c r="AI1467" s="21"/>
      <c r="AJ1467" s="21"/>
    </row>
    <row r="1468" spans="2:36" x14ac:dyDescent="0.2">
      <c r="B1468" s="24"/>
      <c r="C1468" s="5" t="s">
        <v>189</v>
      </c>
      <c r="D1468" s="5"/>
      <c r="E1468" s="513">
        <f>SUMIF(I3:AE3,YEAR('Quarterly Plant Model'!E1468),I2:AE2)</f>
        <v>0</v>
      </c>
      <c r="F1468" s="1" t="s">
        <v>190</v>
      </c>
      <c r="G1468" s="21"/>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52"/>
      <c r="AG1468" s="21"/>
      <c r="AH1468" s="21"/>
      <c r="AI1468" s="21"/>
      <c r="AJ1468" s="21"/>
    </row>
    <row r="1469" spans="2:36" x14ac:dyDescent="0.2">
      <c r="B1469" s="24"/>
      <c r="C1469" s="20"/>
      <c r="D1469" s="20"/>
      <c r="G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52"/>
      <c r="AG1469" s="21"/>
      <c r="AH1469" s="21"/>
      <c r="AI1469" s="21"/>
      <c r="AJ1469" s="21"/>
    </row>
    <row r="1470" spans="2:36" x14ac:dyDescent="0.2">
      <c r="C1470" s="20"/>
      <c r="D1470" s="20"/>
      <c r="E1470" s="1" t="s">
        <v>191</v>
      </c>
      <c r="G1470" s="21" t="s">
        <v>375</v>
      </c>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52"/>
      <c r="AG1470" s="21"/>
      <c r="AH1470" s="21"/>
      <c r="AI1470" s="21"/>
      <c r="AJ1470" s="21"/>
    </row>
    <row r="1471" spans="2:36" x14ac:dyDescent="0.2">
      <c r="C1471" s="5" t="str">
        <f>E1471&amp;" year door-to-door tenor"</f>
        <v>9 year door-to-door tenor</v>
      </c>
      <c r="D1471" s="5"/>
      <c r="E1471" s="98">
        <v>9</v>
      </c>
      <c r="F1471" s="1" t="s">
        <v>192</v>
      </c>
      <c r="G1471" s="21">
        <f>SUM(I1471:AJ1471)</f>
        <v>7</v>
      </c>
      <c r="I1471" s="21">
        <f t="shared" ref="I1471:R1473" si="1028">(I$1&lt;=$E1471)*1*(I$2&gt;=$E$1468)</f>
        <v>0</v>
      </c>
      <c r="J1471" s="21">
        <f t="shared" si="1028"/>
        <v>0</v>
      </c>
      <c r="K1471" s="21">
        <f t="shared" si="1028"/>
        <v>1</v>
      </c>
      <c r="L1471" s="21">
        <f t="shared" si="1028"/>
        <v>1</v>
      </c>
      <c r="M1471" s="21">
        <f t="shared" si="1028"/>
        <v>1</v>
      </c>
      <c r="N1471" s="21">
        <f t="shared" si="1028"/>
        <v>1</v>
      </c>
      <c r="O1471" s="21">
        <f t="shared" si="1028"/>
        <v>1</v>
      </c>
      <c r="P1471" s="21">
        <f t="shared" si="1028"/>
        <v>1</v>
      </c>
      <c r="Q1471" s="21">
        <f t="shared" si="1028"/>
        <v>1</v>
      </c>
      <c r="R1471" s="21">
        <f t="shared" si="1028"/>
        <v>0</v>
      </c>
      <c r="S1471" s="21">
        <f t="shared" ref="S1471:AE1473" si="1029">(S$1&lt;=$E1471)*1*(S$2&gt;=$E$1468)</f>
        <v>0</v>
      </c>
      <c r="T1471" s="21">
        <f t="shared" si="1029"/>
        <v>0</v>
      </c>
      <c r="U1471" s="21">
        <f t="shared" si="1029"/>
        <v>0</v>
      </c>
      <c r="V1471" s="21">
        <f t="shared" si="1029"/>
        <v>0</v>
      </c>
      <c r="W1471" s="21">
        <f t="shared" si="1029"/>
        <v>0</v>
      </c>
      <c r="X1471" s="21">
        <f t="shared" si="1029"/>
        <v>0</v>
      </c>
      <c r="Y1471" s="21">
        <f t="shared" si="1029"/>
        <v>0</v>
      </c>
      <c r="Z1471" s="21">
        <f t="shared" si="1029"/>
        <v>0</v>
      </c>
      <c r="AA1471" s="21">
        <f t="shared" si="1029"/>
        <v>0</v>
      </c>
      <c r="AB1471" s="21">
        <f t="shared" si="1029"/>
        <v>0</v>
      </c>
      <c r="AC1471" s="21">
        <f t="shared" si="1029"/>
        <v>0</v>
      </c>
      <c r="AD1471" s="21">
        <f t="shared" si="1029"/>
        <v>0</v>
      </c>
      <c r="AE1471" s="21">
        <f t="shared" si="1029"/>
        <v>0</v>
      </c>
      <c r="AF1471" s="52"/>
      <c r="AG1471" s="21"/>
      <c r="AH1471" s="21"/>
      <c r="AI1471" s="21"/>
      <c r="AJ1471" s="21"/>
    </row>
    <row r="1472" spans="2:36" x14ac:dyDescent="0.2">
      <c r="C1472" s="5" t="str">
        <f>E1472&amp;" year door-to-door tenor"</f>
        <v>10 year door-to-door tenor</v>
      </c>
      <c r="D1472" s="5"/>
      <c r="E1472" s="98">
        <v>10</v>
      </c>
      <c r="F1472" s="1" t="s">
        <v>192</v>
      </c>
      <c r="G1472" s="21">
        <f>SUM(I1472:AJ1472)</f>
        <v>8</v>
      </c>
      <c r="I1472" s="21">
        <f t="shared" si="1028"/>
        <v>0</v>
      </c>
      <c r="J1472" s="21">
        <f t="shared" si="1028"/>
        <v>0</v>
      </c>
      <c r="K1472" s="21">
        <f t="shared" si="1028"/>
        <v>1</v>
      </c>
      <c r="L1472" s="21">
        <f t="shared" si="1028"/>
        <v>1</v>
      </c>
      <c r="M1472" s="21">
        <f t="shared" si="1028"/>
        <v>1</v>
      </c>
      <c r="N1472" s="21">
        <f t="shared" si="1028"/>
        <v>1</v>
      </c>
      <c r="O1472" s="21">
        <f t="shared" si="1028"/>
        <v>1</v>
      </c>
      <c r="P1472" s="21">
        <f t="shared" si="1028"/>
        <v>1</v>
      </c>
      <c r="Q1472" s="21">
        <f t="shared" si="1028"/>
        <v>1</v>
      </c>
      <c r="R1472" s="21">
        <f t="shared" si="1028"/>
        <v>1</v>
      </c>
      <c r="S1472" s="21">
        <f t="shared" si="1029"/>
        <v>0</v>
      </c>
      <c r="T1472" s="21">
        <f t="shared" si="1029"/>
        <v>0</v>
      </c>
      <c r="U1472" s="21">
        <f t="shared" si="1029"/>
        <v>0</v>
      </c>
      <c r="V1472" s="21">
        <f t="shared" si="1029"/>
        <v>0</v>
      </c>
      <c r="W1472" s="21">
        <f t="shared" si="1029"/>
        <v>0</v>
      </c>
      <c r="X1472" s="21">
        <f t="shared" si="1029"/>
        <v>0</v>
      </c>
      <c r="Y1472" s="21">
        <f t="shared" si="1029"/>
        <v>0</v>
      </c>
      <c r="Z1472" s="21">
        <f t="shared" si="1029"/>
        <v>0</v>
      </c>
      <c r="AA1472" s="21">
        <f t="shared" si="1029"/>
        <v>0</v>
      </c>
      <c r="AB1472" s="21">
        <f t="shared" si="1029"/>
        <v>0</v>
      </c>
      <c r="AC1472" s="21">
        <f t="shared" si="1029"/>
        <v>0</v>
      </c>
      <c r="AD1472" s="21">
        <f t="shared" si="1029"/>
        <v>0</v>
      </c>
      <c r="AE1472" s="21">
        <f t="shared" si="1029"/>
        <v>0</v>
      </c>
      <c r="AF1472" s="52"/>
      <c r="AG1472" s="21"/>
      <c r="AH1472" s="21"/>
      <c r="AI1472" s="21"/>
      <c r="AJ1472" s="21"/>
    </row>
    <row r="1473" spans="2:36" x14ac:dyDescent="0.2">
      <c r="C1473" s="5" t="str">
        <f>E1473&amp;" year door-to-door tenor"</f>
        <v>11 year door-to-door tenor</v>
      </c>
      <c r="D1473" s="5"/>
      <c r="E1473" s="98">
        <v>11</v>
      </c>
      <c r="F1473" s="1" t="s">
        <v>192</v>
      </c>
      <c r="G1473" s="21">
        <f>SUM(I1473:AJ1473)</f>
        <v>9</v>
      </c>
      <c r="I1473" s="21">
        <f t="shared" si="1028"/>
        <v>0</v>
      </c>
      <c r="J1473" s="21">
        <f t="shared" si="1028"/>
        <v>0</v>
      </c>
      <c r="K1473" s="21">
        <f t="shared" si="1028"/>
        <v>1</v>
      </c>
      <c r="L1473" s="21">
        <f t="shared" si="1028"/>
        <v>1</v>
      </c>
      <c r="M1473" s="21">
        <f t="shared" si="1028"/>
        <v>1</v>
      </c>
      <c r="N1473" s="21">
        <f t="shared" si="1028"/>
        <v>1</v>
      </c>
      <c r="O1473" s="21">
        <f t="shared" si="1028"/>
        <v>1</v>
      </c>
      <c r="P1473" s="21">
        <f t="shared" si="1028"/>
        <v>1</v>
      </c>
      <c r="Q1473" s="21">
        <f t="shared" si="1028"/>
        <v>1</v>
      </c>
      <c r="R1473" s="21">
        <f t="shared" si="1028"/>
        <v>1</v>
      </c>
      <c r="S1473" s="21">
        <f t="shared" si="1029"/>
        <v>1</v>
      </c>
      <c r="T1473" s="21">
        <f t="shared" si="1029"/>
        <v>0</v>
      </c>
      <c r="U1473" s="21">
        <f t="shared" si="1029"/>
        <v>0</v>
      </c>
      <c r="V1473" s="21">
        <f t="shared" si="1029"/>
        <v>0</v>
      </c>
      <c r="W1473" s="21">
        <f t="shared" si="1029"/>
        <v>0</v>
      </c>
      <c r="X1473" s="21">
        <f t="shared" si="1029"/>
        <v>0</v>
      </c>
      <c r="Y1473" s="21">
        <f t="shared" si="1029"/>
        <v>0</v>
      </c>
      <c r="Z1473" s="21">
        <f t="shared" si="1029"/>
        <v>0</v>
      </c>
      <c r="AA1473" s="21">
        <f t="shared" si="1029"/>
        <v>0</v>
      </c>
      <c r="AB1473" s="21">
        <f t="shared" si="1029"/>
        <v>0</v>
      </c>
      <c r="AC1473" s="21">
        <f t="shared" si="1029"/>
        <v>0</v>
      </c>
      <c r="AD1473" s="21">
        <f t="shared" si="1029"/>
        <v>0</v>
      </c>
      <c r="AE1473" s="21">
        <f t="shared" si="1029"/>
        <v>0</v>
      </c>
      <c r="AF1473" s="52"/>
      <c r="AG1473" s="21"/>
      <c r="AH1473" s="21"/>
      <c r="AI1473" s="21"/>
      <c r="AJ1473" s="21"/>
    </row>
    <row r="1475" spans="2:36" x14ac:dyDescent="0.2">
      <c r="B1475" s="24"/>
      <c r="C1475" s="9" t="s">
        <v>193</v>
      </c>
      <c r="D1475" s="9"/>
      <c r="E1475" s="86" t="s">
        <v>176</v>
      </c>
    </row>
    <row r="1476" spans="2:36" x14ac:dyDescent="0.2">
      <c r="C1476" s="1" t="str">
        <f>C1471</f>
        <v>9 year door-to-door tenor</v>
      </c>
      <c r="E1476" s="69">
        <f>NPV($E$1483,L1476:AE1476)</f>
        <v>558.50412066090587</v>
      </c>
      <c r="F1476" s="1" t="s">
        <v>55</v>
      </c>
      <c r="G1476" s="21">
        <f>SUM(I1476:AJ1476)</f>
        <v>714.51137467742535</v>
      </c>
      <c r="I1476" s="21"/>
      <c r="J1476" s="21"/>
      <c r="K1476" s="21"/>
      <c r="L1476" s="21">
        <f t="shared" ref="L1476:M1478" si="1030">L1471*L$1382</f>
        <v>65.019488363830789</v>
      </c>
      <c r="M1476" s="21">
        <f t="shared" si="1030"/>
        <v>118.9873214879828</v>
      </c>
      <c r="N1476" s="21">
        <f t="shared" ref="N1476:AE1476" si="1031">N1471*N$1382</f>
        <v>137.98341723309576</v>
      </c>
      <c r="O1476" s="21">
        <f t="shared" si="1031"/>
        <v>137.98341723309574</v>
      </c>
      <c r="P1476" s="21">
        <f t="shared" si="1031"/>
        <v>135.03170257897594</v>
      </c>
      <c r="Q1476" s="21">
        <f t="shared" si="1031"/>
        <v>119.50602778044434</v>
      </c>
      <c r="R1476" s="21">
        <f t="shared" si="1031"/>
        <v>0</v>
      </c>
      <c r="S1476" s="21">
        <f t="shared" si="1031"/>
        <v>0</v>
      </c>
      <c r="T1476" s="21">
        <f t="shared" si="1031"/>
        <v>0</v>
      </c>
      <c r="U1476" s="21">
        <f t="shared" si="1031"/>
        <v>0</v>
      </c>
      <c r="V1476" s="21">
        <f t="shared" si="1031"/>
        <v>0</v>
      </c>
      <c r="W1476" s="21">
        <f t="shared" si="1031"/>
        <v>0</v>
      </c>
      <c r="X1476" s="21">
        <f t="shared" si="1031"/>
        <v>0</v>
      </c>
      <c r="Y1476" s="21">
        <f t="shared" si="1031"/>
        <v>0</v>
      </c>
      <c r="Z1476" s="21">
        <f t="shared" si="1031"/>
        <v>0</v>
      </c>
      <c r="AA1476" s="21">
        <f t="shared" si="1031"/>
        <v>0</v>
      </c>
      <c r="AB1476" s="21">
        <f t="shared" si="1031"/>
        <v>0</v>
      </c>
      <c r="AC1476" s="21">
        <f t="shared" si="1031"/>
        <v>0</v>
      </c>
      <c r="AD1476" s="21">
        <f t="shared" si="1031"/>
        <v>0</v>
      </c>
      <c r="AE1476" s="21">
        <f t="shared" si="1031"/>
        <v>0</v>
      </c>
      <c r="AF1476" s="52"/>
      <c r="AG1476" s="21"/>
      <c r="AH1476" s="21"/>
      <c r="AI1476" s="21"/>
      <c r="AJ1476" s="21"/>
    </row>
    <row r="1477" spans="2:36" x14ac:dyDescent="0.2">
      <c r="C1477" s="1" t="str">
        <f>C1472</f>
        <v>10 year door-to-door tenor</v>
      </c>
      <c r="E1477" s="69">
        <f>NPV($E$1483,L1477:AE1477)</f>
        <v>625.88399341409422</v>
      </c>
      <c r="F1477" s="1" t="s">
        <v>55</v>
      </c>
      <c r="G1477" s="21">
        <f>SUM(I1477:AJ1477)</f>
        <v>822.70872623196885</v>
      </c>
      <c r="I1477" s="21"/>
      <c r="J1477" s="21"/>
      <c r="K1477" s="21"/>
      <c r="L1477" s="21">
        <f t="shared" si="1030"/>
        <v>65.019488363830789</v>
      </c>
      <c r="M1477" s="21">
        <f t="shared" si="1030"/>
        <v>118.9873214879828</v>
      </c>
      <c r="N1477" s="21">
        <f t="shared" ref="N1477:AE1477" si="1032">N1472*N$1382</f>
        <v>137.98341723309576</v>
      </c>
      <c r="O1477" s="21">
        <f t="shared" si="1032"/>
        <v>137.98341723309574</v>
      </c>
      <c r="P1477" s="21">
        <f t="shared" si="1032"/>
        <v>135.03170257897594</v>
      </c>
      <c r="Q1477" s="21">
        <f t="shared" si="1032"/>
        <v>119.50602778044434</v>
      </c>
      <c r="R1477" s="21">
        <f t="shared" si="1032"/>
        <v>108.1973515545435</v>
      </c>
      <c r="S1477" s="21">
        <f t="shared" si="1032"/>
        <v>0</v>
      </c>
      <c r="T1477" s="21">
        <f t="shared" si="1032"/>
        <v>0</v>
      </c>
      <c r="U1477" s="21">
        <f t="shared" si="1032"/>
        <v>0</v>
      </c>
      <c r="V1477" s="21">
        <f t="shared" si="1032"/>
        <v>0</v>
      </c>
      <c r="W1477" s="21">
        <f t="shared" si="1032"/>
        <v>0</v>
      </c>
      <c r="X1477" s="21">
        <f t="shared" si="1032"/>
        <v>0</v>
      </c>
      <c r="Y1477" s="21">
        <f t="shared" si="1032"/>
        <v>0</v>
      </c>
      <c r="Z1477" s="21">
        <f t="shared" si="1032"/>
        <v>0</v>
      </c>
      <c r="AA1477" s="21">
        <f t="shared" si="1032"/>
        <v>0</v>
      </c>
      <c r="AB1477" s="21">
        <f t="shared" si="1032"/>
        <v>0</v>
      </c>
      <c r="AC1477" s="21">
        <f t="shared" si="1032"/>
        <v>0</v>
      </c>
      <c r="AD1477" s="21">
        <f t="shared" si="1032"/>
        <v>0</v>
      </c>
      <c r="AE1477" s="21">
        <f t="shared" si="1032"/>
        <v>0</v>
      </c>
      <c r="AF1477" s="52"/>
      <c r="AG1477" s="21"/>
      <c r="AH1477" s="21"/>
      <c r="AI1477" s="21"/>
      <c r="AJ1477" s="21"/>
    </row>
    <row r="1478" spans="2:36" x14ac:dyDescent="0.2">
      <c r="C1478" s="1" t="str">
        <f>C1473</f>
        <v>11 year door-to-door tenor</v>
      </c>
      <c r="E1478" s="69">
        <f>NPV($E$1483,L1478:AE1478)</f>
        <v>687.83302017436415</v>
      </c>
      <c r="F1478" s="1" t="s">
        <v>55</v>
      </c>
      <c r="G1478" s="21">
        <f>SUM(I1478:AJ1478)</f>
        <v>929.14868786550244</v>
      </c>
      <c r="I1478" s="21"/>
      <c r="J1478" s="21"/>
      <c r="K1478" s="21"/>
      <c r="L1478" s="21">
        <f t="shared" si="1030"/>
        <v>65.019488363830789</v>
      </c>
      <c r="M1478" s="21">
        <f t="shared" si="1030"/>
        <v>118.9873214879828</v>
      </c>
      <c r="N1478" s="21">
        <f t="shared" ref="N1478:AE1478" si="1033">N1473*N$1382</f>
        <v>137.98341723309576</v>
      </c>
      <c r="O1478" s="21">
        <f t="shared" si="1033"/>
        <v>137.98341723309574</v>
      </c>
      <c r="P1478" s="21">
        <f t="shared" si="1033"/>
        <v>135.03170257897594</v>
      </c>
      <c r="Q1478" s="21">
        <f t="shared" si="1033"/>
        <v>119.50602778044434</v>
      </c>
      <c r="R1478" s="21">
        <f t="shared" si="1033"/>
        <v>108.1973515545435</v>
      </c>
      <c r="S1478" s="21">
        <f t="shared" si="1033"/>
        <v>106.43996163353354</v>
      </c>
      <c r="T1478" s="21">
        <f t="shared" si="1033"/>
        <v>0</v>
      </c>
      <c r="U1478" s="21">
        <f t="shared" si="1033"/>
        <v>0</v>
      </c>
      <c r="V1478" s="21">
        <f t="shared" si="1033"/>
        <v>0</v>
      </c>
      <c r="W1478" s="21">
        <f t="shared" si="1033"/>
        <v>0</v>
      </c>
      <c r="X1478" s="21">
        <f t="shared" si="1033"/>
        <v>0</v>
      </c>
      <c r="Y1478" s="21">
        <f t="shared" si="1033"/>
        <v>0</v>
      </c>
      <c r="Z1478" s="21">
        <f t="shared" si="1033"/>
        <v>0</v>
      </c>
      <c r="AA1478" s="21">
        <f t="shared" si="1033"/>
        <v>0</v>
      </c>
      <c r="AB1478" s="21">
        <f t="shared" si="1033"/>
        <v>0</v>
      </c>
      <c r="AC1478" s="21">
        <f t="shared" si="1033"/>
        <v>0</v>
      </c>
      <c r="AD1478" s="21">
        <f t="shared" si="1033"/>
        <v>0</v>
      </c>
      <c r="AE1478" s="21">
        <f t="shared" si="1033"/>
        <v>0</v>
      </c>
      <c r="AF1478" s="52"/>
      <c r="AG1478" s="21"/>
      <c r="AH1478" s="21"/>
      <c r="AI1478" s="21"/>
      <c r="AJ1478" s="21"/>
    </row>
    <row r="1479" spans="2:36" x14ac:dyDescent="0.2">
      <c r="E1479" s="69"/>
    </row>
    <row r="1480" spans="2:36" x14ac:dyDescent="0.2">
      <c r="C1480" s="9" t="s">
        <v>187</v>
      </c>
      <c r="D1480" s="9"/>
    </row>
    <row r="1481" spans="2:36" x14ac:dyDescent="0.2">
      <c r="C1481" s="1" t="s">
        <v>194</v>
      </c>
      <c r="E1481" s="107">
        <v>1.5</v>
      </c>
      <c r="F1481" s="1" t="s">
        <v>195</v>
      </c>
    </row>
    <row r="1482" spans="2:36" x14ac:dyDescent="0.2">
      <c r="C1482" s="1" t="s">
        <v>564</v>
      </c>
      <c r="E1482" s="107">
        <v>1.5</v>
      </c>
      <c r="F1482" s="1" t="s">
        <v>195</v>
      </c>
    </row>
    <row r="1483" spans="2:36" x14ac:dyDescent="0.2">
      <c r="C1483" s="1" t="s">
        <v>196</v>
      </c>
      <c r="E1483" s="99">
        <v>7.0000000000000007E-2</v>
      </c>
      <c r="F1483" s="1" t="s">
        <v>8</v>
      </c>
    </row>
    <row r="1485" spans="2:36" x14ac:dyDescent="0.2">
      <c r="C1485" s="1" t="str">
        <f>C1476</f>
        <v>9 year door-to-door tenor</v>
      </c>
      <c r="E1485" s="21">
        <f>NPV($E$1483,L1476:AJ1476)/$E$1481</f>
        <v>372.33608044060389</v>
      </c>
      <c r="F1485" s="1" t="s">
        <v>55</v>
      </c>
    </row>
    <row r="1486" spans="2:36" x14ac:dyDescent="0.2">
      <c r="C1486" s="1" t="str">
        <f>C1477</f>
        <v>10 year door-to-door tenor</v>
      </c>
      <c r="E1486" s="21">
        <f>NPV($E$1483,L1477:AJ1477)/$E$1481</f>
        <v>417.25599560939617</v>
      </c>
      <c r="F1486" s="1" t="s">
        <v>55</v>
      </c>
    </row>
    <row r="1487" spans="2:36" x14ac:dyDescent="0.2">
      <c r="C1487" s="1" t="str">
        <f>C1478</f>
        <v>11 year door-to-door tenor</v>
      </c>
      <c r="E1487" s="21">
        <f>NPV($E$1483,L1478:AJ1478)/$E$1481</f>
        <v>458.55534678290945</v>
      </c>
      <c r="F1487" s="1" t="s">
        <v>55</v>
      </c>
    </row>
    <row r="1488" spans="2:36" x14ac:dyDescent="0.2">
      <c r="E1488" s="21"/>
      <c r="M1488" s="21"/>
    </row>
    <row r="1489" spans="2:36" x14ac:dyDescent="0.2">
      <c r="C1489" s="9" t="s">
        <v>376</v>
      </c>
      <c r="D1489" s="9"/>
      <c r="E1489" s="21"/>
    </row>
    <row r="1490" spans="2:36" x14ac:dyDescent="0.2">
      <c r="C1490" s="1" t="s">
        <v>197</v>
      </c>
      <c r="E1490" s="21"/>
      <c r="F1490" s="1" t="s">
        <v>55</v>
      </c>
      <c r="I1490" s="21">
        <f t="shared" ref="I1490:AE1490" si="1034">I1528*I1382</f>
        <v>0</v>
      </c>
      <c r="J1490" s="21">
        <f t="shared" si="1034"/>
        <v>0</v>
      </c>
      <c r="K1490" s="21">
        <f t="shared" si="1034"/>
        <v>-124.00487669130889</v>
      </c>
      <c r="L1490" s="21">
        <f t="shared" si="1034"/>
        <v>65.019488363830789</v>
      </c>
      <c r="M1490" s="21">
        <f t="shared" si="1034"/>
        <v>118.9873214879828</v>
      </c>
      <c r="N1490" s="21">
        <f t="shared" si="1034"/>
        <v>137.98341723309576</v>
      </c>
      <c r="O1490" s="21">
        <f t="shared" si="1034"/>
        <v>137.98341723309574</v>
      </c>
      <c r="P1490" s="21">
        <f t="shared" si="1034"/>
        <v>135.03170257897594</v>
      </c>
      <c r="Q1490" s="21">
        <f t="shared" si="1034"/>
        <v>119.50602778044434</v>
      </c>
      <c r="R1490" s="21">
        <f t="shared" si="1034"/>
        <v>108.1973515545435</v>
      </c>
      <c r="S1490" s="21">
        <f t="shared" si="1034"/>
        <v>106.43996163353354</v>
      </c>
      <c r="T1490" s="21">
        <f t="shared" si="1034"/>
        <v>105.09889033885702</v>
      </c>
      <c r="U1490" s="21">
        <f t="shared" si="1034"/>
        <v>0</v>
      </c>
      <c r="V1490" s="21">
        <f t="shared" si="1034"/>
        <v>0</v>
      </c>
      <c r="W1490" s="21">
        <f t="shared" si="1034"/>
        <v>0</v>
      </c>
      <c r="X1490" s="21">
        <f t="shared" si="1034"/>
        <v>0</v>
      </c>
      <c r="Y1490" s="21">
        <f t="shared" si="1034"/>
        <v>0</v>
      </c>
      <c r="Z1490" s="21">
        <f t="shared" si="1034"/>
        <v>0</v>
      </c>
      <c r="AA1490" s="21">
        <f t="shared" si="1034"/>
        <v>0</v>
      </c>
      <c r="AB1490" s="21">
        <f t="shared" si="1034"/>
        <v>0</v>
      </c>
      <c r="AC1490" s="21">
        <f t="shared" si="1034"/>
        <v>0</v>
      </c>
      <c r="AD1490" s="21">
        <f t="shared" si="1034"/>
        <v>0</v>
      </c>
      <c r="AE1490" s="21">
        <f t="shared" si="1034"/>
        <v>0</v>
      </c>
      <c r="AF1490" s="52"/>
      <c r="AG1490" s="21"/>
      <c r="AH1490" s="21"/>
      <c r="AI1490" s="21"/>
      <c r="AJ1490" s="21"/>
    </row>
    <row r="1491" spans="2:36" x14ac:dyDescent="0.2">
      <c r="C1491" s="1" t="s">
        <v>198</v>
      </c>
      <c r="E1491" s="21"/>
      <c r="F1491" s="1" t="s">
        <v>55</v>
      </c>
      <c r="I1491" s="41">
        <f>SUMIF('Quarterly Plant Model'!$I$2:$V$2,'Plant model'!I$2,'Quarterly Plant Model'!$I1491:$V1491)</f>
        <v>0</v>
      </c>
      <c r="J1491" s="41">
        <f>SUMIF('Quarterly Plant Model'!$I$2:$V$2,'Plant model'!J$2,'Quarterly Plant Model'!$I1491:$V1491)</f>
        <v>0</v>
      </c>
      <c r="K1491" s="41">
        <f>SUMIF('Quarterly Plant Model'!$I$2:$V$2,'Plant model'!K$2,'Quarterly Plant Model'!$I1491:$V1491)</f>
        <v>17.368421052631579</v>
      </c>
      <c r="L1491" s="41">
        <f>SUMIF('Quarterly Plant Model'!$I$2:$V$2,'Plant model'!L$2,'Quarterly Plant Model'!$I1491:$V1491)</f>
        <v>17.368421052631579</v>
      </c>
      <c r="M1491" s="21">
        <f t="shared" ref="M1491:AE1491" si="1035">M1528*(-M1557+M1560)</f>
        <v>34.736842105263158</v>
      </c>
      <c r="N1491" s="21">
        <f t="shared" si="1035"/>
        <v>34.736842105263158</v>
      </c>
      <c r="O1491" s="21">
        <f t="shared" si="1035"/>
        <v>34.736842105263158</v>
      </c>
      <c r="P1491" s="21">
        <f t="shared" si="1035"/>
        <v>34.736842105263158</v>
      </c>
      <c r="Q1491" s="21">
        <f t="shared" si="1035"/>
        <v>34.736842105263158</v>
      </c>
      <c r="R1491" s="21">
        <f t="shared" si="1035"/>
        <v>34.736842105263158</v>
      </c>
      <c r="S1491" s="21">
        <f t="shared" si="1035"/>
        <v>34.736842105263158</v>
      </c>
      <c r="T1491" s="21">
        <f t="shared" si="1035"/>
        <v>34.736842105263158</v>
      </c>
      <c r="U1491" s="21">
        <f t="shared" si="1035"/>
        <v>0</v>
      </c>
      <c r="V1491" s="21">
        <f t="shared" si="1035"/>
        <v>0</v>
      </c>
      <c r="W1491" s="21">
        <f t="shared" si="1035"/>
        <v>0</v>
      </c>
      <c r="X1491" s="21">
        <f t="shared" si="1035"/>
        <v>0</v>
      </c>
      <c r="Y1491" s="21">
        <f t="shared" si="1035"/>
        <v>0</v>
      </c>
      <c r="Z1491" s="21">
        <f t="shared" si="1035"/>
        <v>0</v>
      </c>
      <c r="AA1491" s="21">
        <f t="shared" si="1035"/>
        <v>0</v>
      </c>
      <c r="AB1491" s="21">
        <f t="shared" si="1035"/>
        <v>0</v>
      </c>
      <c r="AC1491" s="21">
        <f t="shared" si="1035"/>
        <v>0</v>
      </c>
      <c r="AD1491" s="21">
        <f t="shared" si="1035"/>
        <v>0</v>
      </c>
      <c r="AE1491" s="21">
        <f t="shared" si="1035"/>
        <v>0</v>
      </c>
      <c r="AF1491" s="52"/>
      <c r="AG1491" s="21"/>
      <c r="AH1491" s="21"/>
      <c r="AI1491" s="21"/>
      <c r="AJ1491" s="21"/>
    </row>
    <row r="1492" spans="2:36" x14ac:dyDescent="0.2">
      <c r="C1492" s="1" t="s">
        <v>199</v>
      </c>
      <c r="E1492" s="21"/>
      <c r="F1492" s="1" t="s">
        <v>200</v>
      </c>
      <c r="G1492" s="81">
        <f>MIN(I1492:AJ1492)</f>
        <v>-7.1396747185905118</v>
      </c>
      <c r="I1492" s="82" t="str">
        <f>IFERROR(I1490/I1491,"n.a.")</f>
        <v>n.a.</v>
      </c>
      <c r="J1492" s="82" t="str">
        <f t="shared" ref="J1492:AE1492" si="1036">IFERROR(J1490/J1491,"n.a.")</f>
        <v>n.a.</v>
      </c>
      <c r="K1492" s="82">
        <f>IFERROR(K1490/K1491,"n.a.")</f>
        <v>-7.1396747185905118</v>
      </c>
      <c r="L1492" s="82">
        <f t="shared" si="1036"/>
        <v>3.7435462997357121</v>
      </c>
      <c r="M1492" s="82">
        <f t="shared" si="1036"/>
        <v>3.4253925882904137</v>
      </c>
      <c r="N1492" s="82">
        <f t="shared" si="1036"/>
        <v>3.972249890043666</v>
      </c>
      <c r="O1492" s="82">
        <f t="shared" si="1036"/>
        <v>3.9722498900436651</v>
      </c>
      <c r="P1492" s="82">
        <f t="shared" si="1036"/>
        <v>3.8872762863644588</v>
      </c>
      <c r="Q1492" s="82">
        <f t="shared" si="1036"/>
        <v>3.4403250421643068</v>
      </c>
      <c r="R1492" s="82">
        <f t="shared" si="1036"/>
        <v>3.114772241721707</v>
      </c>
      <c r="S1492" s="82">
        <f t="shared" si="1036"/>
        <v>3.0641807136926325</v>
      </c>
      <c r="T1492" s="82">
        <f t="shared" si="1036"/>
        <v>3.0255741158155809</v>
      </c>
      <c r="U1492" s="82" t="str">
        <f t="shared" si="1036"/>
        <v>n.a.</v>
      </c>
      <c r="V1492" s="82" t="str">
        <f t="shared" si="1036"/>
        <v>n.a.</v>
      </c>
      <c r="W1492" s="82" t="str">
        <f t="shared" si="1036"/>
        <v>n.a.</v>
      </c>
      <c r="X1492" s="82" t="str">
        <f t="shared" si="1036"/>
        <v>n.a.</v>
      </c>
      <c r="Y1492" s="82" t="str">
        <f t="shared" si="1036"/>
        <v>n.a.</v>
      </c>
      <c r="Z1492" s="82" t="str">
        <f t="shared" si="1036"/>
        <v>n.a.</v>
      </c>
      <c r="AA1492" s="82" t="str">
        <f t="shared" si="1036"/>
        <v>n.a.</v>
      </c>
      <c r="AB1492" s="82" t="str">
        <f t="shared" si="1036"/>
        <v>n.a.</v>
      </c>
      <c r="AC1492" s="82" t="str">
        <f t="shared" si="1036"/>
        <v>n.a.</v>
      </c>
      <c r="AD1492" s="82" t="str">
        <f t="shared" si="1036"/>
        <v>n.a.</v>
      </c>
      <c r="AE1492" s="82" t="str">
        <f t="shared" si="1036"/>
        <v>n.a.</v>
      </c>
      <c r="AF1492" s="91"/>
      <c r="AG1492" s="82"/>
      <c r="AH1492" s="82"/>
      <c r="AI1492" s="82"/>
      <c r="AJ1492" s="82"/>
    </row>
    <row r="1493" spans="2:36" x14ac:dyDescent="0.2">
      <c r="G1493" s="81"/>
    </row>
    <row r="1494" spans="2:36" x14ac:dyDescent="0.2">
      <c r="C1494" s="9" t="s">
        <v>809</v>
      </c>
      <c r="G1494" s="81"/>
    </row>
    <row r="1495" spans="2:36" x14ac:dyDescent="0.2">
      <c r="C1495" s="1" t="s">
        <v>810</v>
      </c>
      <c r="E1495" s="458">
        <f>E1521</f>
        <v>330</v>
      </c>
      <c r="F1495" s="1" t="s">
        <v>55</v>
      </c>
      <c r="G1495" s="81"/>
    </row>
    <row r="1496" spans="2:36" x14ac:dyDescent="0.2">
      <c r="C1496" s="1" t="s">
        <v>191</v>
      </c>
      <c r="E1496" s="458">
        <f>E1525</f>
        <v>11</v>
      </c>
      <c r="F1496" s="1" t="s">
        <v>192</v>
      </c>
      <c r="G1496" s="81"/>
    </row>
    <row r="1497" spans="2:36" x14ac:dyDescent="0.2">
      <c r="C1497" s="1" t="s">
        <v>176</v>
      </c>
      <c r="E1497" s="69">
        <f>(E1496=E1471)*E1476+(E1496=E1472)*E1477+(E1496=E1473)*E1478</f>
        <v>687.83302017436415</v>
      </c>
      <c r="F1497" s="1" t="s">
        <v>55</v>
      </c>
      <c r="G1497" s="81"/>
    </row>
    <row r="1498" spans="2:36" x14ac:dyDescent="0.2">
      <c r="C1498" s="1" t="s">
        <v>811</v>
      </c>
      <c r="E1498" s="81">
        <f>E1497/E1495</f>
        <v>2.0843424853768608</v>
      </c>
      <c r="F1498" s="1" t="s">
        <v>195</v>
      </c>
      <c r="G1498" s="81"/>
    </row>
    <row r="1499" spans="2:36" x14ac:dyDescent="0.2">
      <c r="G1499" s="81"/>
    </row>
    <row r="1500" spans="2:36" x14ac:dyDescent="0.2">
      <c r="C1500" s="79"/>
      <c r="D1500" s="79"/>
      <c r="E1500" s="79"/>
      <c r="F1500" s="79"/>
      <c r="G1500" s="80"/>
      <c r="H1500" s="79"/>
      <c r="I1500" s="80"/>
      <c r="J1500" s="80"/>
      <c r="K1500" s="80"/>
      <c r="L1500" s="80"/>
      <c r="M1500" s="80"/>
      <c r="N1500" s="80"/>
      <c r="O1500" s="80"/>
      <c r="P1500" s="80"/>
      <c r="Q1500" s="80"/>
      <c r="R1500" s="80"/>
      <c r="S1500" s="80"/>
      <c r="T1500" s="80"/>
      <c r="U1500" s="80"/>
      <c r="V1500" s="80"/>
      <c r="W1500" s="80"/>
      <c r="X1500" s="80"/>
      <c r="Y1500" s="80"/>
      <c r="Z1500" s="80"/>
      <c r="AA1500" s="80"/>
      <c r="AB1500" s="80"/>
      <c r="AC1500" s="80"/>
      <c r="AD1500" s="80"/>
      <c r="AE1500" s="80"/>
      <c r="AF1500" s="45"/>
      <c r="AG1500" s="80"/>
      <c r="AH1500" s="80"/>
      <c r="AI1500" s="80"/>
      <c r="AJ1500" s="80"/>
    </row>
    <row r="1502" spans="2:36" x14ac:dyDescent="0.2">
      <c r="B1502" s="10">
        <f>B1463+0.1</f>
        <v>14.299999999999999</v>
      </c>
      <c r="C1502" s="9" t="s">
        <v>201</v>
      </c>
      <c r="D1502" s="9"/>
    </row>
    <row r="1503" spans="2:36" x14ac:dyDescent="0.2">
      <c r="I1503" s="21"/>
    </row>
    <row r="1504" spans="2:36" x14ac:dyDescent="0.2">
      <c r="C1504" s="9" t="s">
        <v>897</v>
      </c>
      <c r="I1504" s="21"/>
    </row>
    <row r="1505" spans="2:36" x14ac:dyDescent="0.2">
      <c r="C1505" s="1" t="s">
        <v>899</v>
      </c>
      <c r="E1505" s="539">
        <f>'Quarterly Plant Model'!E1505</f>
        <v>0</v>
      </c>
      <c r="I1505" s="21"/>
    </row>
    <row r="1506" spans="2:36" x14ac:dyDescent="0.2">
      <c r="E1506" s="516"/>
      <c r="I1506" s="21"/>
    </row>
    <row r="1507" spans="2:36" x14ac:dyDescent="0.2">
      <c r="C1507" s="9"/>
      <c r="I1507" s="21"/>
    </row>
    <row r="1508" spans="2:36" x14ac:dyDescent="0.2">
      <c r="C1508" s="5" t="s">
        <v>125</v>
      </c>
      <c r="F1508" s="1" t="s">
        <v>55</v>
      </c>
      <c r="I1508" s="83">
        <f>E1784</f>
        <v>136.58899743959938</v>
      </c>
      <c r="J1508" s="21">
        <f>I1510</f>
        <v>136.58899743959938</v>
      </c>
      <c r="K1508" s="21">
        <f t="shared" ref="K1508:AE1508" si="1037">J1510</f>
        <v>136.58899743959938</v>
      </c>
      <c r="L1508" s="21">
        <f t="shared" si="1037"/>
        <v>136.58899743959938</v>
      </c>
      <c r="M1508" s="21">
        <f t="shared" si="1037"/>
        <v>136.58899743959938</v>
      </c>
      <c r="N1508" s="21">
        <f t="shared" si="1037"/>
        <v>136.58899743959938</v>
      </c>
      <c r="O1508" s="21">
        <f t="shared" si="1037"/>
        <v>136.58899743959938</v>
      </c>
      <c r="P1508" s="21">
        <f t="shared" si="1037"/>
        <v>136.58899743959938</v>
      </c>
      <c r="Q1508" s="21">
        <f t="shared" si="1037"/>
        <v>136.58899743959938</v>
      </c>
      <c r="R1508" s="21">
        <f t="shared" si="1037"/>
        <v>136.58899743959938</v>
      </c>
      <c r="S1508" s="21">
        <f t="shared" si="1037"/>
        <v>136.58899743959938</v>
      </c>
      <c r="T1508" s="21">
        <f t="shared" si="1037"/>
        <v>136.58899743959938</v>
      </c>
      <c r="U1508" s="21">
        <f t="shared" si="1037"/>
        <v>136.58899743959938</v>
      </c>
      <c r="V1508" s="21">
        <f t="shared" si="1037"/>
        <v>136.58899743959938</v>
      </c>
      <c r="W1508" s="21">
        <f t="shared" si="1037"/>
        <v>136.58899743959938</v>
      </c>
      <c r="X1508" s="21">
        <f t="shared" si="1037"/>
        <v>136.58899743959938</v>
      </c>
      <c r="Y1508" s="21">
        <f t="shared" si="1037"/>
        <v>136.58899743959938</v>
      </c>
      <c r="Z1508" s="21">
        <f t="shared" si="1037"/>
        <v>136.58899743959938</v>
      </c>
      <c r="AA1508" s="21">
        <f t="shared" si="1037"/>
        <v>136.58899743959938</v>
      </c>
      <c r="AB1508" s="21">
        <f t="shared" si="1037"/>
        <v>136.58899743959938</v>
      </c>
      <c r="AC1508" s="21">
        <f t="shared" si="1037"/>
        <v>136.58899743959938</v>
      </c>
      <c r="AD1508" s="21">
        <f t="shared" si="1037"/>
        <v>136.58899743959938</v>
      </c>
      <c r="AE1508" s="21">
        <f t="shared" si="1037"/>
        <v>136.58899743959938</v>
      </c>
    </row>
    <row r="1509" spans="2:36" x14ac:dyDescent="0.2">
      <c r="C1509" s="5" t="s">
        <v>202</v>
      </c>
      <c r="F1509" s="1" t="s">
        <v>55</v>
      </c>
      <c r="G1509" s="21">
        <f>SUM(I1509:AE1509)</f>
        <v>0</v>
      </c>
      <c r="I1509" s="41">
        <f>SUMIF('Quarterly Plant Model'!$I$2:$V$2,'Plant model'!I$2,'Quarterly Plant Model'!$I1509:$V1509)</f>
        <v>0</v>
      </c>
      <c r="J1509" s="41">
        <f>SUMIF('Quarterly Plant Model'!$I$2:$V$2,'Plant model'!J$2,'Quarterly Plant Model'!$I1509:$V1509)</f>
        <v>0</v>
      </c>
      <c r="K1509" s="41">
        <f>SUMIF('Quarterly Plant Model'!$I$2:$V$2,'Plant model'!K$2,'Quarterly Plant Model'!$I1509:$V1509)</f>
        <v>0</v>
      </c>
      <c r="L1509" s="41">
        <f>SUMIF('Quarterly Plant Model'!$I$2:$V$2,'Plant model'!L$2,'Quarterly Plant Model'!$I1509:$V1509)</f>
        <v>0</v>
      </c>
      <c r="M1509" s="21">
        <f t="shared" ref="M1509:AE1509" si="1038">-MIN(M1508,(-M1457)*$E$1505)</f>
        <v>0</v>
      </c>
      <c r="N1509" s="21">
        <f t="shared" si="1038"/>
        <v>0</v>
      </c>
      <c r="O1509" s="21">
        <f t="shared" si="1038"/>
        <v>0</v>
      </c>
      <c r="P1509" s="21">
        <f t="shared" si="1038"/>
        <v>0</v>
      </c>
      <c r="Q1509" s="21">
        <f t="shared" si="1038"/>
        <v>0</v>
      </c>
      <c r="R1509" s="21">
        <f t="shared" si="1038"/>
        <v>0</v>
      </c>
      <c r="S1509" s="21">
        <f t="shared" si="1038"/>
        <v>0</v>
      </c>
      <c r="T1509" s="21">
        <f t="shared" si="1038"/>
        <v>0</v>
      </c>
      <c r="U1509" s="21">
        <f t="shared" si="1038"/>
        <v>0</v>
      </c>
      <c r="V1509" s="21">
        <f t="shared" si="1038"/>
        <v>0</v>
      </c>
      <c r="W1509" s="21">
        <f t="shared" si="1038"/>
        <v>0</v>
      </c>
      <c r="X1509" s="21">
        <f t="shared" si="1038"/>
        <v>0</v>
      </c>
      <c r="Y1509" s="21">
        <f t="shared" si="1038"/>
        <v>0</v>
      </c>
      <c r="Z1509" s="21">
        <f t="shared" si="1038"/>
        <v>0</v>
      </c>
      <c r="AA1509" s="21">
        <f t="shared" si="1038"/>
        <v>0</v>
      </c>
      <c r="AB1509" s="21">
        <f t="shared" si="1038"/>
        <v>0</v>
      </c>
      <c r="AC1509" s="21">
        <f t="shared" si="1038"/>
        <v>0</v>
      </c>
      <c r="AD1509" s="21">
        <f t="shared" si="1038"/>
        <v>0</v>
      </c>
      <c r="AE1509" s="21">
        <f t="shared" si="1038"/>
        <v>0</v>
      </c>
    </row>
    <row r="1510" spans="2:36" x14ac:dyDescent="0.2">
      <c r="C1510" s="5" t="s">
        <v>127</v>
      </c>
      <c r="F1510" s="1" t="s">
        <v>55</v>
      </c>
      <c r="I1510" s="21">
        <f>SUM(I1508:I1509)</f>
        <v>136.58899743959938</v>
      </c>
      <c r="J1510" s="21">
        <f t="shared" ref="J1510:AE1510" si="1039">SUM(J1508:J1509)</f>
        <v>136.58899743959938</v>
      </c>
      <c r="K1510" s="21">
        <f t="shared" si="1039"/>
        <v>136.58899743959938</v>
      </c>
      <c r="L1510" s="21">
        <f t="shared" si="1039"/>
        <v>136.58899743959938</v>
      </c>
      <c r="M1510" s="21">
        <f t="shared" si="1039"/>
        <v>136.58899743959938</v>
      </c>
      <c r="N1510" s="21">
        <f t="shared" si="1039"/>
        <v>136.58899743959938</v>
      </c>
      <c r="O1510" s="21">
        <f t="shared" si="1039"/>
        <v>136.58899743959938</v>
      </c>
      <c r="P1510" s="21">
        <f t="shared" si="1039"/>
        <v>136.58899743959938</v>
      </c>
      <c r="Q1510" s="21">
        <f t="shared" si="1039"/>
        <v>136.58899743959938</v>
      </c>
      <c r="R1510" s="21">
        <f t="shared" si="1039"/>
        <v>136.58899743959938</v>
      </c>
      <c r="S1510" s="21">
        <f t="shared" si="1039"/>
        <v>136.58899743959938</v>
      </c>
      <c r="T1510" s="21">
        <f t="shared" si="1039"/>
        <v>136.58899743959938</v>
      </c>
      <c r="U1510" s="21">
        <f t="shared" si="1039"/>
        <v>136.58899743959938</v>
      </c>
      <c r="V1510" s="21">
        <f t="shared" si="1039"/>
        <v>136.58899743959938</v>
      </c>
      <c r="W1510" s="21">
        <f t="shared" si="1039"/>
        <v>136.58899743959938</v>
      </c>
      <c r="X1510" s="21">
        <f t="shared" si="1039"/>
        <v>136.58899743959938</v>
      </c>
      <c r="Y1510" s="21">
        <f t="shared" si="1039"/>
        <v>136.58899743959938</v>
      </c>
      <c r="Z1510" s="21">
        <f t="shared" si="1039"/>
        <v>136.58899743959938</v>
      </c>
      <c r="AA1510" s="21">
        <f t="shared" si="1039"/>
        <v>136.58899743959938</v>
      </c>
      <c r="AB1510" s="21">
        <f t="shared" si="1039"/>
        <v>136.58899743959938</v>
      </c>
      <c r="AC1510" s="21">
        <f t="shared" si="1039"/>
        <v>136.58899743959938</v>
      </c>
      <c r="AD1510" s="21">
        <f t="shared" si="1039"/>
        <v>136.58899743959938</v>
      </c>
      <c r="AE1510" s="21">
        <f t="shared" si="1039"/>
        <v>136.58899743959938</v>
      </c>
    </row>
    <row r="1511" spans="2:36" x14ac:dyDescent="0.2">
      <c r="I1511" s="21"/>
    </row>
    <row r="1512" spans="2:36" x14ac:dyDescent="0.2">
      <c r="C1512" s="9" t="s">
        <v>896</v>
      </c>
      <c r="I1512" s="21"/>
    </row>
    <row r="1513" spans="2:36" x14ac:dyDescent="0.2">
      <c r="C1513" s="5" t="s">
        <v>125</v>
      </c>
      <c r="F1513" s="1" t="s">
        <v>55</v>
      </c>
      <c r="I1513" s="83">
        <f>E1784</f>
        <v>136.58899743959938</v>
      </c>
      <c r="J1513" s="21">
        <f>I1515</f>
        <v>136.58899743959938</v>
      </c>
      <c r="K1513" s="21">
        <f t="shared" ref="K1513:AE1513" si="1040">J1515</f>
        <v>136.58899743959938</v>
      </c>
      <c r="L1513" s="21">
        <f t="shared" si="1040"/>
        <v>136.58899743959938</v>
      </c>
      <c r="M1513" s="21">
        <f t="shared" si="1040"/>
        <v>136.58899743959938</v>
      </c>
      <c r="N1513" s="21">
        <f t="shared" si="1040"/>
        <v>136.58899743959938</v>
      </c>
      <c r="O1513" s="21">
        <f t="shared" si="1040"/>
        <v>136.58899743959938</v>
      </c>
      <c r="P1513" s="21">
        <f t="shared" si="1040"/>
        <v>136.58899743959938</v>
      </c>
      <c r="Q1513" s="21">
        <f t="shared" si="1040"/>
        <v>136.58899743959938</v>
      </c>
      <c r="R1513" s="21">
        <f t="shared" si="1040"/>
        <v>136.58899743959938</v>
      </c>
      <c r="S1513" s="21">
        <f t="shared" si="1040"/>
        <v>136.58899743959938</v>
      </c>
      <c r="T1513" s="21">
        <f t="shared" si="1040"/>
        <v>136.58899743959938</v>
      </c>
      <c r="U1513" s="21">
        <f t="shared" si="1040"/>
        <v>136.58899743959938</v>
      </c>
      <c r="V1513" s="21">
        <f t="shared" si="1040"/>
        <v>136.58899743959938</v>
      </c>
      <c r="W1513" s="21">
        <f t="shared" si="1040"/>
        <v>136.58899743959938</v>
      </c>
      <c r="X1513" s="21">
        <f t="shared" si="1040"/>
        <v>136.58899743959938</v>
      </c>
      <c r="Y1513" s="21">
        <f t="shared" si="1040"/>
        <v>136.58899743959938</v>
      </c>
      <c r="Z1513" s="21">
        <f t="shared" si="1040"/>
        <v>136.58899743959938</v>
      </c>
      <c r="AA1513" s="21">
        <f t="shared" si="1040"/>
        <v>136.58899743959938</v>
      </c>
      <c r="AB1513" s="21">
        <f t="shared" si="1040"/>
        <v>136.58899743959938</v>
      </c>
      <c r="AC1513" s="21">
        <f t="shared" si="1040"/>
        <v>136.58899743959938</v>
      </c>
      <c r="AD1513" s="21">
        <f t="shared" si="1040"/>
        <v>136.58899743959938</v>
      </c>
      <c r="AE1513" s="21">
        <f t="shared" si="1040"/>
        <v>136.58899743959938</v>
      </c>
      <c r="AF1513" s="52"/>
      <c r="AG1513" s="21"/>
      <c r="AH1513" s="21"/>
      <c r="AI1513" s="21"/>
      <c r="AJ1513" s="21"/>
    </row>
    <row r="1514" spans="2:36" x14ac:dyDescent="0.2">
      <c r="C1514" s="5" t="s">
        <v>202</v>
      </c>
      <c r="F1514" s="1" t="s">
        <v>55</v>
      </c>
      <c r="G1514" s="21">
        <f>SUM(I1514:AJ1514)</f>
        <v>0</v>
      </c>
      <c r="H1514" s="21"/>
      <c r="I1514" s="41">
        <f>SUMIF('Quarterly Plant Model'!$I$2:$V$2,'Plant model'!I$2,'Quarterly Plant Model'!$I1514:$V1514)</f>
        <v>0</v>
      </c>
      <c r="J1514" s="41">
        <f>SUMIF('Quarterly Plant Model'!$I$2:$V$2,'Plant model'!J$2,'Quarterly Plant Model'!$I1514:$V1514)</f>
        <v>0</v>
      </c>
      <c r="K1514" s="41">
        <f>SUMIF('Quarterly Plant Model'!$I$2:$V$2,'Plant model'!K$2,'Quarterly Plant Model'!$I1514:$V1514)</f>
        <v>0</v>
      </c>
      <c r="L1514" s="41">
        <f>SUMIF('Quarterly Plant Model'!$I$2:$V$2,'Plant model'!L$2,'Quarterly Plant Model'!$I1514:$V1514)</f>
        <v>0</v>
      </c>
      <c r="M1514" s="21">
        <f t="shared" ref="M1514:AE1514" si="1041">-MIN(M1513,-M1457)</f>
        <v>0</v>
      </c>
      <c r="N1514" s="21">
        <f t="shared" si="1041"/>
        <v>0</v>
      </c>
      <c r="O1514" s="21">
        <f t="shared" si="1041"/>
        <v>0</v>
      </c>
      <c r="P1514" s="21">
        <f t="shared" si="1041"/>
        <v>0</v>
      </c>
      <c r="Q1514" s="21">
        <f t="shared" si="1041"/>
        <v>0</v>
      </c>
      <c r="R1514" s="21">
        <f t="shared" si="1041"/>
        <v>0</v>
      </c>
      <c r="S1514" s="21">
        <f t="shared" si="1041"/>
        <v>0</v>
      </c>
      <c r="T1514" s="21">
        <f t="shared" si="1041"/>
        <v>0</v>
      </c>
      <c r="U1514" s="21">
        <f t="shared" si="1041"/>
        <v>0</v>
      </c>
      <c r="V1514" s="21">
        <f t="shared" si="1041"/>
        <v>0</v>
      </c>
      <c r="W1514" s="21">
        <f t="shared" si="1041"/>
        <v>0</v>
      </c>
      <c r="X1514" s="21">
        <f t="shared" si="1041"/>
        <v>0</v>
      </c>
      <c r="Y1514" s="21">
        <f t="shared" si="1041"/>
        <v>0</v>
      </c>
      <c r="Z1514" s="21">
        <f t="shared" si="1041"/>
        <v>0</v>
      </c>
      <c r="AA1514" s="21">
        <f t="shared" si="1041"/>
        <v>0</v>
      </c>
      <c r="AB1514" s="21">
        <f t="shared" si="1041"/>
        <v>0</v>
      </c>
      <c r="AC1514" s="21">
        <f t="shared" si="1041"/>
        <v>0</v>
      </c>
      <c r="AD1514" s="21">
        <f t="shared" si="1041"/>
        <v>0</v>
      </c>
      <c r="AE1514" s="21">
        <f t="shared" si="1041"/>
        <v>0</v>
      </c>
      <c r="AF1514" s="52"/>
      <c r="AG1514" s="21"/>
      <c r="AH1514" s="21"/>
      <c r="AI1514" s="21"/>
      <c r="AJ1514" s="21"/>
    </row>
    <row r="1515" spans="2:36" x14ac:dyDescent="0.2">
      <c r="C1515" s="5" t="s">
        <v>127</v>
      </c>
      <c r="F1515" s="1" t="s">
        <v>55</v>
      </c>
      <c r="I1515" s="21">
        <f>SUM(I1513:I1514)</f>
        <v>136.58899743959938</v>
      </c>
      <c r="J1515" s="21">
        <f t="shared" ref="J1515:AE1515" si="1042">SUM(J1513:J1514)</f>
        <v>136.58899743959938</v>
      </c>
      <c r="K1515" s="21">
        <f>SUM(K1513:K1514)</f>
        <v>136.58899743959938</v>
      </c>
      <c r="L1515" s="21">
        <f t="shared" si="1042"/>
        <v>136.58899743959938</v>
      </c>
      <c r="M1515" s="21">
        <f t="shared" si="1042"/>
        <v>136.58899743959938</v>
      </c>
      <c r="N1515" s="21">
        <f t="shared" si="1042"/>
        <v>136.58899743959938</v>
      </c>
      <c r="O1515" s="21">
        <f t="shared" si="1042"/>
        <v>136.58899743959938</v>
      </c>
      <c r="P1515" s="21">
        <f t="shared" si="1042"/>
        <v>136.58899743959938</v>
      </c>
      <c r="Q1515" s="21">
        <f t="shared" si="1042"/>
        <v>136.58899743959938</v>
      </c>
      <c r="R1515" s="21">
        <f t="shared" si="1042"/>
        <v>136.58899743959938</v>
      </c>
      <c r="S1515" s="21">
        <f t="shared" si="1042"/>
        <v>136.58899743959938</v>
      </c>
      <c r="T1515" s="21">
        <f t="shared" si="1042"/>
        <v>136.58899743959938</v>
      </c>
      <c r="U1515" s="21">
        <f t="shared" si="1042"/>
        <v>136.58899743959938</v>
      </c>
      <c r="V1515" s="21">
        <f t="shared" si="1042"/>
        <v>136.58899743959938</v>
      </c>
      <c r="W1515" s="21">
        <f t="shared" si="1042"/>
        <v>136.58899743959938</v>
      </c>
      <c r="X1515" s="21">
        <f t="shared" si="1042"/>
        <v>136.58899743959938</v>
      </c>
      <c r="Y1515" s="21">
        <f t="shared" si="1042"/>
        <v>136.58899743959938</v>
      </c>
      <c r="Z1515" s="21">
        <f t="shared" si="1042"/>
        <v>136.58899743959938</v>
      </c>
      <c r="AA1515" s="21">
        <f t="shared" si="1042"/>
        <v>136.58899743959938</v>
      </c>
      <c r="AB1515" s="21">
        <f t="shared" si="1042"/>
        <v>136.58899743959938</v>
      </c>
      <c r="AC1515" s="21">
        <f t="shared" si="1042"/>
        <v>136.58899743959938</v>
      </c>
      <c r="AD1515" s="21">
        <f t="shared" si="1042"/>
        <v>136.58899743959938</v>
      </c>
      <c r="AE1515" s="21">
        <f t="shared" si="1042"/>
        <v>136.58899743959938</v>
      </c>
      <c r="AF1515" s="52"/>
      <c r="AG1515" s="21"/>
      <c r="AH1515" s="21"/>
      <c r="AI1515" s="21"/>
      <c r="AJ1515" s="21"/>
    </row>
    <row r="1517" spans="2:36" x14ac:dyDescent="0.2">
      <c r="C1517" s="79"/>
      <c r="D1517" s="79"/>
      <c r="E1517" s="79"/>
      <c r="F1517" s="79"/>
      <c r="G1517" s="80"/>
      <c r="H1517" s="79"/>
      <c r="I1517" s="80"/>
      <c r="J1517" s="80"/>
      <c r="K1517" s="80"/>
      <c r="L1517" s="80"/>
      <c r="M1517" s="80"/>
      <c r="N1517" s="80"/>
      <c r="O1517" s="80"/>
      <c r="P1517" s="80"/>
      <c r="Q1517" s="80"/>
      <c r="R1517" s="80"/>
      <c r="S1517" s="80"/>
      <c r="T1517" s="80"/>
      <c r="U1517" s="80"/>
      <c r="V1517" s="80"/>
      <c r="W1517" s="80"/>
      <c r="X1517" s="80"/>
      <c r="Y1517" s="80"/>
      <c r="Z1517" s="80"/>
      <c r="AA1517" s="80"/>
      <c r="AB1517" s="80"/>
      <c r="AC1517" s="80"/>
      <c r="AD1517" s="80"/>
      <c r="AE1517" s="80"/>
      <c r="AF1517" s="45"/>
      <c r="AG1517" s="80"/>
      <c r="AH1517" s="80"/>
      <c r="AI1517" s="80"/>
      <c r="AJ1517" s="80"/>
    </row>
    <row r="1519" spans="2:36" x14ac:dyDescent="0.2">
      <c r="B1519" s="10">
        <f>B1502+0.1</f>
        <v>14.399999999999999</v>
      </c>
      <c r="C1519" s="9" t="s">
        <v>203</v>
      </c>
      <c r="D1519" s="9"/>
    </row>
    <row r="1521" spans="3:31" x14ac:dyDescent="0.2">
      <c r="C1521" s="1" t="s">
        <v>204</v>
      </c>
      <c r="E1521" s="97">
        <v>330</v>
      </c>
      <c r="F1521" s="1" t="s">
        <v>55</v>
      </c>
    </row>
    <row r="1522" spans="3:31" x14ac:dyDescent="0.2">
      <c r="C1522" s="1" t="s">
        <v>929</v>
      </c>
      <c r="E1522" s="538">
        <f>'Quarterly Plant Model'!E1522</f>
        <v>44926</v>
      </c>
      <c r="I1522" s="34">
        <f>(YEAR($E1522)=I$3)*1</f>
        <v>1</v>
      </c>
      <c r="J1522" s="34">
        <f t="shared" ref="J1522:AE1523" si="1043">(YEAR($E1522)=J$3)*1</f>
        <v>0</v>
      </c>
      <c r="K1522" s="34">
        <f t="shared" si="1043"/>
        <v>0</v>
      </c>
      <c r="L1522" s="34">
        <f t="shared" si="1043"/>
        <v>0</v>
      </c>
      <c r="M1522" s="34">
        <f t="shared" si="1043"/>
        <v>0</v>
      </c>
      <c r="N1522" s="34">
        <f t="shared" si="1043"/>
        <v>0</v>
      </c>
      <c r="O1522" s="34">
        <f t="shared" si="1043"/>
        <v>0</v>
      </c>
      <c r="P1522" s="34">
        <f t="shared" si="1043"/>
        <v>0</v>
      </c>
      <c r="Q1522" s="34">
        <f t="shared" si="1043"/>
        <v>0</v>
      </c>
      <c r="R1522" s="34">
        <f t="shared" si="1043"/>
        <v>0</v>
      </c>
      <c r="S1522" s="34">
        <f t="shared" si="1043"/>
        <v>0</v>
      </c>
      <c r="T1522" s="34">
        <f t="shared" si="1043"/>
        <v>0</v>
      </c>
      <c r="U1522" s="34">
        <f t="shared" si="1043"/>
        <v>0</v>
      </c>
      <c r="V1522" s="34">
        <f t="shared" si="1043"/>
        <v>0</v>
      </c>
      <c r="W1522" s="34">
        <f t="shared" si="1043"/>
        <v>0</v>
      </c>
      <c r="X1522" s="34">
        <f t="shared" si="1043"/>
        <v>0</v>
      </c>
      <c r="Y1522" s="34">
        <f t="shared" si="1043"/>
        <v>0</v>
      </c>
      <c r="Z1522" s="34">
        <f t="shared" si="1043"/>
        <v>0</v>
      </c>
      <c r="AA1522" s="34">
        <f t="shared" si="1043"/>
        <v>0</v>
      </c>
      <c r="AB1522" s="34">
        <f t="shared" si="1043"/>
        <v>0</v>
      </c>
      <c r="AC1522" s="34">
        <f t="shared" si="1043"/>
        <v>0</v>
      </c>
      <c r="AD1522" s="34">
        <f t="shared" si="1043"/>
        <v>0</v>
      </c>
      <c r="AE1522" s="34">
        <f t="shared" si="1043"/>
        <v>0</v>
      </c>
    </row>
    <row r="1523" spans="3:31" x14ac:dyDescent="0.2">
      <c r="C1523" s="1" t="s">
        <v>930</v>
      </c>
      <c r="E1523" s="538">
        <f>'Quarterly Plant Model'!E1523</f>
        <v>45565</v>
      </c>
      <c r="I1523" s="34">
        <f>(YEAR($E1523)=I$3)*1</f>
        <v>0</v>
      </c>
      <c r="J1523" s="34">
        <f t="shared" si="1043"/>
        <v>0</v>
      </c>
      <c r="K1523" s="34">
        <f t="shared" si="1043"/>
        <v>1</v>
      </c>
      <c r="L1523" s="34">
        <f t="shared" si="1043"/>
        <v>0</v>
      </c>
      <c r="M1523" s="34">
        <f t="shared" si="1043"/>
        <v>0</v>
      </c>
      <c r="N1523" s="34">
        <f t="shared" si="1043"/>
        <v>0</v>
      </c>
      <c r="O1523" s="34">
        <f t="shared" si="1043"/>
        <v>0</v>
      </c>
      <c r="P1523" s="34">
        <f t="shared" si="1043"/>
        <v>0</v>
      </c>
      <c r="Q1523" s="34">
        <f t="shared" si="1043"/>
        <v>0</v>
      </c>
      <c r="R1523" s="34">
        <f t="shared" si="1043"/>
        <v>0</v>
      </c>
      <c r="S1523" s="34">
        <f t="shared" si="1043"/>
        <v>0</v>
      </c>
      <c r="T1523" s="34">
        <f t="shared" si="1043"/>
        <v>0</v>
      </c>
      <c r="U1523" s="34">
        <f t="shared" si="1043"/>
        <v>0</v>
      </c>
      <c r="V1523" s="34">
        <f t="shared" si="1043"/>
        <v>0</v>
      </c>
      <c r="W1523" s="34">
        <f t="shared" si="1043"/>
        <v>0</v>
      </c>
      <c r="X1523" s="34">
        <f t="shared" si="1043"/>
        <v>0</v>
      </c>
      <c r="Y1523" s="34">
        <f t="shared" si="1043"/>
        <v>0</v>
      </c>
      <c r="Z1523" s="34">
        <f t="shared" si="1043"/>
        <v>0</v>
      </c>
      <c r="AA1523" s="34">
        <f t="shared" si="1043"/>
        <v>0</v>
      </c>
      <c r="AB1523" s="34">
        <f t="shared" si="1043"/>
        <v>0</v>
      </c>
      <c r="AC1523" s="34">
        <f t="shared" si="1043"/>
        <v>0</v>
      </c>
      <c r="AD1523" s="34">
        <f t="shared" si="1043"/>
        <v>0</v>
      </c>
      <c r="AE1523" s="34">
        <f t="shared" si="1043"/>
        <v>0</v>
      </c>
    </row>
    <row r="1524" spans="3:31" x14ac:dyDescent="0.2">
      <c r="C1524" s="1" t="s">
        <v>923</v>
      </c>
      <c r="E1524" s="97"/>
      <c r="I1524" s="34">
        <f t="shared" ref="I1524:AE1524" si="1044">(I3&gt;=YEAR($E$1522))*(I3&lt;=YEAR($E$1523))</f>
        <v>1</v>
      </c>
      <c r="J1524" s="34">
        <f t="shared" si="1044"/>
        <v>1</v>
      </c>
      <c r="K1524" s="34">
        <f t="shared" si="1044"/>
        <v>1</v>
      </c>
      <c r="L1524" s="34">
        <f t="shared" si="1044"/>
        <v>0</v>
      </c>
      <c r="M1524" s="34">
        <f t="shared" si="1044"/>
        <v>0</v>
      </c>
      <c r="N1524" s="34">
        <f t="shared" si="1044"/>
        <v>0</v>
      </c>
      <c r="O1524" s="34">
        <f t="shared" si="1044"/>
        <v>0</v>
      </c>
      <c r="P1524" s="34">
        <f t="shared" si="1044"/>
        <v>0</v>
      </c>
      <c r="Q1524" s="34">
        <f t="shared" si="1044"/>
        <v>0</v>
      </c>
      <c r="R1524" s="34">
        <f t="shared" si="1044"/>
        <v>0</v>
      </c>
      <c r="S1524" s="34">
        <f t="shared" si="1044"/>
        <v>0</v>
      </c>
      <c r="T1524" s="34">
        <f t="shared" si="1044"/>
        <v>0</v>
      </c>
      <c r="U1524" s="34">
        <f t="shared" si="1044"/>
        <v>0</v>
      </c>
      <c r="V1524" s="34">
        <f t="shared" si="1044"/>
        <v>0</v>
      </c>
      <c r="W1524" s="34">
        <f t="shared" si="1044"/>
        <v>0</v>
      </c>
      <c r="X1524" s="34">
        <f t="shared" si="1044"/>
        <v>0</v>
      </c>
      <c r="Y1524" s="34">
        <f t="shared" si="1044"/>
        <v>0</v>
      </c>
      <c r="Z1524" s="34">
        <f t="shared" si="1044"/>
        <v>0</v>
      </c>
      <c r="AA1524" s="34">
        <f t="shared" si="1044"/>
        <v>0</v>
      </c>
      <c r="AB1524" s="34">
        <f t="shared" si="1044"/>
        <v>0</v>
      </c>
      <c r="AC1524" s="34">
        <f t="shared" si="1044"/>
        <v>0</v>
      </c>
      <c r="AD1524" s="34">
        <f t="shared" si="1044"/>
        <v>0</v>
      </c>
      <c r="AE1524" s="34">
        <f t="shared" si="1044"/>
        <v>0</v>
      </c>
    </row>
    <row r="1525" spans="3:31" x14ac:dyDescent="0.2">
      <c r="C1525" s="1" t="s">
        <v>191</v>
      </c>
      <c r="E1525" s="97">
        <v>11</v>
      </c>
      <c r="F1525" s="1" t="s">
        <v>192</v>
      </c>
    </row>
    <row r="1526" spans="3:31" x14ac:dyDescent="0.2">
      <c r="C1526" s="1" t="s">
        <v>921</v>
      </c>
      <c r="E1526" s="538">
        <f>'Quarterly Plant Model'!E1526</f>
        <v>45565</v>
      </c>
      <c r="I1526" s="34">
        <f t="shared" ref="I1526:AE1526" si="1045">(YEAR($E1526)=I$3)*1*(1-(MONTH($E$1526)/12)+0.25)</f>
        <v>0</v>
      </c>
      <c r="J1526" s="34">
        <f t="shared" si="1045"/>
        <v>0</v>
      </c>
      <c r="K1526" s="34">
        <f t="shared" si="1045"/>
        <v>0.5</v>
      </c>
      <c r="L1526" s="34">
        <f t="shared" si="1045"/>
        <v>0</v>
      </c>
      <c r="M1526" s="34">
        <f t="shared" si="1045"/>
        <v>0</v>
      </c>
      <c r="N1526" s="34">
        <f t="shared" si="1045"/>
        <v>0</v>
      </c>
      <c r="O1526" s="34">
        <f t="shared" si="1045"/>
        <v>0</v>
      </c>
      <c r="P1526" s="34">
        <f t="shared" si="1045"/>
        <v>0</v>
      </c>
      <c r="Q1526" s="34">
        <f t="shared" si="1045"/>
        <v>0</v>
      </c>
      <c r="R1526" s="34">
        <f t="shared" si="1045"/>
        <v>0</v>
      </c>
      <c r="S1526" s="34">
        <f t="shared" si="1045"/>
        <v>0</v>
      </c>
      <c r="T1526" s="34">
        <f t="shared" si="1045"/>
        <v>0</v>
      </c>
      <c r="U1526" s="34">
        <f t="shared" si="1045"/>
        <v>0</v>
      </c>
      <c r="V1526" s="34">
        <f t="shared" si="1045"/>
        <v>0</v>
      </c>
      <c r="W1526" s="34">
        <f t="shared" si="1045"/>
        <v>0</v>
      </c>
      <c r="X1526" s="34">
        <f t="shared" si="1045"/>
        <v>0</v>
      </c>
      <c r="Y1526" s="34">
        <f t="shared" si="1045"/>
        <v>0</v>
      </c>
      <c r="Z1526" s="34">
        <f t="shared" si="1045"/>
        <v>0</v>
      </c>
      <c r="AA1526" s="34">
        <f t="shared" si="1045"/>
        <v>0</v>
      </c>
      <c r="AB1526" s="34">
        <f t="shared" si="1045"/>
        <v>0</v>
      </c>
      <c r="AC1526" s="34">
        <f t="shared" si="1045"/>
        <v>0</v>
      </c>
      <c r="AD1526" s="34">
        <f t="shared" si="1045"/>
        <v>0</v>
      </c>
      <c r="AE1526" s="34">
        <f t="shared" si="1045"/>
        <v>0</v>
      </c>
    </row>
    <row r="1527" spans="3:31" x14ac:dyDescent="0.2">
      <c r="C1527" s="1" t="s">
        <v>931</v>
      </c>
      <c r="E1527" s="538">
        <f>'Quarterly Plant Model'!E1527</f>
        <v>48944</v>
      </c>
      <c r="I1527" s="34">
        <f t="shared" ref="I1527:AE1527" si="1046">(YEAR($E1527)=I$3)*1*(1-MONTH($E$1527)/12)</f>
        <v>0</v>
      </c>
      <c r="J1527" s="34">
        <f t="shared" si="1046"/>
        <v>0</v>
      </c>
      <c r="K1527" s="34">
        <f t="shared" si="1046"/>
        <v>0</v>
      </c>
      <c r="L1527" s="34">
        <f t="shared" si="1046"/>
        <v>0</v>
      </c>
      <c r="M1527" s="34">
        <f t="shared" si="1046"/>
        <v>0</v>
      </c>
      <c r="N1527" s="34">
        <f t="shared" si="1046"/>
        <v>0</v>
      </c>
      <c r="O1527" s="34">
        <f t="shared" si="1046"/>
        <v>0</v>
      </c>
      <c r="P1527" s="34">
        <f t="shared" si="1046"/>
        <v>0</v>
      </c>
      <c r="Q1527" s="34">
        <f t="shared" si="1046"/>
        <v>0</v>
      </c>
      <c r="R1527" s="34">
        <f t="shared" si="1046"/>
        <v>0</v>
      </c>
      <c r="S1527" s="34">
        <f t="shared" si="1046"/>
        <v>0</v>
      </c>
      <c r="T1527" s="34">
        <f t="shared" si="1046"/>
        <v>0</v>
      </c>
      <c r="U1527" s="34">
        <f t="shared" si="1046"/>
        <v>0</v>
      </c>
      <c r="V1527" s="34">
        <f t="shared" si="1046"/>
        <v>0</v>
      </c>
      <c r="W1527" s="34">
        <f t="shared" si="1046"/>
        <v>0</v>
      </c>
      <c r="X1527" s="34">
        <f t="shared" si="1046"/>
        <v>0</v>
      </c>
      <c r="Y1527" s="34">
        <f t="shared" si="1046"/>
        <v>0</v>
      </c>
      <c r="Z1527" s="34">
        <f t="shared" si="1046"/>
        <v>0</v>
      </c>
      <c r="AA1527" s="34">
        <f t="shared" si="1046"/>
        <v>0</v>
      </c>
      <c r="AB1527" s="34">
        <f t="shared" si="1046"/>
        <v>0</v>
      </c>
      <c r="AC1527" s="34">
        <f t="shared" si="1046"/>
        <v>0</v>
      </c>
      <c r="AD1527" s="34">
        <f t="shared" si="1046"/>
        <v>0</v>
      </c>
      <c r="AE1527" s="34">
        <f t="shared" si="1046"/>
        <v>0</v>
      </c>
    </row>
    <row r="1528" spans="3:31" x14ac:dyDescent="0.2">
      <c r="C1528" s="1" t="s">
        <v>205</v>
      </c>
      <c r="E1528" s="540">
        <f>'Quarterly Plant Model'!E1528/4</f>
        <v>9.5</v>
      </c>
      <c r="F1528" s="1" t="s">
        <v>192</v>
      </c>
      <c r="I1528" s="34">
        <f t="shared" ref="I1528:AE1528" si="1047">(I3&gt;=YEAR($E$1526))*1+(I3&lt;=YEAR($E$1527))*1-1</f>
        <v>0</v>
      </c>
      <c r="J1528" s="34">
        <f t="shared" si="1047"/>
        <v>0</v>
      </c>
      <c r="K1528" s="34">
        <f t="shared" si="1047"/>
        <v>1</v>
      </c>
      <c r="L1528" s="34">
        <f t="shared" si="1047"/>
        <v>1</v>
      </c>
      <c r="M1528" s="34">
        <f t="shared" si="1047"/>
        <v>1</v>
      </c>
      <c r="N1528" s="34">
        <f t="shared" si="1047"/>
        <v>1</v>
      </c>
      <c r="O1528" s="34">
        <f t="shared" si="1047"/>
        <v>1</v>
      </c>
      <c r="P1528" s="34">
        <f t="shared" si="1047"/>
        <v>1</v>
      </c>
      <c r="Q1528" s="34">
        <f t="shared" si="1047"/>
        <v>1</v>
      </c>
      <c r="R1528" s="34">
        <f t="shared" si="1047"/>
        <v>1</v>
      </c>
      <c r="S1528" s="34">
        <f t="shared" si="1047"/>
        <v>1</v>
      </c>
      <c r="T1528" s="34">
        <f t="shared" si="1047"/>
        <v>1</v>
      </c>
      <c r="U1528" s="34">
        <f t="shared" si="1047"/>
        <v>0</v>
      </c>
      <c r="V1528" s="34">
        <f t="shared" si="1047"/>
        <v>0</v>
      </c>
      <c r="W1528" s="34">
        <f t="shared" si="1047"/>
        <v>0</v>
      </c>
      <c r="X1528" s="34">
        <f t="shared" si="1047"/>
        <v>0</v>
      </c>
      <c r="Y1528" s="34">
        <f t="shared" si="1047"/>
        <v>0</v>
      </c>
      <c r="Z1528" s="34">
        <f t="shared" si="1047"/>
        <v>0</v>
      </c>
      <c r="AA1528" s="34">
        <f t="shared" si="1047"/>
        <v>0</v>
      </c>
      <c r="AB1528" s="34">
        <f t="shared" si="1047"/>
        <v>0</v>
      </c>
      <c r="AC1528" s="34">
        <f t="shared" si="1047"/>
        <v>0</v>
      </c>
      <c r="AD1528" s="34">
        <f t="shared" si="1047"/>
        <v>0</v>
      </c>
      <c r="AE1528" s="34">
        <f t="shared" si="1047"/>
        <v>0</v>
      </c>
    </row>
    <row r="1529" spans="3:31" x14ac:dyDescent="0.2">
      <c r="C1529" s="1" t="s">
        <v>902</v>
      </c>
      <c r="E1529" s="514">
        <f>'Quarterly Plant Model'!E1529</f>
        <v>0</v>
      </c>
      <c r="F1529" s="1" t="s">
        <v>571</v>
      </c>
      <c r="L1529" s="34"/>
      <c r="M1529" s="34"/>
      <c r="N1529" s="34"/>
      <c r="O1529" s="34"/>
      <c r="P1529" s="34"/>
      <c r="Q1529" s="34"/>
      <c r="R1529" s="34"/>
      <c r="S1529" s="34"/>
      <c r="T1529" s="34"/>
      <c r="U1529" s="34"/>
    </row>
    <row r="1530" spans="3:31" x14ac:dyDescent="0.2">
      <c r="C1530" s="1" t="s">
        <v>570</v>
      </c>
      <c r="E1530" s="514">
        <f>'Quarterly Plant Model'!E1530</f>
        <v>0</v>
      </c>
      <c r="F1530" s="1" t="s">
        <v>571</v>
      </c>
      <c r="U1530" s="34"/>
    </row>
    <row r="1532" spans="3:31" x14ac:dyDescent="0.2">
      <c r="C1532" s="9" t="s">
        <v>898</v>
      </c>
    </row>
    <row r="1533" spans="3:31" x14ac:dyDescent="0.2">
      <c r="C1533" s="1" t="s">
        <v>900</v>
      </c>
      <c r="E1533" s="502">
        <f>1-E1505</f>
        <v>1</v>
      </c>
    </row>
    <row r="1534" spans="3:31" x14ac:dyDescent="0.2">
      <c r="C1534" s="5" t="s">
        <v>125</v>
      </c>
      <c r="F1534" s="1" t="s">
        <v>55</v>
      </c>
      <c r="I1534" s="83">
        <f>E1521</f>
        <v>330</v>
      </c>
      <c r="J1534" s="21">
        <f>I1536</f>
        <v>297</v>
      </c>
      <c r="K1534" s="21">
        <f t="shared" ref="K1534:AE1534" si="1048">J1536</f>
        <v>107.25</v>
      </c>
      <c r="L1534" s="21">
        <f t="shared" si="1048"/>
        <v>0</v>
      </c>
      <c r="M1534" s="21">
        <f t="shared" si="1048"/>
        <v>0</v>
      </c>
      <c r="N1534" s="21">
        <f t="shared" si="1048"/>
        <v>0</v>
      </c>
      <c r="O1534" s="21">
        <f t="shared" si="1048"/>
        <v>0</v>
      </c>
      <c r="P1534" s="21">
        <f t="shared" si="1048"/>
        <v>0</v>
      </c>
      <c r="Q1534" s="21">
        <f t="shared" si="1048"/>
        <v>0</v>
      </c>
      <c r="R1534" s="21">
        <f t="shared" si="1048"/>
        <v>0</v>
      </c>
      <c r="S1534" s="21">
        <f t="shared" si="1048"/>
        <v>0</v>
      </c>
      <c r="T1534" s="21">
        <f t="shared" si="1048"/>
        <v>0</v>
      </c>
      <c r="U1534" s="21">
        <f t="shared" si="1048"/>
        <v>0</v>
      </c>
      <c r="V1534" s="21">
        <f t="shared" si="1048"/>
        <v>0</v>
      </c>
      <c r="W1534" s="21">
        <f t="shared" si="1048"/>
        <v>0</v>
      </c>
      <c r="X1534" s="21">
        <f t="shared" si="1048"/>
        <v>0</v>
      </c>
      <c r="Y1534" s="21">
        <f t="shared" si="1048"/>
        <v>0</v>
      </c>
      <c r="Z1534" s="21">
        <f t="shared" si="1048"/>
        <v>0</v>
      </c>
      <c r="AA1534" s="21">
        <f t="shared" si="1048"/>
        <v>0</v>
      </c>
      <c r="AB1534" s="21">
        <f t="shared" si="1048"/>
        <v>0</v>
      </c>
      <c r="AC1534" s="21">
        <f t="shared" si="1048"/>
        <v>0</v>
      </c>
      <c r="AD1534" s="21">
        <f t="shared" si="1048"/>
        <v>0</v>
      </c>
      <c r="AE1534" s="21">
        <f t="shared" si="1048"/>
        <v>0</v>
      </c>
    </row>
    <row r="1535" spans="3:31" x14ac:dyDescent="0.2">
      <c r="C1535" s="5" t="s">
        <v>207</v>
      </c>
      <c r="F1535" s="1" t="s">
        <v>55</v>
      </c>
      <c r="G1535" s="21">
        <f>SUM(I1535:AE1535)</f>
        <v>-330</v>
      </c>
      <c r="I1535" s="41">
        <f>SUMIF('Quarterly Plant Model'!$I$2:$V$2,'Plant model'!I$2,'Quarterly Plant Model'!$I1535:$V1535)</f>
        <v>-33</v>
      </c>
      <c r="J1535" s="41">
        <f>SUMIF('Quarterly Plant Model'!$I$2:$V$2,'Plant model'!J$2,'Quarterly Plant Model'!$I1535:$V1535)</f>
        <v>-189.75</v>
      </c>
      <c r="K1535" s="41">
        <f>SUMIF('Quarterly Plant Model'!$I$2:$V$2,'Plant model'!K$2,'Quarterly Plant Model'!$I1535:$V1535)</f>
        <v>-107.25</v>
      </c>
      <c r="L1535" s="41">
        <f>SUMIF('Quarterly Plant Model'!$I$2:$V$2,'Plant model'!L$2,'Quarterly Plant Model'!$I1535:$V1535)</f>
        <v>0</v>
      </c>
      <c r="M1535" s="21">
        <f t="shared" ref="M1535:AE1535" si="1049">-MIN(M1534,(-M1457)*$E$1533)</f>
        <v>0</v>
      </c>
      <c r="N1535" s="21">
        <f t="shared" si="1049"/>
        <v>0</v>
      </c>
      <c r="O1535" s="21">
        <f t="shared" si="1049"/>
        <v>0</v>
      </c>
      <c r="P1535" s="21">
        <f t="shared" si="1049"/>
        <v>0</v>
      </c>
      <c r="Q1535" s="21">
        <f t="shared" si="1049"/>
        <v>0</v>
      </c>
      <c r="R1535" s="21">
        <f t="shared" si="1049"/>
        <v>0</v>
      </c>
      <c r="S1535" s="21">
        <f t="shared" si="1049"/>
        <v>0</v>
      </c>
      <c r="T1535" s="21">
        <f t="shared" si="1049"/>
        <v>0</v>
      </c>
      <c r="U1535" s="21">
        <f t="shared" si="1049"/>
        <v>0</v>
      </c>
      <c r="V1535" s="21">
        <f t="shared" si="1049"/>
        <v>0</v>
      </c>
      <c r="W1535" s="21">
        <f t="shared" si="1049"/>
        <v>0</v>
      </c>
      <c r="X1535" s="21">
        <f t="shared" si="1049"/>
        <v>0</v>
      </c>
      <c r="Y1535" s="21">
        <f t="shared" si="1049"/>
        <v>0</v>
      </c>
      <c r="Z1535" s="21">
        <f t="shared" si="1049"/>
        <v>0</v>
      </c>
      <c r="AA1535" s="21">
        <f t="shared" si="1049"/>
        <v>0</v>
      </c>
      <c r="AB1535" s="21">
        <f t="shared" si="1049"/>
        <v>0</v>
      </c>
      <c r="AC1535" s="21">
        <f t="shared" si="1049"/>
        <v>0</v>
      </c>
      <c r="AD1535" s="21">
        <f t="shared" si="1049"/>
        <v>0</v>
      </c>
      <c r="AE1535" s="21">
        <f t="shared" si="1049"/>
        <v>0</v>
      </c>
    </row>
    <row r="1536" spans="3:31" x14ac:dyDescent="0.2">
      <c r="C1536" s="5" t="s">
        <v>127</v>
      </c>
      <c r="F1536" s="1" t="s">
        <v>55</v>
      </c>
      <c r="I1536" s="21">
        <f>SUM(I1534:I1535)</f>
        <v>297</v>
      </c>
      <c r="J1536" s="21">
        <f t="shared" ref="J1536:AE1536" si="1050">SUM(J1534:J1535)</f>
        <v>107.25</v>
      </c>
      <c r="K1536" s="21">
        <f t="shared" si="1050"/>
        <v>0</v>
      </c>
      <c r="L1536" s="21">
        <f t="shared" si="1050"/>
        <v>0</v>
      </c>
      <c r="M1536" s="21">
        <f t="shared" si="1050"/>
        <v>0</v>
      </c>
      <c r="N1536" s="21">
        <f t="shared" si="1050"/>
        <v>0</v>
      </c>
      <c r="O1536" s="21">
        <f t="shared" si="1050"/>
        <v>0</v>
      </c>
      <c r="P1536" s="21">
        <f t="shared" si="1050"/>
        <v>0</v>
      </c>
      <c r="Q1536" s="21">
        <f t="shared" si="1050"/>
        <v>0</v>
      </c>
      <c r="R1536" s="21">
        <f t="shared" si="1050"/>
        <v>0</v>
      </c>
      <c r="S1536" s="21">
        <f t="shared" si="1050"/>
        <v>0</v>
      </c>
      <c r="T1536" s="21">
        <f t="shared" si="1050"/>
        <v>0</v>
      </c>
      <c r="U1536" s="21">
        <f t="shared" si="1050"/>
        <v>0</v>
      </c>
      <c r="V1536" s="21">
        <f t="shared" si="1050"/>
        <v>0</v>
      </c>
      <c r="W1536" s="21">
        <f t="shared" si="1050"/>
        <v>0</v>
      </c>
      <c r="X1536" s="21">
        <f t="shared" si="1050"/>
        <v>0</v>
      </c>
      <c r="Y1536" s="21">
        <f t="shared" si="1050"/>
        <v>0</v>
      </c>
      <c r="Z1536" s="21">
        <f t="shared" si="1050"/>
        <v>0</v>
      </c>
      <c r="AA1536" s="21">
        <f t="shared" si="1050"/>
        <v>0</v>
      </c>
      <c r="AB1536" s="21">
        <f t="shared" si="1050"/>
        <v>0</v>
      </c>
      <c r="AC1536" s="21">
        <f t="shared" si="1050"/>
        <v>0</v>
      </c>
      <c r="AD1536" s="21">
        <f t="shared" si="1050"/>
        <v>0</v>
      </c>
      <c r="AE1536" s="21">
        <f t="shared" si="1050"/>
        <v>0</v>
      </c>
    </row>
    <row r="1538" spans="3:31" x14ac:dyDescent="0.2">
      <c r="C1538" s="9" t="s">
        <v>901</v>
      </c>
    </row>
    <row r="1539" spans="3:31" x14ac:dyDescent="0.2">
      <c r="C1539" s="5" t="s">
        <v>125</v>
      </c>
      <c r="F1539" s="1" t="s">
        <v>55</v>
      </c>
      <c r="I1539" s="83">
        <f>E1521</f>
        <v>330</v>
      </c>
      <c r="J1539" s="21">
        <f>I1541</f>
        <v>330</v>
      </c>
      <c r="K1539" s="21">
        <f t="shared" ref="K1539:AE1539" si="1051">J1541</f>
        <v>330</v>
      </c>
      <c r="L1539" s="21">
        <f t="shared" si="1051"/>
        <v>341.71431854852716</v>
      </c>
      <c r="M1539" s="21">
        <f t="shared" si="1051"/>
        <v>341.71431854852716</v>
      </c>
      <c r="N1539" s="21">
        <f t="shared" si="1051"/>
        <v>341.71431854852716</v>
      </c>
      <c r="O1539" s="21">
        <f t="shared" si="1051"/>
        <v>341.71431854852716</v>
      </c>
      <c r="P1539" s="21">
        <f t="shared" si="1051"/>
        <v>341.71431854852716</v>
      </c>
      <c r="Q1539" s="21">
        <f t="shared" si="1051"/>
        <v>341.71431854852716</v>
      </c>
      <c r="R1539" s="21">
        <f t="shared" si="1051"/>
        <v>341.71431854852716</v>
      </c>
      <c r="S1539" s="21">
        <f t="shared" si="1051"/>
        <v>341.71431854852716</v>
      </c>
      <c r="T1539" s="21">
        <f t="shared" si="1051"/>
        <v>341.71431854852716</v>
      </c>
      <c r="U1539" s="21">
        <f t="shared" si="1051"/>
        <v>341.71431854852716</v>
      </c>
      <c r="V1539" s="21">
        <f t="shared" si="1051"/>
        <v>341.71431854852716</v>
      </c>
      <c r="W1539" s="21">
        <f t="shared" si="1051"/>
        <v>341.71431854852716</v>
      </c>
      <c r="X1539" s="21">
        <f t="shared" si="1051"/>
        <v>341.71431854852716</v>
      </c>
      <c r="Y1539" s="21">
        <f t="shared" si="1051"/>
        <v>341.71431854852716</v>
      </c>
      <c r="Z1539" s="21">
        <f t="shared" si="1051"/>
        <v>341.71431854852716</v>
      </c>
      <c r="AA1539" s="21">
        <f t="shared" si="1051"/>
        <v>341.71431854852716</v>
      </c>
      <c r="AB1539" s="21">
        <f t="shared" si="1051"/>
        <v>341.71431854852716</v>
      </c>
      <c r="AC1539" s="21">
        <f t="shared" si="1051"/>
        <v>341.71431854852716</v>
      </c>
      <c r="AD1539" s="21">
        <f t="shared" si="1051"/>
        <v>341.71431854852716</v>
      </c>
      <c r="AE1539" s="21">
        <f t="shared" si="1051"/>
        <v>341.71431854852716</v>
      </c>
    </row>
    <row r="1540" spans="3:31" x14ac:dyDescent="0.2">
      <c r="C1540" s="5" t="s">
        <v>207</v>
      </c>
      <c r="F1540" s="1" t="s">
        <v>55</v>
      </c>
      <c r="G1540" s="21">
        <f>SUM(I1540:AE1540)</f>
        <v>11.714318548527149</v>
      </c>
      <c r="I1540" s="41">
        <f>SUMIF('Quarterly Plant Model'!$I$2:$V$2,'Plant model'!I$2,'Quarterly Plant Model'!$I1540:$V1540)</f>
        <v>0</v>
      </c>
      <c r="J1540" s="41">
        <f>SUMIF('Quarterly Plant Model'!$I$2:$V$2,'Plant model'!J$2,'Quarterly Plant Model'!$I1540:$V1540)</f>
        <v>0</v>
      </c>
      <c r="K1540" s="41">
        <f>SUMIF('Quarterly Plant Model'!$I$2:$V$2,'Plant model'!K$2,'Quarterly Plant Model'!$I1540:$V1540)</f>
        <v>11.714318548527149</v>
      </c>
      <c r="L1540" s="41">
        <f>SUMIF('Quarterly Plant Model'!$I$2:$V$2,'Plant model'!L$2,'Quarterly Plant Model'!$I1540:$V1540)</f>
        <v>0</v>
      </c>
      <c r="M1540" s="21">
        <f t="shared" ref="M1540:AE1540" si="1052">-(M1514-M1457-M947-M1639+M1697)*(M1528=0)</f>
        <v>0</v>
      </c>
      <c r="N1540" s="21">
        <f t="shared" si="1052"/>
        <v>0</v>
      </c>
      <c r="O1540" s="21">
        <f t="shared" si="1052"/>
        <v>0</v>
      </c>
      <c r="P1540" s="21">
        <f t="shared" si="1052"/>
        <v>0</v>
      </c>
      <c r="Q1540" s="21">
        <f t="shared" si="1052"/>
        <v>0</v>
      </c>
      <c r="R1540" s="21">
        <f t="shared" si="1052"/>
        <v>0</v>
      </c>
      <c r="S1540" s="21">
        <f t="shared" si="1052"/>
        <v>0</v>
      </c>
      <c r="T1540" s="21">
        <f t="shared" si="1052"/>
        <v>0</v>
      </c>
      <c r="U1540" s="21">
        <f t="shared" si="1052"/>
        <v>0</v>
      </c>
      <c r="V1540" s="21">
        <f t="shared" si="1052"/>
        <v>0</v>
      </c>
      <c r="W1540" s="21">
        <f t="shared" si="1052"/>
        <v>0</v>
      </c>
      <c r="X1540" s="21">
        <f t="shared" si="1052"/>
        <v>0</v>
      </c>
      <c r="Y1540" s="21">
        <f t="shared" si="1052"/>
        <v>0</v>
      </c>
      <c r="Z1540" s="21">
        <f t="shared" si="1052"/>
        <v>0</v>
      </c>
      <c r="AA1540" s="21">
        <f t="shared" si="1052"/>
        <v>0</v>
      </c>
      <c r="AB1540" s="21">
        <f t="shared" si="1052"/>
        <v>0</v>
      </c>
      <c r="AC1540" s="21">
        <f t="shared" si="1052"/>
        <v>0</v>
      </c>
      <c r="AD1540" s="21">
        <f t="shared" si="1052"/>
        <v>0</v>
      </c>
      <c r="AE1540" s="21">
        <f t="shared" si="1052"/>
        <v>0</v>
      </c>
    </row>
    <row r="1541" spans="3:31" x14ac:dyDescent="0.2">
      <c r="C1541" s="5" t="s">
        <v>127</v>
      </c>
      <c r="F1541" s="1" t="s">
        <v>55</v>
      </c>
      <c r="I1541" s="21">
        <f>SUM(I1539:I1540)</f>
        <v>330</v>
      </c>
      <c r="J1541" s="21">
        <f t="shared" ref="J1541:AE1541" si="1053">SUM(J1539:J1540)</f>
        <v>330</v>
      </c>
      <c r="K1541" s="21">
        <f t="shared" si="1053"/>
        <v>341.71431854852716</v>
      </c>
      <c r="L1541" s="21">
        <f t="shared" si="1053"/>
        <v>341.71431854852716</v>
      </c>
      <c r="M1541" s="21">
        <f t="shared" si="1053"/>
        <v>341.71431854852716</v>
      </c>
      <c r="N1541" s="21">
        <f t="shared" si="1053"/>
        <v>341.71431854852716</v>
      </c>
      <c r="O1541" s="21">
        <f t="shared" si="1053"/>
        <v>341.71431854852716</v>
      </c>
      <c r="P1541" s="21">
        <f t="shared" si="1053"/>
        <v>341.71431854852716</v>
      </c>
      <c r="Q1541" s="21">
        <f t="shared" si="1053"/>
        <v>341.71431854852716</v>
      </c>
      <c r="R1541" s="21">
        <f t="shared" si="1053"/>
        <v>341.71431854852716</v>
      </c>
      <c r="S1541" s="21">
        <f t="shared" si="1053"/>
        <v>341.71431854852716</v>
      </c>
      <c r="T1541" s="21">
        <f t="shared" si="1053"/>
        <v>341.71431854852716</v>
      </c>
      <c r="U1541" s="21">
        <f t="shared" si="1053"/>
        <v>341.71431854852716</v>
      </c>
      <c r="V1541" s="21">
        <f t="shared" si="1053"/>
        <v>341.71431854852716</v>
      </c>
      <c r="W1541" s="21">
        <f t="shared" si="1053"/>
        <v>341.71431854852716</v>
      </c>
      <c r="X1541" s="21">
        <f t="shared" si="1053"/>
        <v>341.71431854852716</v>
      </c>
      <c r="Y1541" s="21">
        <f t="shared" si="1053"/>
        <v>341.71431854852716</v>
      </c>
      <c r="Z1541" s="21">
        <f t="shared" si="1053"/>
        <v>341.71431854852716</v>
      </c>
      <c r="AA1541" s="21">
        <f t="shared" si="1053"/>
        <v>341.71431854852716</v>
      </c>
      <c r="AB1541" s="21">
        <f t="shared" si="1053"/>
        <v>341.71431854852716</v>
      </c>
      <c r="AC1541" s="21">
        <f t="shared" si="1053"/>
        <v>341.71431854852716</v>
      </c>
      <c r="AD1541" s="21">
        <f t="shared" si="1053"/>
        <v>341.71431854852716</v>
      </c>
      <c r="AE1541" s="21">
        <f t="shared" si="1053"/>
        <v>341.71431854852716</v>
      </c>
    </row>
    <row r="1544" spans="3:31" x14ac:dyDescent="0.2">
      <c r="C1544" s="9" t="s">
        <v>568</v>
      </c>
    </row>
    <row r="1545" spans="3:31" x14ac:dyDescent="0.2">
      <c r="C1545" s="1" t="s">
        <v>569</v>
      </c>
      <c r="G1545" s="21">
        <f>SUM(I1545:AE1545)</f>
        <v>312.63157894736844</v>
      </c>
      <c r="I1545" s="41">
        <f>SUMIF('Quarterly Plant Model'!$I$2:$V$2,'Plant model'!I$2,'Quarterly Plant Model'!$I1545:$V1545)</f>
        <v>0</v>
      </c>
      <c r="J1545" s="41">
        <f>SUMIF('Quarterly Plant Model'!$I$2:$V$2,'Plant model'!J$2,'Quarterly Plant Model'!$I1545:$V1545)</f>
        <v>0</v>
      </c>
      <c r="K1545" s="41">
        <f>SUMIF('Quarterly Plant Model'!$I$2:$V$2,'Plant model'!K$2,'Quarterly Plant Model'!$I1545:$V1545)</f>
        <v>17.368421052631579</v>
      </c>
      <c r="L1545" s="41">
        <f>SUMIF('Quarterly Plant Model'!$I$2:$V$2,'Plant model'!L$2,'Quarterly Plant Model'!$I1545:$V1545)</f>
        <v>17.368421052631579</v>
      </c>
      <c r="M1545" s="21">
        <f t="shared" ref="M1545:T1545" si="1054">$E$1521/$E$1528*M1528*IF(M1527&gt;0,M1527,1)</f>
        <v>34.736842105263158</v>
      </c>
      <c r="N1545" s="21">
        <f t="shared" si="1054"/>
        <v>34.736842105263158</v>
      </c>
      <c r="O1545" s="21">
        <f t="shared" si="1054"/>
        <v>34.736842105263158</v>
      </c>
      <c r="P1545" s="21">
        <f t="shared" si="1054"/>
        <v>34.736842105263158</v>
      </c>
      <c r="Q1545" s="21">
        <f t="shared" si="1054"/>
        <v>34.736842105263158</v>
      </c>
      <c r="R1545" s="21">
        <f t="shared" si="1054"/>
        <v>34.736842105263158</v>
      </c>
      <c r="S1545" s="21">
        <f t="shared" si="1054"/>
        <v>34.736842105263158</v>
      </c>
      <c r="T1545" s="21">
        <f t="shared" si="1054"/>
        <v>34.736842105263158</v>
      </c>
      <c r="U1545" s="21">
        <f>$E$1521/$E$1528*U1528*IF(U1527&gt;0,U1527,1)</f>
        <v>0</v>
      </c>
      <c r="V1545" s="21">
        <f t="shared" ref="V1545:AE1545" si="1055">$E$1521/$E$1528*V1528</f>
        <v>0</v>
      </c>
      <c r="W1545" s="21">
        <f t="shared" si="1055"/>
        <v>0</v>
      </c>
      <c r="X1545" s="21">
        <f t="shared" si="1055"/>
        <v>0</v>
      </c>
      <c r="Y1545" s="21">
        <f t="shared" si="1055"/>
        <v>0</v>
      </c>
      <c r="Z1545" s="21">
        <f t="shared" si="1055"/>
        <v>0</v>
      </c>
      <c r="AA1545" s="21">
        <f t="shared" si="1055"/>
        <v>0</v>
      </c>
      <c r="AB1545" s="21">
        <f t="shared" si="1055"/>
        <v>0</v>
      </c>
      <c r="AC1545" s="21">
        <f t="shared" si="1055"/>
        <v>0</v>
      </c>
      <c r="AD1545" s="21">
        <f t="shared" si="1055"/>
        <v>0</v>
      </c>
      <c r="AE1545" s="21">
        <f t="shared" si="1055"/>
        <v>0</v>
      </c>
    </row>
    <row r="1547" spans="3:31" x14ac:dyDescent="0.2">
      <c r="C1547" s="9" t="s">
        <v>567</v>
      </c>
    </row>
    <row r="1548" spans="3:31" x14ac:dyDescent="0.2">
      <c r="C1548" s="1" t="s">
        <v>197</v>
      </c>
      <c r="I1548" s="21">
        <f t="shared" ref="I1548:AE1548" si="1056">I1528*I1382</f>
        <v>0</v>
      </c>
      <c r="J1548" s="21">
        <f t="shared" si="1056"/>
        <v>0</v>
      </c>
      <c r="K1548" s="21">
        <f t="shared" si="1056"/>
        <v>-124.00487669130889</v>
      </c>
      <c r="L1548" s="21">
        <f t="shared" si="1056"/>
        <v>65.019488363830789</v>
      </c>
      <c r="M1548" s="21">
        <f t="shared" si="1056"/>
        <v>118.9873214879828</v>
      </c>
      <c r="N1548" s="21">
        <f t="shared" si="1056"/>
        <v>137.98341723309576</v>
      </c>
      <c r="O1548" s="21">
        <f t="shared" si="1056"/>
        <v>137.98341723309574</v>
      </c>
      <c r="P1548" s="21">
        <f t="shared" si="1056"/>
        <v>135.03170257897594</v>
      </c>
      <c r="Q1548" s="21">
        <f t="shared" si="1056"/>
        <v>119.50602778044434</v>
      </c>
      <c r="R1548" s="21">
        <f t="shared" si="1056"/>
        <v>108.1973515545435</v>
      </c>
      <c r="S1548" s="21">
        <f t="shared" si="1056"/>
        <v>106.43996163353354</v>
      </c>
      <c r="T1548" s="21">
        <f t="shared" si="1056"/>
        <v>105.09889033885702</v>
      </c>
      <c r="U1548" s="21">
        <f t="shared" si="1056"/>
        <v>0</v>
      </c>
      <c r="V1548" s="21">
        <f t="shared" si="1056"/>
        <v>0</v>
      </c>
      <c r="W1548" s="21">
        <f t="shared" si="1056"/>
        <v>0</v>
      </c>
      <c r="X1548" s="21">
        <f t="shared" si="1056"/>
        <v>0</v>
      </c>
      <c r="Y1548" s="21">
        <f t="shared" si="1056"/>
        <v>0</v>
      </c>
      <c r="Z1548" s="21">
        <f t="shared" si="1056"/>
        <v>0</v>
      </c>
      <c r="AA1548" s="21">
        <f t="shared" si="1056"/>
        <v>0</v>
      </c>
      <c r="AB1548" s="21">
        <f t="shared" si="1056"/>
        <v>0</v>
      </c>
      <c r="AC1548" s="21">
        <f t="shared" si="1056"/>
        <v>0</v>
      </c>
      <c r="AD1548" s="21">
        <f t="shared" si="1056"/>
        <v>0</v>
      </c>
      <c r="AE1548" s="21">
        <f t="shared" si="1056"/>
        <v>0</v>
      </c>
    </row>
    <row r="1549" spans="3:31" x14ac:dyDescent="0.2">
      <c r="C1549" s="1" t="s">
        <v>564</v>
      </c>
      <c r="I1549" s="81">
        <f>$E$1482</f>
        <v>1.5</v>
      </c>
      <c r="J1549" s="81">
        <f t="shared" ref="J1549:AE1549" si="1057">$E$1482</f>
        <v>1.5</v>
      </c>
      <c r="K1549" s="81">
        <f t="shared" si="1057"/>
        <v>1.5</v>
      </c>
      <c r="L1549" s="81">
        <f t="shared" si="1057"/>
        <v>1.5</v>
      </c>
      <c r="M1549" s="81">
        <f t="shared" si="1057"/>
        <v>1.5</v>
      </c>
      <c r="N1549" s="81">
        <f t="shared" si="1057"/>
        <v>1.5</v>
      </c>
      <c r="O1549" s="81">
        <f t="shared" si="1057"/>
        <v>1.5</v>
      </c>
      <c r="P1549" s="81">
        <f t="shared" si="1057"/>
        <v>1.5</v>
      </c>
      <c r="Q1549" s="81">
        <f t="shared" si="1057"/>
        <v>1.5</v>
      </c>
      <c r="R1549" s="81">
        <f t="shared" si="1057"/>
        <v>1.5</v>
      </c>
      <c r="S1549" s="81">
        <f t="shared" si="1057"/>
        <v>1.5</v>
      </c>
      <c r="T1549" s="81">
        <f t="shared" si="1057"/>
        <v>1.5</v>
      </c>
      <c r="U1549" s="81">
        <f t="shared" si="1057"/>
        <v>1.5</v>
      </c>
      <c r="V1549" s="81">
        <f t="shared" si="1057"/>
        <v>1.5</v>
      </c>
      <c r="W1549" s="81">
        <f t="shared" si="1057"/>
        <v>1.5</v>
      </c>
      <c r="X1549" s="81">
        <f t="shared" si="1057"/>
        <v>1.5</v>
      </c>
      <c r="Y1549" s="81">
        <f t="shared" si="1057"/>
        <v>1.5</v>
      </c>
      <c r="Z1549" s="81">
        <f t="shared" si="1057"/>
        <v>1.5</v>
      </c>
      <c r="AA1549" s="81">
        <f t="shared" si="1057"/>
        <v>1.5</v>
      </c>
      <c r="AB1549" s="81">
        <f t="shared" si="1057"/>
        <v>1.5</v>
      </c>
      <c r="AC1549" s="81">
        <f t="shared" si="1057"/>
        <v>1.5</v>
      </c>
      <c r="AD1549" s="81">
        <f t="shared" si="1057"/>
        <v>1.5</v>
      </c>
      <c r="AE1549" s="81">
        <f t="shared" si="1057"/>
        <v>1.5</v>
      </c>
    </row>
    <row r="1550" spans="3:31" x14ac:dyDescent="0.2">
      <c r="C1550" s="1" t="s">
        <v>565</v>
      </c>
      <c r="I1550" s="21">
        <f>I1548/I1549</f>
        <v>0</v>
      </c>
      <c r="J1550" s="21">
        <f t="shared" ref="J1550:AE1550" si="1058">J1548/J1549</f>
        <v>0</v>
      </c>
      <c r="K1550" s="21">
        <f t="shared" si="1058"/>
        <v>-82.669917794205929</v>
      </c>
      <c r="L1550" s="21">
        <f t="shared" si="1058"/>
        <v>43.346325575887192</v>
      </c>
      <c r="M1550" s="21">
        <f t="shared" si="1058"/>
        <v>79.324880991988536</v>
      </c>
      <c r="N1550" s="21">
        <f t="shared" si="1058"/>
        <v>91.988944822063843</v>
      </c>
      <c r="O1550" s="21">
        <f t="shared" si="1058"/>
        <v>91.988944822063829</v>
      </c>
      <c r="P1550" s="21">
        <f t="shared" si="1058"/>
        <v>90.021135052650621</v>
      </c>
      <c r="Q1550" s="21">
        <f t="shared" si="1058"/>
        <v>79.670685186962899</v>
      </c>
      <c r="R1550" s="21">
        <f t="shared" si="1058"/>
        <v>72.131567703029006</v>
      </c>
      <c r="S1550" s="21">
        <f t="shared" si="1058"/>
        <v>70.9599744223557</v>
      </c>
      <c r="T1550" s="21">
        <f t="shared" si="1058"/>
        <v>70.065926892571341</v>
      </c>
      <c r="U1550" s="21">
        <f t="shared" si="1058"/>
        <v>0</v>
      </c>
      <c r="V1550" s="21">
        <f t="shared" si="1058"/>
        <v>0</v>
      </c>
      <c r="W1550" s="21">
        <f t="shared" si="1058"/>
        <v>0</v>
      </c>
      <c r="X1550" s="21">
        <f t="shared" si="1058"/>
        <v>0</v>
      </c>
      <c r="Y1550" s="21">
        <f t="shared" si="1058"/>
        <v>0</v>
      </c>
      <c r="Z1550" s="21">
        <f t="shared" si="1058"/>
        <v>0</v>
      </c>
      <c r="AA1550" s="21">
        <f t="shared" si="1058"/>
        <v>0</v>
      </c>
      <c r="AB1550" s="21">
        <f t="shared" si="1058"/>
        <v>0</v>
      </c>
      <c r="AC1550" s="21">
        <f t="shared" si="1058"/>
        <v>0</v>
      </c>
      <c r="AD1550" s="21">
        <f t="shared" si="1058"/>
        <v>0</v>
      </c>
      <c r="AE1550" s="21">
        <f t="shared" si="1058"/>
        <v>0</v>
      </c>
    </row>
    <row r="1551" spans="3:31" x14ac:dyDescent="0.2">
      <c r="C1551" s="1" t="s">
        <v>566</v>
      </c>
      <c r="G1551" s="21">
        <f>SUM(I1551:AE1551)</f>
        <v>312.63157894736844</v>
      </c>
      <c r="I1551" s="21">
        <f t="shared" ref="I1551:AE1551" si="1059">I1491</f>
        <v>0</v>
      </c>
      <c r="J1551" s="21">
        <f t="shared" si="1059"/>
        <v>0</v>
      </c>
      <c r="K1551" s="21">
        <f t="shared" si="1059"/>
        <v>17.368421052631579</v>
      </c>
      <c r="L1551" s="21">
        <f t="shared" si="1059"/>
        <v>17.368421052631579</v>
      </c>
      <c r="M1551" s="21">
        <f t="shared" si="1059"/>
        <v>34.736842105263158</v>
      </c>
      <c r="N1551" s="21">
        <f t="shared" si="1059"/>
        <v>34.736842105263158</v>
      </c>
      <c r="O1551" s="21">
        <f t="shared" si="1059"/>
        <v>34.736842105263158</v>
      </c>
      <c r="P1551" s="21">
        <f t="shared" si="1059"/>
        <v>34.736842105263158</v>
      </c>
      <c r="Q1551" s="21">
        <f t="shared" si="1059"/>
        <v>34.736842105263158</v>
      </c>
      <c r="R1551" s="21">
        <f t="shared" si="1059"/>
        <v>34.736842105263158</v>
      </c>
      <c r="S1551" s="21">
        <f t="shared" si="1059"/>
        <v>34.736842105263158</v>
      </c>
      <c r="T1551" s="21">
        <f t="shared" si="1059"/>
        <v>34.736842105263158</v>
      </c>
      <c r="U1551" s="21">
        <f t="shared" si="1059"/>
        <v>0</v>
      </c>
      <c r="V1551" s="21">
        <f t="shared" si="1059"/>
        <v>0</v>
      </c>
      <c r="W1551" s="21">
        <f t="shared" si="1059"/>
        <v>0</v>
      </c>
      <c r="X1551" s="21">
        <f t="shared" si="1059"/>
        <v>0</v>
      </c>
      <c r="Y1551" s="21">
        <f t="shared" si="1059"/>
        <v>0</v>
      </c>
      <c r="Z1551" s="21">
        <f t="shared" si="1059"/>
        <v>0</v>
      </c>
      <c r="AA1551" s="21">
        <f t="shared" si="1059"/>
        <v>0</v>
      </c>
      <c r="AB1551" s="21">
        <f t="shared" si="1059"/>
        <v>0</v>
      </c>
      <c r="AC1551" s="21">
        <f t="shared" si="1059"/>
        <v>0</v>
      </c>
      <c r="AD1551" s="21">
        <f t="shared" si="1059"/>
        <v>0</v>
      </c>
      <c r="AE1551" s="21">
        <f t="shared" si="1059"/>
        <v>0</v>
      </c>
    </row>
    <row r="1552" spans="3:31" x14ac:dyDescent="0.2">
      <c r="I1552" s="21"/>
      <c r="J1552" s="21"/>
      <c r="K1552" s="21"/>
      <c r="L1552" s="21"/>
      <c r="M1552" s="21"/>
      <c r="N1552" s="21"/>
      <c r="O1552" s="21"/>
      <c r="P1552" s="21"/>
      <c r="Q1552" s="21"/>
      <c r="R1552" s="21"/>
      <c r="S1552" s="21"/>
      <c r="T1552" s="21"/>
      <c r="U1552" s="21"/>
      <c r="V1552" s="21"/>
      <c r="W1552" s="21"/>
      <c r="X1552" s="21"/>
      <c r="Y1552" s="21"/>
      <c r="Z1552" s="21"/>
      <c r="AA1552" s="21"/>
      <c r="AB1552" s="21"/>
      <c r="AC1552" s="21"/>
      <c r="AD1552" s="21"/>
      <c r="AE1552" s="21"/>
    </row>
    <row r="1554" spans="3:36" s="5" customFormat="1" x14ac:dyDescent="0.2">
      <c r="C1554" s="20" t="s">
        <v>206</v>
      </c>
      <c r="D1554" s="20"/>
    </row>
    <row r="1555" spans="3:36" x14ac:dyDescent="0.2">
      <c r="C1555" s="1" t="s">
        <v>125</v>
      </c>
      <c r="F1555" s="1" t="s">
        <v>55</v>
      </c>
      <c r="H1555" s="50"/>
      <c r="I1555" s="106">
        <v>0</v>
      </c>
      <c r="J1555" s="21">
        <f>I1558</f>
        <v>33</v>
      </c>
      <c r="K1555" s="21">
        <f t="shared" ref="K1555:AE1555" si="1060">J1558</f>
        <v>222.75</v>
      </c>
      <c r="L1555" s="21">
        <f t="shared" si="1060"/>
        <v>312.63157894736844</v>
      </c>
      <c r="M1555" s="21">
        <f t="shared" si="1060"/>
        <v>295.26315789473688</v>
      </c>
      <c r="N1555" s="21">
        <f t="shared" si="1060"/>
        <v>260.5263157894737</v>
      </c>
      <c r="O1555" s="21">
        <f t="shared" si="1060"/>
        <v>225.78947368421055</v>
      </c>
      <c r="P1555" s="21">
        <f t="shared" si="1060"/>
        <v>191.0526315789474</v>
      </c>
      <c r="Q1555" s="21">
        <f t="shared" si="1060"/>
        <v>156.31578947368425</v>
      </c>
      <c r="R1555" s="21">
        <f t="shared" si="1060"/>
        <v>121.5789473684211</v>
      </c>
      <c r="S1555" s="21">
        <f t="shared" si="1060"/>
        <v>86.842105263157947</v>
      </c>
      <c r="T1555" s="21">
        <f t="shared" si="1060"/>
        <v>52.10526315789479</v>
      </c>
      <c r="U1555" s="21">
        <f t="shared" si="1060"/>
        <v>17.368421052631632</v>
      </c>
      <c r="V1555" s="21">
        <f t="shared" si="1060"/>
        <v>17.368421052631632</v>
      </c>
      <c r="W1555" s="21">
        <f t="shared" si="1060"/>
        <v>17.368421052631632</v>
      </c>
      <c r="X1555" s="21">
        <f t="shared" si="1060"/>
        <v>17.368421052631632</v>
      </c>
      <c r="Y1555" s="21">
        <f t="shared" si="1060"/>
        <v>17.368421052631632</v>
      </c>
      <c r="Z1555" s="21">
        <f t="shared" si="1060"/>
        <v>17.368421052631632</v>
      </c>
      <c r="AA1555" s="21">
        <f t="shared" si="1060"/>
        <v>17.368421052631632</v>
      </c>
      <c r="AB1555" s="21">
        <f t="shared" si="1060"/>
        <v>17.368421052631632</v>
      </c>
      <c r="AC1555" s="21">
        <f t="shared" si="1060"/>
        <v>17.368421052631632</v>
      </c>
      <c r="AD1555" s="21">
        <f t="shared" si="1060"/>
        <v>17.368421052631632</v>
      </c>
      <c r="AE1555" s="21">
        <f t="shared" si="1060"/>
        <v>17.368421052631632</v>
      </c>
      <c r="AF1555" s="52"/>
      <c r="AG1555" s="21"/>
      <c r="AH1555" s="21"/>
      <c r="AI1555" s="21"/>
      <c r="AJ1555" s="21"/>
    </row>
    <row r="1556" spans="3:36" x14ac:dyDescent="0.2">
      <c r="C1556" s="1" t="s">
        <v>207</v>
      </c>
      <c r="F1556" s="1" t="s">
        <v>55</v>
      </c>
      <c r="G1556" s="21">
        <f>SUM(I1556:AE1556)</f>
        <v>330</v>
      </c>
      <c r="H1556" s="21"/>
      <c r="I1556" s="41">
        <f>SUMIF('Quarterly Plant Model'!$I$2:$V$2,'Plant model'!I$2,'Quarterly Plant Model'!$I1556:$V1556)</f>
        <v>33</v>
      </c>
      <c r="J1556" s="41">
        <f>SUMIF('Quarterly Plant Model'!$I$2:$V$2,'Plant model'!J$2,'Quarterly Plant Model'!$I1556:$V1556)</f>
        <v>189.75</v>
      </c>
      <c r="K1556" s="41">
        <f>SUMIF('Quarterly Plant Model'!$I$2:$V$2,'Plant model'!K$2,'Quarterly Plant Model'!$I1556:$V1556)</f>
        <v>107.25</v>
      </c>
      <c r="L1556" s="41">
        <f>SUMIF('Quarterly Plant Model'!$I$2:$V$2,'Plant model'!L$2,'Quarterly Plant Model'!$I1556:$V1556)</f>
        <v>0</v>
      </c>
      <c r="M1556" s="21">
        <f t="shared" ref="M1556:AE1556" si="1061">($E$1529=0)*-M1535+($E$1529=1)*-M1540</f>
        <v>0</v>
      </c>
      <c r="N1556" s="21">
        <f t="shared" si="1061"/>
        <v>0</v>
      </c>
      <c r="O1556" s="21">
        <f t="shared" si="1061"/>
        <v>0</v>
      </c>
      <c r="P1556" s="21">
        <f t="shared" si="1061"/>
        <v>0</v>
      </c>
      <c r="Q1556" s="21">
        <f t="shared" si="1061"/>
        <v>0</v>
      </c>
      <c r="R1556" s="21">
        <f t="shared" si="1061"/>
        <v>0</v>
      </c>
      <c r="S1556" s="21">
        <f t="shared" si="1061"/>
        <v>0</v>
      </c>
      <c r="T1556" s="21">
        <f t="shared" si="1061"/>
        <v>0</v>
      </c>
      <c r="U1556" s="21">
        <f t="shared" si="1061"/>
        <v>0</v>
      </c>
      <c r="V1556" s="21">
        <f t="shared" si="1061"/>
        <v>0</v>
      </c>
      <c r="W1556" s="21">
        <f t="shared" si="1061"/>
        <v>0</v>
      </c>
      <c r="X1556" s="21">
        <f t="shared" si="1061"/>
        <v>0</v>
      </c>
      <c r="Y1556" s="21">
        <f t="shared" si="1061"/>
        <v>0</v>
      </c>
      <c r="Z1556" s="21">
        <f t="shared" si="1061"/>
        <v>0</v>
      </c>
      <c r="AA1556" s="21">
        <f t="shared" si="1061"/>
        <v>0</v>
      </c>
      <c r="AB1556" s="21">
        <f t="shared" si="1061"/>
        <v>0</v>
      </c>
      <c r="AC1556" s="21">
        <f t="shared" si="1061"/>
        <v>0</v>
      </c>
      <c r="AD1556" s="21">
        <f t="shared" si="1061"/>
        <v>0</v>
      </c>
      <c r="AE1556" s="21">
        <f t="shared" si="1061"/>
        <v>0</v>
      </c>
      <c r="AF1556" s="52"/>
      <c r="AG1556" s="21"/>
      <c r="AH1556" s="21"/>
      <c r="AI1556" s="21"/>
      <c r="AJ1556" s="21"/>
    </row>
    <row r="1557" spans="3:36" x14ac:dyDescent="0.2">
      <c r="C1557" s="1" t="str">
        <f>"Repayment ("&amp;IF(E1530=0,"Straight line","Sculpted")&amp;" payments)"</f>
        <v>Repayment (Straight line payments)</v>
      </c>
      <c r="F1557" s="1" t="s">
        <v>55</v>
      </c>
      <c r="G1557" s="21">
        <f>SUM(I1557:AE1557)</f>
        <v>-312.63157894736844</v>
      </c>
      <c r="H1557" s="52"/>
      <c r="I1557" s="41">
        <f>SUMIF('Quarterly Plant Model'!$I$2:$V$2,'Plant model'!I$2,'Quarterly Plant Model'!$I1557:$V1557)</f>
        <v>0</v>
      </c>
      <c r="J1557" s="41">
        <f>SUMIF('Quarterly Plant Model'!$I$2:$V$2,'Plant model'!J$2,'Quarterly Plant Model'!$I1557:$V1557)</f>
        <v>0</v>
      </c>
      <c r="K1557" s="41">
        <f>SUMIF('Quarterly Plant Model'!$I$2:$V$2,'Plant model'!K$2,'Quarterly Plant Model'!$I1557:$V1557)</f>
        <v>-17.368421052631579</v>
      </c>
      <c r="L1557" s="41">
        <f>SUMIF('Quarterly Plant Model'!$I$2:$V$2,'Plant model'!L$2,'Quarterly Plant Model'!$I1557:$V1557)</f>
        <v>-17.368421052631579</v>
      </c>
      <c r="M1557" s="52">
        <f t="shared" ref="M1557:AE1557" si="1062">-M1545*($E$1530=0)+-MIN(M1555,(M1550-M1560)*M1528)*($E$1530=1)</f>
        <v>-34.736842105263158</v>
      </c>
      <c r="N1557" s="52">
        <f t="shared" si="1062"/>
        <v>-34.736842105263158</v>
      </c>
      <c r="O1557" s="52">
        <f t="shared" si="1062"/>
        <v>-34.736842105263158</v>
      </c>
      <c r="P1557" s="52">
        <f t="shared" si="1062"/>
        <v>-34.736842105263158</v>
      </c>
      <c r="Q1557" s="52">
        <f t="shared" si="1062"/>
        <v>-34.736842105263158</v>
      </c>
      <c r="R1557" s="52">
        <f t="shared" si="1062"/>
        <v>-34.736842105263158</v>
      </c>
      <c r="S1557" s="52">
        <f t="shared" si="1062"/>
        <v>-34.736842105263158</v>
      </c>
      <c r="T1557" s="52">
        <f t="shared" si="1062"/>
        <v>-34.736842105263158</v>
      </c>
      <c r="U1557" s="52">
        <f t="shared" si="1062"/>
        <v>0</v>
      </c>
      <c r="V1557" s="52">
        <f t="shared" si="1062"/>
        <v>0</v>
      </c>
      <c r="W1557" s="52">
        <f t="shared" si="1062"/>
        <v>0</v>
      </c>
      <c r="X1557" s="52">
        <f t="shared" si="1062"/>
        <v>0</v>
      </c>
      <c r="Y1557" s="52">
        <f t="shared" si="1062"/>
        <v>0</v>
      </c>
      <c r="Z1557" s="52">
        <f t="shared" si="1062"/>
        <v>0</v>
      </c>
      <c r="AA1557" s="52">
        <f t="shared" si="1062"/>
        <v>0</v>
      </c>
      <c r="AB1557" s="52">
        <f t="shared" si="1062"/>
        <v>0</v>
      </c>
      <c r="AC1557" s="52">
        <f t="shared" si="1062"/>
        <v>0</v>
      </c>
      <c r="AD1557" s="52">
        <f t="shared" si="1062"/>
        <v>0</v>
      </c>
      <c r="AE1557" s="52">
        <f t="shared" si="1062"/>
        <v>0</v>
      </c>
      <c r="AF1557" s="52"/>
      <c r="AG1557" s="21"/>
      <c r="AH1557" s="21"/>
      <c r="AI1557" s="21"/>
      <c r="AJ1557" s="21"/>
    </row>
    <row r="1558" spans="3:36" x14ac:dyDescent="0.2">
      <c r="C1558" s="1" t="s">
        <v>127</v>
      </c>
      <c r="F1558" s="1" t="s">
        <v>55</v>
      </c>
      <c r="H1558" s="52"/>
      <c r="I1558" s="21">
        <f>SUM(I1555:I1557)</f>
        <v>33</v>
      </c>
      <c r="J1558" s="21">
        <f t="shared" ref="J1558:AE1558" si="1063">SUM(J1555:J1557)</f>
        <v>222.75</v>
      </c>
      <c r="K1558" s="21">
        <f>SUM(K1555:K1557)</f>
        <v>312.63157894736844</v>
      </c>
      <c r="L1558" s="21">
        <f t="shared" si="1063"/>
        <v>295.26315789473688</v>
      </c>
      <c r="M1558" s="21">
        <f>SUM(M1555:M1557)</f>
        <v>260.5263157894737</v>
      </c>
      <c r="N1558" s="21">
        <f t="shared" si="1063"/>
        <v>225.78947368421055</v>
      </c>
      <c r="O1558" s="21">
        <f t="shared" si="1063"/>
        <v>191.0526315789474</v>
      </c>
      <c r="P1558" s="21">
        <f t="shared" si="1063"/>
        <v>156.31578947368425</v>
      </c>
      <c r="Q1558" s="21">
        <f t="shared" si="1063"/>
        <v>121.5789473684211</v>
      </c>
      <c r="R1558" s="21">
        <f t="shared" si="1063"/>
        <v>86.842105263157947</v>
      </c>
      <c r="S1558" s="21">
        <f t="shared" si="1063"/>
        <v>52.10526315789479</v>
      </c>
      <c r="T1558" s="21">
        <f t="shared" si="1063"/>
        <v>17.368421052631632</v>
      </c>
      <c r="U1558" s="21">
        <f t="shared" si="1063"/>
        <v>17.368421052631632</v>
      </c>
      <c r="V1558" s="21">
        <f t="shared" si="1063"/>
        <v>17.368421052631632</v>
      </c>
      <c r="W1558" s="21">
        <f t="shared" si="1063"/>
        <v>17.368421052631632</v>
      </c>
      <c r="X1558" s="21">
        <f t="shared" si="1063"/>
        <v>17.368421052631632</v>
      </c>
      <c r="Y1558" s="21">
        <f t="shared" si="1063"/>
        <v>17.368421052631632</v>
      </c>
      <c r="Z1558" s="21">
        <f t="shared" si="1063"/>
        <v>17.368421052631632</v>
      </c>
      <c r="AA1558" s="21">
        <f t="shared" si="1063"/>
        <v>17.368421052631632</v>
      </c>
      <c r="AB1558" s="21">
        <f t="shared" si="1063"/>
        <v>17.368421052631632</v>
      </c>
      <c r="AC1558" s="21">
        <f t="shared" si="1063"/>
        <v>17.368421052631632</v>
      </c>
      <c r="AD1558" s="21">
        <f t="shared" si="1063"/>
        <v>17.368421052631632</v>
      </c>
      <c r="AE1558" s="21">
        <f t="shared" si="1063"/>
        <v>17.368421052631632</v>
      </c>
      <c r="AF1558" s="52"/>
      <c r="AG1558" s="21"/>
      <c r="AH1558" s="21"/>
      <c r="AI1558" s="21"/>
      <c r="AJ1558" s="21"/>
    </row>
    <row r="1559" spans="3:36" x14ac:dyDescent="0.2">
      <c r="H1559" s="52"/>
      <c r="I1559" s="21"/>
      <c r="J1559" s="21"/>
      <c r="K1559" s="21"/>
      <c r="L1559" s="21"/>
      <c r="M1559" s="21"/>
      <c r="N1559" s="21"/>
      <c r="O1559" s="21"/>
      <c r="P1559" s="21"/>
      <c r="Q1559" s="21"/>
      <c r="R1559" s="21"/>
      <c r="S1559" s="21"/>
      <c r="T1559" s="21"/>
      <c r="U1559" s="21"/>
      <c r="V1559" s="21"/>
      <c r="W1559" s="21"/>
      <c r="X1559" s="21"/>
      <c r="Y1559" s="21"/>
      <c r="Z1559" s="21"/>
      <c r="AA1559" s="21"/>
      <c r="AB1559" s="21"/>
      <c r="AC1559" s="21"/>
      <c r="AD1559" s="21"/>
      <c r="AE1559" s="21"/>
      <c r="AF1559" s="52"/>
      <c r="AG1559" s="21"/>
      <c r="AH1559" s="21"/>
      <c r="AI1559" s="21"/>
      <c r="AJ1559" s="21"/>
    </row>
    <row r="1560" spans="3:36" x14ac:dyDescent="0.2">
      <c r="C1560" s="1" t="s">
        <v>145</v>
      </c>
      <c r="F1560" s="1" t="s">
        <v>55</v>
      </c>
      <c r="G1560" s="21">
        <f>SUM(I1560:AE1560)</f>
        <v>0</v>
      </c>
      <c r="H1560" s="52"/>
      <c r="I1560" s="41">
        <f>SUMIF('Quarterly Plant Model'!$I$2:$V$2,'Plant model'!I$2,'Quarterly Plant Model'!$I1560:$V1560)</f>
        <v>0</v>
      </c>
      <c r="J1560" s="41">
        <f>SUMIF('Quarterly Plant Model'!$I$2:$V$2,'Plant model'!J$2,'Quarterly Plant Model'!$I1560:$V1560)</f>
        <v>0</v>
      </c>
      <c r="K1560" s="41">
        <f>SUMIF('Quarterly Plant Model'!$I$2:$V$2,'Plant model'!K$2,'Quarterly Plant Model'!$I1560:$V1560)</f>
        <v>0</v>
      </c>
      <c r="L1560" s="41">
        <f>SUMIF('Quarterly Plant Model'!$I$2:$V$2,'Plant model'!L$2,'Quarterly Plant Model'!$I1560:$V1560)</f>
        <v>0</v>
      </c>
      <c r="M1560" s="52">
        <f>IF($F$1442=0,0,$E$1483*AVERAGE(M1555,M1558))</f>
        <v>0</v>
      </c>
      <c r="N1560" s="52">
        <f t="shared" ref="N1560:AE1560" si="1064">IF($F$1442=0,0,$E$1483*AVERAGE(N1555,N1558))</f>
        <v>0</v>
      </c>
      <c r="O1560" s="52">
        <f t="shared" si="1064"/>
        <v>0</v>
      </c>
      <c r="P1560" s="52">
        <f t="shared" si="1064"/>
        <v>0</v>
      </c>
      <c r="Q1560" s="52">
        <f t="shared" si="1064"/>
        <v>0</v>
      </c>
      <c r="R1560" s="52">
        <f t="shared" si="1064"/>
        <v>0</v>
      </c>
      <c r="S1560" s="52">
        <f t="shared" si="1064"/>
        <v>0</v>
      </c>
      <c r="T1560" s="52">
        <f t="shared" si="1064"/>
        <v>0</v>
      </c>
      <c r="U1560" s="52">
        <f t="shared" si="1064"/>
        <v>0</v>
      </c>
      <c r="V1560" s="52">
        <f t="shared" si="1064"/>
        <v>0</v>
      </c>
      <c r="W1560" s="52">
        <f t="shared" si="1064"/>
        <v>0</v>
      </c>
      <c r="X1560" s="52">
        <f t="shared" si="1064"/>
        <v>0</v>
      </c>
      <c r="Y1560" s="52">
        <f t="shared" si="1064"/>
        <v>0</v>
      </c>
      <c r="Z1560" s="52">
        <f t="shared" si="1064"/>
        <v>0</v>
      </c>
      <c r="AA1560" s="52">
        <f t="shared" si="1064"/>
        <v>0</v>
      </c>
      <c r="AB1560" s="52">
        <f t="shared" si="1064"/>
        <v>0</v>
      </c>
      <c r="AC1560" s="52">
        <f t="shared" si="1064"/>
        <v>0</v>
      </c>
      <c r="AD1560" s="52">
        <f t="shared" si="1064"/>
        <v>0</v>
      </c>
      <c r="AE1560" s="52">
        <f t="shared" si="1064"/>
        <v>0</v>
      </c>
      <c r="AF1560" s="52"/>
      <c r="AG1560" s="21"/>
      <c r="AH1560" s="21"/>
      <c r="AI1560" s="21"/>
      <c r="AJ1560" s="21"/>
    </row>
    <row r="1561" spans="3:36" x14ac:dyDescent="0.2">
      <c r="C1561" s="1" t="s">
        <v>209</v>
      </c>
      <c r="F1561" s="1" t="s">
        <v>55</v>
      </c>
      <c r="G1561" s="21">
        <f>SUM(I1561:AE1561)</f>
        <v>0</v>
      </c>
      <c r="H1561" s="52"/>
      <c r="I1561" s="41">
        <f>SUMIF('Quarterly Plant Model'!$I$2:$V$2,'Plant model'!I$2,'Quarterly Plant Model'!$I1561:$V1561)</f>
        <v>0</v>
      </c>
      <c r="J1561" s="41">
        <f>SUMIF('Quarterly Plant Model'!$I$2:$V$2,'Plant model'!J$2,'Quarterly Plant Model'!$I1561:$V1561)</f>
        <v>0</v>
      </c>
      <c r="K1561" s="41">
        <f>SUMIF('Quarterly Plant Model'!$I$2:$V$2,'Plant model'!K$2,'Quarterly Plant Model'!$I1561:$V1561)</f>
        <v>0</v>
      </c>
      <c r="L1561" s="41">
        <f>SUMIF('Quarterly Plant Model'!$I$2:$V$2,'Plant model'!L$2,'Quarterly Plant Model'!$I1561:$V1561)</f>
        <v>0</v>
      </c>
      <c r="M1561" s="21">
        <f>(SUM($I$1528:M1528)=0)*M1560</f>
        <v>0</v>
      </c>
      <c r="N1561" s="21">
        <f>(SUM($I$1528:N1528)=0)*N1560</f>
        <v>0</v>
      </c>
      <c r="O1561" s="21">
        <f>(SUM($I$1528:O1528)=0)*O1560</f>
        <v>0</v>
      </c>
      <c r="P1561" s="21">
        <f>(SUM($I$1528:P1528)=0)*P1560</f>
        <v>0</v>
      </c>
      <c r="Q1561" s="21">
        <f>(SUM($I$1528:Q1528)=0)*Q1560</f>
        <v>0</v>
      </c>
      <c r="R1561" s="21">
        <f>(SUM($I$1528:R1528)=0)*R1560</f>
        <v>0</v>
      </c>
      <c r="S1561" s="21">
        <f>(SUM($I$1528:S1528)=0)*S1560</f>
        <v>0</v>
      </c>
      <c r="T1561" s="21">
        <f>(SUM($I$1528:T1528)=0)*T1560</f>
        <v>0</v>
      </c>
      <c r="U1561" s="21">
        <f>(SUM($I$1528:U1528)=0)*U1560</f>
        <v>0</v>
      </c>
      <c r="V1561" s="21">
        <f>(SUM($I$1528:V1528)=0)*V1560</f>
        <v>0</v>
      </c>
      <c r="W1561" s="21">
        <f>(SUM($I$1528:W1528)=0)*W1560</f>
        <v>0</v>
      </c>
      <c r="X1561" s="21">
        <f>(SUM($I$1528:X1528)=0)*X1560</f>
        <v>0</v>
      </c>
      <c r="Y1561" s="21">
        <f>(SUM($I$1528:Y1528)=0)*Y1560</f>
        <v>0</v>
      </c>
      <c r="Z1561" s="21">
        <f>(SUM($I$1528:Z1528)=0)*Z1560</f>
        <v>0</v>
      </c>
      <c r="AA1561" s="21">
        <f>(SUM($I$1528:AA1528)=0)*AA1560</f>
        <v>0</v>
      </c>
      <c r="AB1561" s="21">
        <f>(SUM($I$1528:AB1528)=0)*AB1560</f>
        <v>0</v>
      </c>
      <c r="AC1561" s="21">
        <f>(SUM($I$1528:AC1528)=0)*AC1560</f>
        <v>0</v>
      </c>
      <c r="AD1561" s="21">
        <f>(SUM($I$1528:AD1528)=0)*AD1560</f>
        <v>0</v>
      </c>
      <c r="AE1561" s="21">
        <f>(SUM($I$1528:AE1528)=0)*AE1560</f>
        <v>0</v>
      </c>
      <c r="AF1561" s="52"/>
      <c r="AG1561" s="21"/>
      <c r="AH1561" s="21"/>
      <c r="AI1561" s="21"/>
      <c r="AJ1561" s="21"/>
    </row>
    <row r="1562" spans="3:36" x14ac:dyDescent="0.2">
      <c r="H1562" s="52"/>
      <c r="I1562" s="21"/>
      <c r="J1562" s="21"/>
      <c r="K1562" s="21"/>
      <c r="L1562" s="21"/>
      <c r="M1562" s="21"/>
      <c r="N1562" s="21"/>
      <c r="O1562" s="21"/>
      <c r="P1562" s="21"/>
      <c r="Q1562" s="21"/>
      <c r="R1562" s="21"/>
      <c r="S1562" s="21"/>
      <c r="T1562" s="21"/>
      <c r="U1562" s="21"/>
      <c r="V1562" s="21"/>
      <c r="W1562" s="21"/>
      <c r="X1562" s="21"/>
      <c r="Y1562" s="21"/>
      <c r="Z1562" s="21"/>
      <c r="AA1562" s="21"/>
      <c r="AB1562" s="21"/>
      <c r="AC1562" s="21"/>
      <c r="AD1562" s="21"/>
      <c r="AE1562" s="21"/>
      <c r="AF1562" s="52"/>
      <c r="AG1562" s="21"/>
      <c r="AH1562" s="21"/>
      <c r="AI1562" s="21"/>
      <c r="AJ1562" s="21"/>
    </row>
    <row r="1563" spans="3:36" x14ac:dyDescent="0.2">
      <c r="C1563" s="1" t="s">
        <v>210</v>
      </c>
      <c r="E1563" s="99">
        <v>0.02</v>
      </c>
      <c r="F1563" s="1" t="s">
        <v>55</v>
      </c>
      <c r="G1563" s="21">
        <f>SUM(I1563:AE1563)</f>
        <v>6.6000000000000005</v>
      </c>
      <c r="H1563" s="52"/>
      <c r="I1563" s="41">
        <f>SUMIF('Quarterly Plant Model'!$I$2:$V$2,'Plant model'!I$2,'Quarterly Plant Model'!$I1563:$V1563)</f>
        <v>6.6000000000000005</v>
      </c>
      <c r="J1563" s="41">
        <f>SUMIF('Quarterly Plant Model'!$I$2:$V$2,'Plant model'!J$2,'Quarterly Plant Model'!$I1563:$V1563)</f>
        <v>0</v>
      </c>
      <c r="K1563" s="41">
        <f>SUMIF('Quarterly Plant Model'!$I$2:$V$2,'Plant model'!K$2,'Quarterly Plant Model'!$I1563:$V1563)</f>
        <v>0</v>
      </c>
      <c r="L1563" s="41">
        <f>SUMIF('Quarterly Plant Model'!$I$2:$V$2,'Plant model'!L$2,'Quarterly Plant Model'!$I1563:$V1563)</f>
        <v>0</v>
      </c>
      <c r="M1563" s="21">
        <f t="shared" ref="M1563:AE1563" si="1065">AND(M1555=0,M1558&gt;0)*($E$1521*$E$1563)</f>
        <v>0</v>
      </c>
      <c r="N1563" s="21">
        <f t="shared" si="1065"/>
        <v>0</v>
      </c>
      <c r="O1563" s="21">
        <f t="shared" si="1065"/>
        <v>0</v>
      </c>
      <c r="P1563" s="21">
        <f t="shared" si="1065"/>
        <v>0</v>
      </c>
      <c r="Q1563" s="21">
        <f t="shared" si="1065"/>
        <v>0</v>
      </c>
      <c r="R1563" s="21">
        <f t="shared" si="1065"/>
        <v>0</v>
      </c>
      <c r="S1563" s="21">
        <f t="shared" si="1065"/>
        <v>0</v>
      </c>
      <c r="T1563" s="21">
        <f t="shared" si="1065"/>
        <v>0</v>
      </c>
      <c r="U1563" s="21">
        <f t="shared" si="1065"/>
        <v>0</v>
      </c>
      <c r="V1563" s="21">
        <f t="shared" si="1065"/>
        <v>0</v>
      </c>
      <c r="W1563" s="21">
        <f t="shared" si="1065"/>
        <v>0</v>
      </c>
      <c r="X1563" s="21">
        <f t="shared" si="1065"/>
        <v>0</v>
      </c>
      <c r="Y1563" s="21">
        <f t="shared" si="1065"/>
        <v>0</v>
      </c>
      <c r="Z1563" s="21">
        <f t="shared" si="1065"/>
        <v>0</v>
      </c>
      <c r="AA1563" s="21">
        <f t="shared" si="1065"/>
        <v>0</v>
      </c>
      <c r="AB1563" s="21">
        <f t="shared" si="1065"/>
        <v>0</v>
      </c>
      <c r="AC1563" s="21">
        <f t="shared" si="1065"/>
        <v>0</v>
      </c>
      <c r="AD1563" s="21">
        <f t="shared" si="1065"/>
        <v>0</v>
      </c>
      <c r="AE1563" s="21">
        <f t="shared" si="1065"/>
        <v>0</v>
      </c>
      <c r="AF1563" s="52"/>
      <c r="AG1563" s="21"/>
      <c r="AH1563" s="21"/>
      <c r="AI1563" s="21"/>
      <c r="AJ1563" s="21"/>
    </row>
    <row r="1564" spans="3:36" x14ac:dyDescent="0.2">
      <c r="H1564" s="52"/>
      <c r="I1564" s="21"/>
      <c r="J1564" s="21"/>
      <c r="K1564" s="21"/>
      <c r="L1564" s="21"/>
      <c r="M1564" s="21"/>
      <c r="N1564" s="21"/>
      <c r="O1564" s="21"/>
      <c r="P1564" s="21"/>
      <c r="Q1564" s="21"/>
      <c r="R1564" s="21"/>
      <c r="S1564" s="21"/>
      <c r="T1564" s="21"/>
      <c r="U1564" s="21"/>
      <c r="V1564" s="21"/>
      <c r="W1564" s="21"/>
      <c r="X1564" s="21"/>
      <c r="Y1564" s="21"/>
      <c r="Z1564" s="21"/>
      <c r="AA1564" s="21"/>
      <c r="AB1564" s="21"/>
      <c r="AC1564" s="21"/>
      <c r="AD1564" s="21"/>
      <c r="AE1564" s="21"/>
      <c r="AF1564" s="52"/>
      <c r="AG1564" s="21"/>
      <c r="AH1564" s="21"/>
      <c r="AI1564" s="21"/>
      <c r="AJ1564" s="21"/>
    </row>
    <row r="1565" spans="3:36" x14ac:dyDescent="0.2">
      <c r="C1565" s="1" t="s">
        <v>211</v>
      </c>
      <c r="F1565" s="1" t="s">
        <v>55</v>
      </c>
      <c r="H1565" s="5"/>
    </row>
    <row r="1566" spans="3:36" x14ac:dyDescent="0.2">
      <c r="C1566" s="1" t="s">
        <v>212</v>
      </c>
      <c r="F1566" s="1" t="s">
        <v>55</v>
      </c>
      <c r="H1566" s="52"/>
      <c r="I1566" s="21">
        <f>($E$1521-I1555)*(SUM(I$1528:$I1528)=0)</f>
        <v>330</v>
      </c>
      <c r="J1566" s="21">
        <f>($E$1521-J1555)*(SUM($I$1528:J1528)=0)</f>
        <v>297</v>
      </c>
      <c r="K1566" s="21">
        <f>($E$1521-K1555)*(SUM($I$1528:K1528)=0)</f>
        <v>0</v>
      </c>
      <c r="L1566" s="21">
        <f>($E$1521-L1555)*(SUM($I$1528:L1528)=0)</f>
        <v>0</v>
      </c>
      <c r="M1566" s="21">
        <f>($E$1521-M1555)*(SUM($I$1528:M1528)=0)</f>
        <v>0</v>
      </c>
      <c r="N1566" s="21">
        <f>($E$1521-N1555)*(SUM($I$1528:N1528)=0)</f>
        <v>0</v>
      </c>
      <c r="O1566" s="21">
        <f>($E$1521-O1555)*(SUM($I$1528:O1528)=0)</f>
        <v>0</v>
      </c>
      <c r="P1566" s="21">
        <f>($E$1521-P1555)*(SUM($I$1528:P1528)=0)</f>
        <v>0</v>
      </c>
      <c r="Q1566" s="21">
        <f>($E$1521-Q1555)*(SUM($I$1528:Q1528)=0)</f>
        <v>0</v>
      </c>
      <c r="R1566" s="21">
        <f>($E$1521-R1555)*(SUM($I$1528:R1528)=0)</f>
        <v>0</v>
      </c>
      <c r="S1566" s="21">
        <f>($E$1521-S1555)*(SUM($I$1528:S1528)=0)</f>
        <v>0</v>
      </c>
      <c r="T1566" s="21">
        <f>($E$1521-T1555)*(SUM($I$1528:T1528)=0)</f>
        <v>0</v>
      </c>
      <c r="U1566" s="21">
        <f>($E$1521-U1555)*(SUM($I$1528:U1528)=0)</f>
        <v>0</v>
      </c>
      <c r="V1566" s="21">
        <f>($E$1521-V1555)*(SUM($I$1528:V1528)=0)</f>
        <v>0</v>
      </c>
      <c r="W1566" s="21">
        <f>($E$1521-W1555)*(SUM($I$1528:W1528)=0)</f>
        <v>0</v>
      </c>
      <c r="X1566" s="21">
        <f>($E$1521-X1555)*(SUM($I$1528:X1528)=0)</f>
        <v>0</v>
      </c>
      <c r="Y1566" s="21">
        <f>($E$1521-Y1555)*(SUM($I$1528:Y1528)=0)</f>
        <v>0</v>
      </c>
      <c r="Z1566" s="21">
        <f>($E$1521-Z1555)*(SUM($I$1528:Z1528)=0)</f>
        <v>0</v>
      </c>
      <c r="AA1566" s="21">
        <f>($E$1521-AA1555)*(SUM($I$1528:AA1528)=0)</f>
        <v>0</v>
      </c>
      <c r="AB1566" s="21">
        <f>($E$1521-AB1555)*(SUM($I$1528:AB1528)=0)</f>
        <v>0</v>
      </c>
      <c r="AC1566" s="21">
        <f>($E$1521-AC1555)*(SUM($I$1528:AC1528)=0)</f>
        <v>0</v>
      </c>
      <c r="AD1566" s="21">
        <f>($E$1521-AD1555)*(SUM($I$1528:AD1528)=0)</f>
        <v>0</v>
      </c>
      <c r="AE1566" s="21">
        <f>($E$1521-AE1555)*(SUM($I$1528:AE1528)=0)</f>
        <v>0</v>
      </c>
      <c r="AF1566" s="52"/>
      <c r="AG1566" s="21"/>
      <c r="AH1566" s="21"/>
      <c r="AI1566" s="21"/>
      <c r="AJ1566" s="21"/>
    </row>
    <row r="1567" spans="3:36" x14ac:dyDescent="0.2">
      <c r="C1567" s="1" t="s">
        <v>213</v>
      </c>
      <c r="F1567" s="1" t="s">
        <v>55</v>
      </c>
      <c r="H1567" s="21"/>
      <c r="I1567" s="21">
        <f t="shared" ref="I1567:AE1567" si="1066">-I1556</f>
        <v>-33</v>
      </c>
      <c r="J1567" s="21">
        <f t="shared" si="1066"/>
        <v>-189.75</v>
      </c>
      <c r="K1567" s="21">
        <f>-K1556</f>
        <v>-107.25</v>
      </c>
      <c r="L1567" s="21">
        <f t="shared" si="1066"/>
        <v>0</v>
      </c>
      <c r="M1567" s="21">
        <f t="shared" si="1066"/>
        <v>0</v>
      </c>
      <c r="N1567" s="21">
        <f t="shared" si="1066"/>
        <v>0</v>
      </c>
      <c r="O1567" s="21">
        <f t="shared" si="1066"/>
        <v>0</v>
      </c>
      <c r="P1567" s="21">
        <f t="shared" si="1066"/>
        <v>0</v>
      </c>
      <c r="Q1567" s="21">
        <f t="shared" si="1066"/>
        <v>0</v>
      </c>
      <c r="R1567" s="21">
        <f t="shared" si="1066"/>
        <v>0</v>
      </c>
      <c r="S1567" s="21">
        <f t="shared" si="1066"/>
        <v>0</v>
      </c>
      <c r="T1567" s="21">
        <f t="shared" si="1066"/>
        <v>0</v>
      </c>
      <c r="U1567" s="21">
        <f t="shared" si="1066"/>
        <v>0</v>
      </c>
      <c r="V1567" s="21">
        <f t="shared" si="1066"/>
        <v>0</v>
      </c>
      <c r="W1567" s="21">
        <f t="shared" si="1066"/>
        <v>0</v>
      </c>
      <c r="X1567" s="21">
        <f t="shared" si="1066"/>
        <v>0</v>
      </c>
      <c r="Y1567" s="21">
        <f t="shared" si="1066"/>
        <v>0</v>
      </c>
      <c r="Z1567" s="21">
        <f t="shared" si="1066"/>
        <v>0</v>
      </c>
      <c r="AA1567" s="21">
        <f t="shared" si="1066"/>
        <v>0</v>
      </c>
      <c r="AB1567" s="21">
        <f t="shared" si="1066"/>
        <v>0</v>
      </c>
      <c r="AC1567" s="21">
        <f t="shared" si="1066"/>
        <v>0</v>
      </c>
      <c r="AD1567" s="21">
        <f t="shared" si="1066"/>
        <v>0</v>
      </c>
      <c r="AE1567" s="21">
        <f t="shared" si="1066"/>
        <v>0</v>
      </c>
      <c r="AF1567" s="52"/>
      <c r="AG1567" s="21"/>
      <c r="AH1567" s="21"/>
      <c r="AI1567" s="21"/>
      <c r="AJ1567" s="21"/>
    </row>
    <row r="1568" spans="3:36" x14ac:dyDescent="0.2">
      <c r="C1568" s="1" t="s">
        <v>214</v>
      </c>
      <c r="F1568" s="1" t="s">
        <v>55</v>
      </c>
      <c r="H1568" s="21"/>
      <c r="I1568" s="21">
        <f>SUM(I1566:I1567)</f>
        <v>297</v>
      </c>
      <c r="J1568" s="21">
        <f t="shared" ref="J1568:AE1568" si="1067">SUM(J1566:J1567)</f>
        <v>107.25</v>
      </c>
      <c r="K1568" s="21">
        <f>SUM(K1566:K1567)</f>
        <v>-107.25</v>
      </c>
      <c r="L1568" s="21">
        <f t="shared" si="1067"/>
        <v>0</v>
      </c>
      <c r="M1568" s="21">
        <f t="shared" si="1067"/>
        <v>0</v>
      </c>
      <c r="N1568" s="21">
        <f t="shared" si="1067"/>
        <v>0</v>
      </c>
      <c r="O1568" s="21">
        <f t="shared" si="1067"/>
        <v>0</v>
      </c>
      <c r="P1568" s="21">
        <f t="shared" si="1067"/>
        <v>0</v>
      </c>
      <c r="Q1568" s="21">
        <f t="shared" si="1067"/>
        <v>0</v>
      </c>
      <c r="R1568" s="21">
        <f t="shared" si="1067"/>
        <v>0</v>
      </c>
      <c r="S1568" s="21">
        <f t="shared" si="1067"/>
        <v>0</v>
      </c>
      <c r="T1568" s="21">
        <f t="shared" si="1067"/>
        <v>0</v>
      </c>
      <c r="U1568" s="21">
        <f t="shared" si="1067"/>
        <v>0</v>
      </c>
      <c r="V1568" s="21">
        <f t="shared" si="1067"/>
        <v>0</v>
      </c>
      <c r="W1568" s="21">
        <f t="shared" si="1067"/>
        <v>0</v>
      </c>
      <c r="X1568" s="21">
        <f t="shared" si="1067"/>
        <v>0</v>
      </c>
      <c r="Y1568" s="21">
        <f t="shared" si="1067"/>
        <v>0</v>
      </c>
      <c r="Z1568" s="21">
        <f t="shared" si="1067"/>
        <v>0</v>
      </c>
      <c r="AA1568" s="21">
        <f t="shared" si="1067"/>
        <v>0</v>
      </c>
      <c r="AB1568" s="21">
        <f t="shared" si="1067"/>
        <v>0</v>
      </c>
      <c r="AC1568" s="21">
        <f t="shared" si="1067"/>
        <v>0</v>
      </c>
      <c r="AD1568" s="21">
        <f t="shared" si="1067"/>
        <v>0</v>
      </c>
      <c r="AE1568" s="21">
        <f t="shared" si="1067"/>
        <v>0</v>
      </c>
      <c r="AF1568" s="52"/>
      <c r="AG1568" s="21"/>
      <c r="AH1568" s="21"/>
      <c r="AI1568" s="21"/>
      <c r="AJ1568" s="21"/>
    </row>
    <row r="1569" spans="3:36" x14ac:dyDescent="0.2">
      <c r="C1569" s="1" t="s">
        <v>215</v>
      </c>
      <c r="E1569" s="99">
        <v>0.01</v>
      </c>
      <c r="F1569" s="1" t="s">
        <v>55</v>
      </c>
      <c r="G1569" s="21">
        <f>SUM(I1569:AE1569)</f>
        <v>5.5685362769934441</v>
      </c>
      <c r="H1569" s="52"/>
      <c r="I1569" s="41">
        <f>SUMIF('Quarterly Plant Model'!$I$2:$V$2,'Plant model'!I$2,'Quarterly Plant Model'!$I1569:$V1569)</f>
        <v>3.2466004862175804</v>
      </c>
      <c r="J1569" s="41">
        <f>SUMIF('Quarterly Plant Model'!$I$2:$V$2,'Plant model'!J$2,'Quarterly Plant Model'!$I1569:$V1569)</f>
        <v>2.0445363821433498</v>
      </c>
      <c r="K1569" s="41">
        <f>SUMIF('Quarterly Plant Model'!$I$2:$V$2,'Plant model'!K$2,'Quarterly Plant Model'!$I1569:$V1569)</f>
        <v>0.27739940863251478</v>
      </c>
      <c r="L1569" s="41">
        <f>SUMIF('Quarterly Plant Model'!$I$2:$V$2,'Plant model'!L$2,'Quarterly Plant Model'!$I1569:$V1569)</f>
        <v>0</v>
      </c>
      <c r="M1569" s="21">
        <f t="shared" ref="M1569:AE1569" si="1068">$E$1569*AVERAGE(M1566,M1568)</f>
        <v>0</v>
      </c>
      <c r="N1569" s="21">
        <f t="shared" si="1068"/>
        <v>0</v>
      </c>
      <c r="O1569" s="21">
        <f t="shared" si="1068"/>
        <v>0</v>
      </c>
      <c r="P1569" s="21">
        <f t="shared" si="1068"/>
        <v>0</v>
      </c>
      <c r="Q1569" s="21">
        <f t="shared" si="1068"/>
        <v>0</v>
      </c>
      <c r="R1569" s="21">
        <f t="shared" si="1068"/>
        <v>0</v>
      </c>
      <c r="S1569" s="21">
        <f t="shared" si="1068"/>
        <v>0</v>
      </c>
      <c r="T1569" s="21">
        <f t="shared" si="1068"/>
        <v>0</v>
      </c>
      <c r="U1569" s="21">
        <f t="shared" si="1068"/>
        <v>0</v>
      </c>
      <c r="V1569" s="21">
        <f t="shared" si="1068"/>
        <v>0</v>
      </c>
      <c r="W1569" s="21">
        <f t="shared" si="1068"/>
        <v>0</v>
      </c>
      <c r="X1569" s="21">
        <f t="shared" si="1068"/>
        <v>0</v>
      </c>
      <c r="Y1569" s="21">
        <f t="shared" si="1068"/>
        <v>0</v>
      </c>
      <c r="Z1569" s="21">
        <f t="shared" si="1068"/>
        <v>0</v>
      </c>
      <c r="AA1569" s="21">
        <f t="shared" si="1068"/>
        <v>0</v>
      </c>
      <c r="AB1569" s="21">
        <f t="shared" si="1068"/>
        <v>0</v>
      </c>
      <c r="AC1569" s="21">
        <f t="shared" si="1068"/>
        <v>0</v>
      </c>
      <c r="AD1569" s="21">
        <f t="shared" si="1068"/>
        <v>0</v>
      </c>
      <c r="AE1569" s="21">
        <f t="shared" si="1068"/>
        <v>0</v>
      </c>
      <c r="AF1569" s="52"/>
      <c r="AG1569" s="21"/>
      <c r="AH1569" s="21"/>
      <c r="AI1569" s="21"/>
      <c r="AJ1569" s="21"/>
    </row>
    <row r="1571" spans="3:36" x14ac:dyDescent="0.2">
      <c r="C1571" s="1" t="s">
        <v>216</v>
      </c>
      <c r="I1571" s="21">
        <f>I1563+I1569</f>
        <v>9.8466004862175804</v>
      </c>
      <c r="J1571" s="21">
        <f t="shared" ref="J1571:AE1571" si="1069">J1563+J1569</f>
        <v>2.0445363821433498</v>
      </c>
      <c r="K1571" s="21">
        <f>K1563+K1569</f>
        <v>0.27739940863251478</v>
      </c>
      <c r="L1571" s="21">
        <f t="shared" si="1069"/>
        <v>0</v>
      </c>
      <c r="M1571" s="21">
        <f t="shared" si="1069"/>
        <v>0</v>
      </c>
      <c r="N1571" s="21">
        <f t="shared" si="1069"/>
        <v>0</v>
      </c>
      <c r="O1571" s="21">
        <f t="shared" si="1069"/>
        <v>0</v>
      </c>
      <c r="P1571" s="21">
        <f t="shared" si="1069"/>
        <v>0</v>
      </c>
      <c r="Q1571" s="21">
        <f t="shared" si="1069"/>
        <v>0</v>
      </c>
      <c r="R1571" s="21">
        <f t="shared" si="1069"/>
        <v>0</v>
      </c>
      <c r="S1571" s="21">
        <f t="shared" si="1069"/>
        <v>0</v>
      </c>
      <c r="T1571" s="21">
        <f t="shared" si="1069"/>
        <v>0</v>
      </c>
      <c r="U1571" s="21">
        <f t="shared" si="1069"/>
        <v>0</v>
      </c>
      <c r="V1571" s="21">
        <f t="shared" si="1069"/>
        <v>0</v>
      </c>
      <c r="W1571" s="21">
        <f t="shared" si="1069"/>
        <v>0</v>
      </c>
      <c r="X1571" s="21">
        <f t="shared" si="1069"/>
        <v>0</v>
      </c>
      <c r="Y1571" s="21">
        <f t="shared" si="1069"/>
        <v>0</v>
      </c>
      <c r="Z1571" s="21">
        <f t="shared" si="1069"/>
        <v>0</v>
      </c>
      <c r="AA1571" s="21">
        <f t="shared" si="1069"/>
        <v>0</v>
      </c>
      <c r="AB1571" s="21">
        <f t="shared" si="1069"/>
        <v>0</v>
      </c>
      <c r="AC1571" s="21">
        <f t="shared" si="1069"/>
        <v>0</v>
      </c>
      <c r="AD1571" s="21">
        <f t="shared" si="1069"/>
        <v>0</v>
      </c>
      <c r="AE1571" s="21">
        <f t="shared" si="1069"/>
        <v>0</v>
      </c>
      <c r="AF1571" s="52"/>
      <c r="AG1571" s="21"/>
      <c r="AH1571" s="21"/>
      <c r="AI1571" s="21"/>
      <c r="AJ1571" s="21"/>
    </row>
    <row r="1573" spans="3:36" x14ac:dyDescent="0.2">
      <c r="C1573" s="9" t="s">
        <v>217</v>
      </c>
      <c r="D1573" s="9"/>
      <c r="E1573" s="375">
        <f>IRR(I1573:AE1573)</f>
        <v>-2.8945819096719561E-3</v>
      </c>
      <c r="I1573" s="44">
        <f>-I1556-I1557+I1560+I1571</f>
        <v>-23.153399513782418</v>
      </c>
      <c r="J1573" s="44">
        <f t="shared" ref="J1573:AE1573" si="1070">-J1556-J1557+J1560+J1571</f>
        <v>-187.70546361785665</v>
      </c>
      <c r="K1573" s="44">
        <f>-K1556-K1557+K1560+K1571</f>
        <v>-89.604179538735906</v>
      </c>
      <c r="L1573" s="44">
        <f>-L1556-L1557+L1560+L1571</f>
        <v>17.368421052631579</v>
      </c>
      <c r="M1573" s="44">
        <f>-M1556-M1557+M1560+M1571</f>
        <v>34.736842105263158</v>
      </c>
      <c r="N1573" s="44">
        <f>-N1556-N1557+N1560+N1571</f>
        <v>34.736842105263158</v>
      </c>
      <c r="O1573" s="44">
        <f t="shared" si="1070"/>
        <v>34.736842105263158</v>
      </c>
      <c r="P1573" s="44">
        <f t="shared" si="1070"/>
        <v>34.736842105263158</v>
      </c>
      <c r="Q1573" s="44">
        <f t="shared" si="1070"/>
        <v>34.736842105263158</v>
      </c>
      <c r="R1573" s="44">
        <f t="shared" si="1070"/>
        <v>34.736842105263158</v>
      </c>
      <c r="S1573" s="44">
        <f t="shared" si="1070"/>
        <v>34.736842105263158</v>
      </c>
      <c r="T1573" s="44">
        <f t="shared" si="1070"/>
        <v>34.736842105263158</v>
      </c>
      <c r="U1573" s="44">
        <f t="shared" si="1070"/>
        <v>0</v>
      </c>
      <c r="V1573" s="44">
        <f t="shared" si="1070"/>
        <v>0</v>
      </c>
      <c r="W1573" s="44">
        <f t="shared" si="1070"/>
        <v>0</v>
      </c>
      <c r="X1573" s="44">
        <f t="shared" si="1070"/>
        <v>0</v>
      </c>
      <c r="Y1573" s="44">
        <f t="shared" si="1070"/>
        <v>0</v>
      </c>
      <c r="Z1573" s="44">
        <f t="shared" si="1070"/>
        <v>0</v>
      </c>
      <c r="AA1573" s="44">
        <f t="shared" si="1070"/>
        <v>0</v>
      </c>
      <c r="AB1573" s="44">
        <f t="shared" si="1070"/>
        <v>0</v>
      </c>
      <c r="AC1573" s="44">
        <f t="shared" si="1070"/>
        <v>0</v>
      </c>
      <c r="AD1573" s="44">
        <f t="shared" si="1070"/>
        <v>0</v>
      </c>
      <c r="AE1573" s="44">
        <f t="shared" si="1070"/>
        <v>0</v>
      </c>
      <c r="AF1573" s="53"/>
      <c r="AG1573" s="44"/>
      <c r="AH1573" s="44"/>
      <c r="AI1573" s="44"/>
      <c r="AJ1573" s="44"/>
    </row>
    <row r="1575" spans="3:36" x14ac:dyDescent="0.2">
      <c r="C1575" s="9" t="s">
        <v>218</v>
      </c>
    </row>
    <row r="1576" spans="3:36" x14ac:dyDescent="0.2">
      <c r="C1576" s="1" t="s">
        <v>219</v>
      </c>
      <c r="I1576" s="106">
        <v>0</v>
      </c>
      <c r="J1576" s="21">
        <f>I1579</f>
        <v>9.8466004862175804</v>
      </c>
      <c r="K1576" s="21">
        <f t="shared" ref="K1576:AE1576" si="1071">J1579</f>
        <v>11.891136868360931</v>
      </c>
      <c r="L1576" s="21">
        <f t="shared" si="1071"/>
        <v>10.647469242369265</v>
      </c>
      <c r="M1576" s="21">
        <f t="shared" si="1071"/>
        <v>9.1264022077450839</v>
      </c>
      <c r="N1576" s="21">
        <f t="shared" si="1071"/>
        <v>7.6053351731209027</v>
      </c>
      <c r="O1576" s="21">
        <f t="shared" si="1071"/>
        <v>6.0842681384967214</v>
      </c>
      <c r="P1576" s="21">
        <f t="shared" si="1071"/>
        <v>4.5632011038725402</v>
      </c>
      <c r="Q1576" s="21">
        <f t="shared" si="1071"/>
        <v>3.0421340692483594</v>
      </c>
      <c r="R1576" s="21">
        <f t="shared" si="1071"/>
        <v>1.5210670346241786</v>
      </c>
      <c r="S1576" s="21">
        <f t="shared" si="1071"/>
        <v>-2.2204460492503131E-15</v>
      </c>
      <c r="T1576" s="21">
        <f t="shared" si="1071"/>
        <v>-2.2204460492503131E-15</v>
      </c>
      <c r="U1576" s="21">
        <f t="shared" si="1071"/>
        <v>-2.2204460492503131E-15</v>
      </c>
      <c r="V1576" s="21">
        <f t="shared" si="1071"/>
        <v>-2.2204460492503131E-15</v>
      </c>
      <c r="W1576" s="21">
        <f t="shared" si="1071"/>
        <v>-2.2204460492503131E-15</v>
      </c>
      <c r="X1576" s="21">
        <f t="shared" si="1071"/>
        <v>-2.2204460492503131E-15</v>
      </c>
      <c r="Y1576" s="21">
        <f t="shared" si="1071"/>
        <v>-2.2204460492503131E-15</v>
      </c>
      <c r="Z1576" s="21">
        <f t="shared" si="1071"/>
        <v>-2.2204460492503131E-15</v>
      </c>
      <c r="AA1576" s="21">
        <f t="shared" si="1071"/>
        <v>-2.2204460492503131E-15</v>
      </c>
      <c r="AB1576" s="21">
        <f t="shared" si="1071"/>
        <v>-2.2204460492503131E-15</v>
      </c>
      <c r="AC1576" s="21">
        <f t="shared" si="1071"/>
        <v>-2.2204460492503131E-15</v>
      </c>
      <c r="AD1576" s="21">
        <f t="shared" si="1071"/>
        <v>-2.2204460492503131E-15</v>
      </c>
      <c r="AE1576" s="21">
        <f t="shared" si="1071"/>
        <v>-2.2204460492503131E-15</v>
      </c>
      <c r="AF1576" s="52"/>
      <c r="AG1576" s="21"/>
      <c r="AH1576" s="21"/>
      <c r="AI1576" s="21"/>
      <c r="AJ1576" s="21"/>
    </row>
    <row r="1577" spans="3:36" x14ac:dyDescent="0.2">
      <c r="C1577" s="1" t="s">
        <v>126</v>
      </c>
      <c r="G1577" s="21">
        <f>SUM(I1577:AE1577)</f>
        <v>12.168536276993446</v>
      </c>
      <c r="I1577" s="21">
        <f t="shared" ref="I1577:AE1577" si="1072">I1563+I1569</f>
        <v>9.8466004862175804</v>
      </c>
      <c r="J1577" s="21">
        <f t="shared" si="1072"/>
        <v>2.0445363821433498</v>
      </c>
      <c r="K1577" s="21">
        <f>K1563+K1569</f>
        <v>0.27739940863251478</v>
      </c>
      <c r="L1577" s="21">
        <f t="shared" si="1072"/>
        <v>0</v>
      </c>
      <c r="M1577" s="21">
        <f t="shared" si="1072"/>
        <v>0</v>
      </c>
      <c r="N1577" s="21">
        <f t="shared" si="1072"/>
        <v>0</v>
      </c>
      <c r="O1577" s="21">
        <f t="shared" si="1072"/>
        <v>0</v>
      </c>
      <c r="P1577" s="21">
        <f t="shared" si="1072"/>
        <v>0</v>
      </c>
      <c r="Q1577" s="21">
        <f t="shared" si="1072"/>
        <v>0</v>
      </c>
      <c r="R1577" s="21">
        <f t="shared" si="1072"/>
        <v>0</v>
      </c>
      <c r="S1577" s="21">
        <f t="shared" si="1072"/>
        <v>0</v>
      </c>
      <c r="T1577" s="21">
        <f t="shared" si="1072"/>
        <v>0</v>
      </c>
      <c r="U1577" s="21">
        <f t="shared" si="1072"/>
        <v>0</v>
      </c>
      <c r="V1577" s="21">
        <f t="shared" si="1072"/>
        <v>0</v>
      </c>
      <c r="W1577" s="21">
        <f t="shared" si="1072"/>
        <v>0</v>
      </c>
      <c r="X1577" s="21">
        <f t="shared" si="1072"/>
        <v>0</v>
      </c>
      <c r="Y1577" s="21">
        <f t="shared" si="1072"/>
        <v>0</v>
      </c>
      <c r="Z1577" s="21">
        <f t="shared" si="1072"/>
        <v>0</v>
      </c>
      <c r="AA1577" s="21">
        <f t="shared" si="1072"/>
        <v>0</v>
      </c>
      <c r="AB1577" s="21">
        <f t="shared" si="1072"/>
        <v>0</v>
      </c>
      <c r="AC1577" s="21">
        <f t="shared" si="1072"/>
        <v>0</v>
      </c>
      <c r="AD1577" s="21">
        <f t="shared" si="1072"/>
        <v>0</v>
      </c>
      <c r="AE1577" s="21">
        <f t="shared" si="1072"/>
        <v>0</v>
      </c>
      <c r="AF1577" s="52"/>
      <c r="AG1577" s="21"/>
      <c r="AH1577" s="21"/>
      <c r="AI1577" s="21"/>
      <c r="AJ1577" s="21"/>
    </row>
    <row r="1578" spans="3:36" x14ac:dyDescent="0.2">
      <c r="C1578" s="1" t="s">
        <v>220</v>
      </c>
      <c r="I1578" s="21">
        <f>-I1610</f>
        <v>0</v>
      </c>
      <c r="J1578" s="21">
        <f t="shared" ref="J1578:AE1578" si="1073">-J1610</f>
        <v>0</v>
      </c>
      <c r="K1578" s="21">
        <f>-K1610</f>
        <v>-1.5210670346241808</v>
      </c>
      <c r="L1578" s="21">
        <f t="shared" si="1073"/>
        <v>-1.5210670346241808</v>
      </c>
      <c r="M1578" s="21">
        <f t="shared" si="1073"/>
        <v>-1.5210670346241808</v>
      </c>
      <c r="N1578" s="21">
        <f t="shared" si="1073"/>
        <v>-1.5210670346241808</v>
      </c>
      <c r="O1578" s="21">
        <f t="shared" si="1073"/>
        <v>-1.5210670346241808</v>
      </c>
      <c r="P1578" s="21">
        <f t="shared" si="1073"/>
        <v>-1.5210670346241808</v>
      </c>
      <c r="Q1578" s="21">
        <f t="shared" si="1073"/>
        <v>-1.5210670346241808</v>
      </c>
      <c r="R1578" s="21">
        <f t="shared" si="1073"/>
        <v>-1.5210670346241808</v>
      </c>
      <c r="S1578" s="21">
        <f t="shared" si="1073"/>
        <v>0</v>
      </c>
      <c r="T1578" s="21">
        <f t="shared" si="1073"/>
        <v>0</v>
      </c>
      <c r="U1578" s="21">
        <f t="shared" si="1073"/>
        <v>0</v>
      </c>
      <c r="V1578" s="21">
        <f t="shared" si="1073"/>
        <v>0</v>
      </c>
      <c r="W1578" s="21">
        <f t="shared" si="1073"/>
        <v>0</v>
      </c>
      <c r="X1578" s="21">
        <f t="shared" si="1073"/>
        <v>0</v>
      </c>
      <c r="Y1578" s="21">
        <f t="shared" si="1073"/>
        <v>0</v>
      </c>
      <c r="Z1578" s="21">
        <f t="shared" si="1073"/>
        <v>0</v>
      </c>
      <c r="AA1578" s="21">
        <f t="shared" si="1073"/>
        <v>0</v>
      </c>
      <c r="AB1578" s="21">
        <f t="shared" si="1073"/>
        <v>0</v>
      </c>
      <c r="AC1578" s="21">
        <f t="shared" si="1073"/>
        <v>0</v>
      </c>
      <c r="AD1578" s="21">
        <f t="shared" si="1073"/>
        <v>0</v>
      </c>
      <c r="AE1578" s="21">
        <f t="shared" si="1073"/>
        <v>0</v>
      </c>
      <c r="AF1578" s="52"/>
      <c r="AG1578" s="21"/>
      <c r="AH1578" s="21"/>
      <c r="AI1578" s="21"/>
      <c r="AJ1578" s="21"/>
    </row>
    <row r="1579" spans="3:36" x14ac:dyDescent="0.2">
      <c r="C1579" s="1" t="s">
        <v>127</v>
      </c>
      <c r="D1579" s="34"/>
      <c r="I1579" s="21">
        <f>SUM(I1576:I1578)</f>
        <v>9.8466004862175804</v>
      </c>
      <c r="J1579" s="21">
        <f t="shared" ref="J1579:AE1579" si="1074">SUM(J1576:J1578)</f>
        <v>11.891136868360931</v>
      </c>
      <c r="K1579" s="21">
        <f>SUM(K1576:K1578)</f>
        <v>10.647469242369265</v>
      </c>
      <c r="L1579" s="21">
        <f t="shared" si="1074"/>
        <v>9.1264022077450839</v>
      </c>
      <c r="M1579" s="21">
        <f t="shared" si="1074"/>
        <v>7.6053351731209027</v>
      </c>
      <c r="N1579" s="21">
        <f t="shared" si="1074"/>
        <v>6.0842681384967214</v>
      </c>
      <c r="O1579" s="21">
        <f t="shared" si="1074"/>
        <v>4.5632011038725402</v>
      </c>
      <c r="P1579" s="21">
        <f t="shared" si="1074"/>
        <v>3.0421340692483594</v>
      </c>
      <c r="Q1579" s="21">
        <f t="shared" si="1074"/>
        <v>1.5210670346241786</v>
      </c>
      <c r="R1579" s="21">
        <f t="shared" si="1074"/>
        <v>-2.2204460492503131E-15</v>
      </c>
      <c r="S1579" s="21">
        <f t="shared" si="1074"/>
        <v>-2.2204460492503131E-15</v>
      </c>
      <c r="T1579" s="21">
        <f t="shared" si="1074"/>
        <v>-2.2204460492503131E-15</v>
      </c>
      <c r="U1579" s="21">
        <f t="shared" si="1074"/>
        <v>-2.2204460492503131E-15</v>
      </c>
      <c r="V1579" s="21">
        <f t="shared" si="1074"/>
        <v>-2.2204460492503131E-15</v>
      </c>
      <c r="W1579" s="21">
        <f t="shared" si="1074"/>
        <v>-2.2204460492503131E-15</v>
      </c>
      <c r="X1579" s="21">
        <f t="shared" si="1074"/>
        <v>-2.2204460492503131E-15</v>
      </c>
      <c r="Y1579" s="21">
        <f t="shared" si="1074"/>
        <v>-2.2204460492503131E-15</v>
      </c>
      <c r="Z1579" s="21">
        <f t="shared" si="1074"/>
        <v>-2.2204460492503131E-15</v>
      </c>
      <c r="AA1579" s="21">
        <f t="shared" si="1074"/>
        <v>-2.2204460492503131E-15</v>
      </c>
      <c r="AB1579" s="21">
        <f t="shared" si="1074"/>
        <v>-2.2204460492503131E-15</v>
      </c>
      <c r="AC1579" s="21">
        <f t="shared" si="1074"/>
        <v>-2.2204460492503131E-15</v>
      </c>
      <c r="AD1579" s="21">
        <f t="shared" si="1074"/>
        <v>-2.2204460492503131E-15</v>
      </c>
      <c r="AE1579" s="21">
        <f t="shared" si="1074"/>
        <v>-2.2204460492503131E-15</v>
      </c>
      <c r="AF1579" s="52"/>
      <c r="AG1579" s="21"/>
      <c r="AH1579" s="21"/>
      <c r="AI1579" s="21"/>
      <c r="AJ1579" s="21"/>
    </row>
    <row r="1580" spans="3:36" x14ac:dyDescent="0.2">
      <c r="I1580" s="21"/>
      <c r="J1580" s="21"/>
      <c r="K1580" s="21"/>
      <c r="L1580" s="21"/>
      <c r="M1580" s="21"/>
      <c r="N1580" s="21"/>
      <c r="O1580" s="21"/>
      <c r="P1580" s="21"/>
      <c r="Q1580" s="21"/>
      <c r="R1580" s="21"/>
      <c r="S1580" s="21"/>
      <c r="T1580" s="21"/>
      <c r="U1580" s="21"/>
      <c r="V1580" s="21"/>
      <c r="W1580" s="21"/>
      <c r="X1580" s="21"/>
      <c r="Y1580" s="21"/>
      <c r="Z1580" s="21"/>
      <c r="AA1580" s="21"/>
      <c r="AB1580" s="21"/>
      <c r="AC1580" s="21"/>
      <c r="AD1580" s="21"/>
      <c r="AE1580" s="21"/>
      <c r="AF1580" s="52"/>
      <c r="AG1580" s="21"/>
      <c r="AH1580" s="21"/>
      <c r="AI1580" s="21"/>
      <c r="AJ1580" s="21"/>
    </row>
    <row r="1581" spans="3:36" x14ac:dyDescent="0.2">
      <c r="C1581" s="1" t="s">
        <v>377</v>
      </c>
      <c r="G1581" s="21">
        <f>SUM(I1581:AE1581)</f>
        <v>20</v>
      </c>
      <c r="I1581" s="21">
        <f>(SUM($I$1528:I1528)&gt;1)*1</f>
        <v>0</v>
      </c>
      <c r="J1581" s="21">
        <f>(SUM($I$1528:J1528)&gt;1)*1</f>
        <v>0</v>
      </c>
      <c r="K1581" s="21">
        <f>(SUM($I$1528:K1528)&gt;1)*1</f>
        <v>0</v>
      </c>
      <c r="L1581" s="21">
        <f>(SUM($I$1528:L1528)&gt;1)*1</f>
        <v>1</v>
      </c>
      <c r="M1581" s="21">
        <f>(SUM($I$1528:M1528)&gt;1)*1</f>
        <v>1</v>
      </c>
      <c r="N1581" s="21">
        <f>(SUM($I$1528:N1528)&gt;1)*1</f>
        <v>1</v>
      </c>
      <c r="O1581" s="21">
        <f>(SUM($I$1528:O1528)&gt;1)*1</f>
        <v>1</v>
      </c>
      <c r="P1581" s="21">
        <f>(SUM($I$1528:P1528)&gt;1)*1</f>
        <v>1</v>
      </c>
      <c r="Q1581" s="21">
        <f>(SUM($I$1528:Q1528)&gt;1)*1</f>
        <v>1</v>
      </c>
      <c r="R1581" s="21">
        <f>(SUM($I$1528:R1528)&gt;1)*1</f>
        <v>1</v>
      </c>
      <c r="S1581" s="21">
        <f>(SUM($I$1528:S1528)&gt;1)*1</f>
        <v>1</v>
      </c>
      <c r="T1581" s="21">
        <f>(SUM($I$1528:T1528)&gt;1)*1</f>
        <v>1</v>
      </c>
      <c r="U1581" s="21">
        <f>(SUM($I$1528:U1528)&gt;1)*1</f>
        <v>1</v>
      </c>
      <c r="V1581" s="21">
        <f>(SUM($I$1528:V1528)&gt;1)*1</f>
        <v>1</v>
      </c>
      <c r="W1581" s="21">
        <f>(SUM($I$1528:W1528)&gt;1)*1</f>
        <v>1</v>
      </c>
      <c r="X1581" s="21">
        <f>(SUM($I$1528:X1528)&gt;1)*1</f>
        <v>1</v>
      </c>
      <c r="Y1581" s="21">
        <f>(SUM($I$1528:Y1528)&gt;1)*1</f>
        <v>1</v>
      </c>
      <c r="Z1581" s="21">
        <f>(SUM($I$1528:Z1528)&gt;1)*1</f>
        <v>1</v>
      </c>
      <c r="AA1581" s="21">
        <f>(SUM($I$1528:AA1528)&gt;1)*1</f>
        <v>1</v>
      </c>
      <c r="AB1581" s="21">
        <f>(SUM($I$1528:AB1528)&gt;1)*1</f>
        <v>1</v>
      </c>
      <c r="AC1581" s="21">
        <f>(SUM($I$1528:AC1528)&gt;1)*1</f>
        <v>1</v>
      </c>
      <c r="AD1581" s="21">
        <f>(SUM($I$1528:AD1528)&gt;1)*1</f>
        <v>1</v>
      </c>
      <c r="AE1581" s="21">
        <f>(SUM($I$1528:AE1528)&gt;1)*1</f>
        <v>1</v>
      </c>
      <c r="AF1581" s="52"/>
      <c r="AG1581" s="21"/>
      <c r="AH1581" s="21"/>
      <c r="AI1581" s="21"/>
      <c r="AJ1581" s="21"/>
    </row>
    <row r="1582" spans="3:36" x14ac:dyDescent="0.2">
      <c r="C1582" s="1" t="s">
        <v>378</v>
      </c>
      <c r="E1582" s="98">
        <v>8</v>
      </c>
      <c r="F1582" s="1" t="s">
        <v>192</v>
      </c>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52"/>
      <c r="AG1582" s="21"/>
      <c r="AH1582" s="21"/>
      <c r="AI1582" s="21"/>
      <c r="AJ1582" s="21"/>
    </row>
    <row r="1583" spans="3:36" x14ac:dyDescent="0.2">
      <c r="C1583" s="1" t="s">
        <v>221</v>
      </c>
      <c r="E1583" s="85">
        <f>SMALL(C1587:C1609,COUNT($C$1587:$C$1609)-$G$1581)</f>
        <v>0</v>
      </c>
      <c r="F1583" s="1" t="s">
        <v>192</v>
      </c>
      <c r="I1583" s="21"/>
      <c r="J1583" s="21"/>
      <c r="K1583" s="21"/>
      <c r="L1583" s="21"/>
      <c r="M1583" s="21"/>
      <c r="N1583" s="21"/>
      <c r="O1583" s="21"/>
      <c r="P1583" s="21"/>
      <c r="Q1583" s="21"/>
      <c r="R1583" s="21"/>
      <c r="S1583" s="21"/>
      <c r="T1583" s="21"/>
      <c r="U1583" s="21"/>
      <c r="V1583" s="21"/>
      <c r="W1583" s="21"/>
      <c r="X1583" s="21"/>
      <c r="Y1583" s="21"/>
      <c r="Z1583" s="21"/>
      <c r="AA1583" s="21"/>
      <c r="AB1583" s="21"/>
      <c r="AC1583" s="21"/>
      <c r="AD1583" s="21"/>
      <c r="AE1583" s="21"/>
      <c r="AF1583" s="52"/>
      <c r="AG1583" s="21"/>
      <c r="AH1583" s="21"/>
      <c r="AI1583" s="21"/>
      <c r="AJ1583" s="21"/>
    </row>
    <row r="1584" spans="3:36" x14ac:dyDescent="0.2">
      <c r="I1584" s="21"/>
      <c r="J1584" s="21"/>
      <c r="K1584" s="21"/>
      <c r="L1584" s="21"/>
      <c r="M1584" s="21"/>
      <c r="N1584" s="21"/>
      <c r="O1584" s="21"/>
      <c r="P1584" s="21"/>
      <c r="Q1584" s="21"/>
      <c r="R1584" s="21"/>
      <c r="S1584" s="21"/>
      <c r="T1584" s="21"/>
      <c r="U1584" s="21"/>
      <c r="V1584" s="21"/>
      <c r="W1584" s="21"/>
      <c r="X1584" s="21"/>
      <c r="Y1584" s="21"/>
      <c r="Z1584" s="21"/>
      <c r="AA1584" s="21"/>
      <c r="AB1584" s="21"/>
      <c r="AC1584" s="21"/>
      <c r="AD1584" s="21"/>
      <c r="AE1584" s="21"/>
      <c r="AF1584" s="52"/>
      <c r="AG1584" s="21"/>
      <c r="AH1584" s="21"/>
      <c r="AI1584" s="21"/>
      <c r="AJ1584" s="21"/>
    </row>
    <row r="1585" spans="3:36" x14ac:dyDescent="0.2">
      <c r="C1585" s="86" t="s">
        <v>123</v>
      </c>
      <c r="E1585" s="63" t="s">
        <v>222</v>
      </c>
      <c r="F1585" s="63" t="s">
        <v>223</v>
      </c>
      <c r="G1585" s="86" t="s">
        <v>224</v>
      </c>
      <c r="I1585" s="21">
        <v>1</v>
      </c>
      <c r="J1585" s="21">
        <f>I1585+1</f>
        <v>2</v>
      </c>
      <c r="K1585" s="21">
        <f>J1585+1</f>
        <v>3</v>
      </c>
      <c r="L1585" s="21">
        <f t="shared" ref="L1585:AE1585" si="1075">K1585+1</f>
        <v>4</v>
      </c>
      <c r="M1585" s="21">
        <f t="shared" si="1075"/>
        <v>5</v>
      </c>
      <c r="N1585" s="21">
        <f t="shared" si="1075"/>
        <v>6</v>
      </c>
      <c r="O1585" s="21">
        <f t="shared" si="1075"/>
        <v>7</v>
      </c>
      <c r="P1585" s="21">
        <f t="shared" si="1075"/>
        <v>8</v>
      </c>
      <c r="Q1585" s="21">
        <f t="shared" si="1075"/>
        <v>9</v>
      </c>
      <c r="R1585" s="21">
        <f t="shared" si="1075"/>
        <v>10</v>
      </c>
      <c r="S1585" s="21">
        <f t="shared" si="1075"/>
        <v>11</v>
      </c>
      <c r="T1585" s="21">
        <f t="shared" si="1075"/>
        <v>12</v>
      </c>
      <c r="U1585" s="21">
        <f t="shared" si="1075"/>
        <v>13</v>
      </c>
      <c r="V1585" s="21">
        <f t="shared" si="1075"/>
        <v>14</v>
      </c>
      <c r="W1585" s="21">
        <f t="shared" si="1075"/>
        <v>15</v>
      </c>
      <c r="X1585" s="21">
        <f t="shared" si="1075"/>
        <v>16</v>
      </c>
      <c r="Y1585" s="21">
        <f t="shared" si="1075"/>
        <v>17</v>
      </c>
      <c r="Z1585" s="21">
        <f t="shared" si="1075"/>
        <v>18</v>
      </c>
      <c r="AA1585" s="21">
        <f t="shared" si="1075"/>
        <v>19</v>
      </c>
      <c r="AB1585" s="21">
        <f t="shared" si="1075"/>
        <v>20</v>
      </c>
      <c r="AC1585" s="21">
        <f t="shared" si="1075"/>
        <v>21</v>
      </c>
      <c r="AD1585" s="21">
        <f t="shared" si="1075"/>
        <v>22</v>
      </c>
      <c r="AE1585" s="21">
        <f t="shared" si="1075"/>
        <v>23</v>
      </c>
      <c r="AF1585" s="52"/>
      <c r="AG1585" s="21"/>
      <c r="AH1585" s="21"/>
      <c r="AI1585" s="21"/>
      <c r="AJ1585" s="21"/>
    </row>
    <row r="1587" spans="3:36" x14ac:dyDescent="0.2">
      <c r="C1587" s="60">
        <f t="array" ref="C1587:C1609">TRANSPOSE(I2:AE2)</f>
        <v>-2</v>
      </c>
      <c r="E1587" s="21">
        <f t="array" ref="E1587:E1609">TRANSPOSE(I1571:AE1571)</f>
        <v>9.8466004862175804</v>
      </c>
      <c r="F1587" s="21">
        <f>(C1587=$E$1583)*SUM($E$1587:E1587)+(C1587&gt;$E$1583)*E1587</f>
        <v>0</v>
      </c>
      <c r="G1587" s="1">
        <v>1</v>
      </c>
      <c r="I1587" s="21">
        <f t="shared" ref="I1587:I1603" si="1076">AND(I$1585&gt;=$G1587,I$1585&lt;$G1587+$E$1582)*($F1587/$E$1582)</f>
        <v>0</v>
      </c>
      <c r="J1587" s="21">
        <f t="shared" ref="J1587:Z1602" si="1077">AND(J$1585&gt;=$G1587,J$1585&lt;$G1587+$E$1582)*($F1587/$E$1582)</f>
        <v>0</v>
      </c>
      <c r="K1587" s="21">
        <f t="shared" ref="K1587:K1602" si="1078">AND(K$1585&gt;=$G1587,K$1585&lt;$G1587+$E$1582)*($F1587/$E$1582)</f>
        <v>0</v>
      </c>
      <c r="L1587" s="21">
        <f t="shared" si="1077"/>
        <v>0</v>
      </c>
      <c r="M1587" s="21">
        <f t="shared" si="1077"/>
        <v>0</v>
      </c>
      <c r="N1587" s="21">
        <f t="shared" si="1077"/>
        <v>0</v>
      </c>
      <c r="O1587" s="21">
        <f t="shared" si="1077"/>
        <v>0</v>
      </c>
      <c r="P1587" s="21">
        <f t="shared" si="1077"/>
        <v>0</v>
      </c>
      <c r="Q1587" s="21">
        <f t="shared" si="1077"/>
        <v>0</v>
      </c>
      <c r="R1587" s="21">
        <f t="shared" si="1077"/>
        <v>0</v>
      </c>
      <c r="S1587" s="21">
        <f t="shared" si="1077"/>
        <v>0</v>
      </c>
      <c r="T1587" s="21">
        <f t="shared" si="1077"/>
        <v>0</v>
      </c>
      <c r="U1587" s="21">
        <f t="shared" si="1077"/>
        <v>0</v>
      </c>
      <c r="V1587" s="21">
        <f t="shared" si="1077"/>
        <v>0</v>
      </c>
      <c r="W1587" s="21">
        <f t="shared" si="1077"/>
        <v>0</v>
      </c>
      <c r="X1587" s="21">
        <f t="shared" si="1077"/>
        <v>0</v>
      </c>
      <c r="Y1587" s="21">
        <f t="shared" si="1077"/>
        <v>0</v>
      </c>
      <c r="Z1587" s="21">
        <f t="shared" si="1077"/>
        <v>0</v>
      </c>
      <c r="AA1587" s="21">
        <f t="shared" ref="AA1587:AE1602" si="1079">AND(AA$1585&gt;=$G1587,AA$1585&lt;$G1587+$E$1582)*($F1587/$E$1582)</f>
        <v>0</v>
      </c>
      <c r="AB1587" s="21">
        <f t="shared" si="1079"/>
        <v>0</v>
      </c>
      <c r="AC1587" s="21">
        <f t="shared" si="1079"/>
        <v>0</v>
      </c>
      <c r="AD1587" s="21">
        <f t="shared" si="1079"/>
        <v>0</v>
      </c>
      <c r="AE1587" s="21">
        <f t="shared" si="1079"/>
        <v>0</v>
      </c>
      <c r="AF1587" s="52"/>
      <c r="AG1587" s="21"/>
      <c r="AH1587" s="21"/>
      <c r="AI1587" s="21"/>
      <c r="AJ1587" s="21"/>
    </row>
    <row r="1588" spans="3:36" x14ac:dyDescent="0.2">
      <c r="C1588" s="60">
        <v>-1</v>
      </c>
      <c r="E1588" s="21">
        <v>2.0445363821433498</v>
      </c>
      <c r="F1588" s="21">
        <f>(C1588=$E$1583)*SUM($E$1587:E1588)+(C1588&gt;$E$1583)*E1588</f>
        <v>0</v>
      </c>
      <c r="G1588" s="1">
        <f>G1587+1</f>
        <v>2</v>
      </c>
      <c r="I1588" s="21">
        <f t="shared" si="1076"/>
        <v>0</v>
      </c>
      <c r="J1588" s="21">
        <f t="shared" si="1077"/>
        <v>0</v>
      </c>
      <c r="K1588" s="21">
        <f t="shared" si="1078"/>
        <v>0</v>
      </c>
      <c r="L1588" s="21">
        <f t="shared" si="1077"/>
        <v>0</v>
      </c>
      <c r="M1588" s="21">
        <f t="shared" si="1077"/>
        <v>0</v>
      </c>
      <c r="N1588" s="21">
        <f t="shared" si="1077"/>
        <v>0</v>
      </c>
      <c r="O1588" s="21">
        <f t="shared" si="1077"/>
        <v>0</v>
      </c>
      <c r="P1588" s="21">
        <f t="shared" si="1077"/>
        <v>0</v>
      </c>
      <c r="Q1588" s="21">
        <f t="shared" si="1077"/>
        <v>0</v>
      </c>
      <c r="R1588" s="21">
        <f t="shared" si="1077"/>
        <v>0</v>
      </c>
      <c r="S1588" s="21">
        <f t="shared" si="1077"/>
        <v>0</v>
      </c>
      <c r="T1588" s="21">
        <f t="shared" si="1077"/>
        <v>0</v>
      </c>
      <c r="U1588" s="21">
        <f t="shared" si="1077"/>
        <v>0</v>
      </c>
      <c r="V1588" s="21">
        <f t="shared" si="1077"/>
        <v>0</v>
      </c>
      <c r="W1588" s="21">
        <f t="shared" si="1077"/>
        <v>0</v>
      </c>
      <c r="X1588" s="21">
        <f t="shared" si="1077"/>
        <v>0</v>
      </c>
      <c r="Y1588" s="21">
        <f t="shared" si="1077"/>
        <v>0</v>
      </c>
      <c r="Z1588" s="21">
        <f t="shared" si="1077"/>
        <v>0</v>
      </c>
      <c r="AA1588" s="21">
        <f t="shared" si="1079"/>
        <v>0</v>
      </c>
      <c r="AB1588" s="21">
        <f t="shared" si="1079"/>
        <v>0</v>
      </c>
      <c r="AC1588" s="21">
        <f t="shared" si="1079"/>
        <v>0</v>
      </c>
      <c r="AD1588" s="21">
        <f t="shared" si="1079"/>
        <v>0</v>
      </c>
      <c r="AE1588" s="21">
        <f t="shared" si="1079"/>
        <v>0</v>
      </c>
      <c r="AF1588" s="52"/>
      <c r="AG1588" s="21"/>
      <c r="AH1588" s="21"/>
      <c r="AI1588" s="21"/>
      <c r="AJ1588" s="21"/>
    </row>
    <row r="1589" spans="3:36" x14ac:dyDescent="0.2">
      <c r="C1589" s="60">
        <v>0</v>
      </c>
      <c r="E1589" s="21">
        <v>0.27739940863251478</v>
      </c>
      <c r="F1589" s="21">
        <f>(C1589=$E$1583)*SUM($E$1587:E1589)+(C1589&gt;$E$1583)*E1589</f>
        <v>12.168536276993446</v>
      </c>
      <c r="G1589" s="1">
        <f t="shared" ref="G1589:G1608" si="1080">G1588+1</f>
        <v>3</v>
      </c>
      <c r="I1589" s="21">
        <f t="shared" si="1076"/>
        <v>0</v>
      </c>
      <c r="J1589" s="21">
        <f t="shared" si="1077"/>
        <v>0</v>
      </c>
      <c r="K1589" s="21">
        <f t="shared" si="1078"/>
        <v>1.5210670346241808</v>
      </c>
      <c r="L1589" s="21">
        <f t="shared" si="1077"/>
        <v>1.5210670346241808</v>
      </c>
      <c r="M1589" s="21">
        <f t="shared" si="1077"/>
        <v>1.5210670346241808</v>
      </c>
      <c r="N1589" s="21">
        <f t="shared" si="1077"/>
        <v>1.5210670346241808</v>
      </c>
      <c r="O1589" s="21">
        <f t="shared" si="1077"/>
        <v>1.5210670346241808</v>
      </c>
      <c r="P1589" s="21">
        <f t="shared" si="1077"/>
        <v>1.5210670346241808</v>
      </c>
      <c r="Q1589" s="21">
        <f t="shared" si="1077"/>
        <v>1.5210670346241808</v>
      </c>
      <c r="R1589" s="21">
        <f t="shared" si="1077"/>
        <v>1.5210670346241808</v>
      </c>
      <c r="S1589" s="21">
        <f t="shared" si="1077"/>
        <v>0</v>
      </c>
      <c r="T1589" s="21">
        <f t="shared" si="1077"/>
        <v>0</v>
      </c>
      <c r="U1589" s="21">
        <f t="shared" si="1077"/>
        <v>0</v>
      </c>
      <c r="V1589" s="21">
        <f t="shared" si="1077"/>
        <v>0</v>
      </c>
      <c r="W1589" s="21">
        <f t="shared" si="1077"/>
        <v>0</v>
      </c>
      <c r="X1589" s="21">
        <f t="shared" si="1077"/>
        <v>0</v>
      </c>
      <c r="Y1589" s="21">
        <f t="shared" si="1077"/>
        <v>0</v>
      </c>
      <c r="Z1589" s="21">
        <f t="shared" si="1077"/>
        <v>0</v>
      </c>
      <c r="AA1589" s="21">
        <f t="shared" si="1079"/>
        <v>0</v>
      </c>
      <c r="AB1589" s="21">
        <f t="shared" si="1079"/>
        <v>0</v>
      </c>
      <c r="AC1589" s="21">
        <f t="shared" si="1079"/>
        <v>0</v>
      </c>
      <c r="AD1589" s="21">
        <f t="shared" si="1079"/>
        <v>0</v>
      </c>
      <c r="AE1589" s="21">
        <f t="shared" si="1079"/>
        <v>0</v>
      </c>
      <c r="AF1589" s="52"/>
      <c r="AG1589" s="21"/>
      <c r="AH1589" s="21"/>
      <c r="AI1589" s="21"/>
      <c r="AJ1589" s="21"/>
    </row>
    <row r="1590" spans="3:36" x14ac:dyDescent="0.2">
      <c r="C1590" s="60">
        <v>1</v>
      </c>
      <c r="E1590" s="21">
        <v>0</v>
      </c>
      <c r="F1590" s="21">
        <f>(C1590=$E$1583)*SUM($E$1587:E1590)+(C1590&gt;$E$1583)*E1590</f>
        <v>0</v>
      </c>
      <c r="G1590" s="1">
        <f t="shared" si="1080"/>
        <v>4</v>
      </c>
      <c r="I1590" s="21">
        <f t="shared" si="1076"/>
        <v>0</v>
      </c>
      <c r="J1590" s="21">
        <f t="shared" si="1077"/>
        <v>0</v>
      </c>
      <c r="K1590" s="21">
        <f t="shared" si="1078"/>
        <v>0</v>
      </c>
      <c r="L1590" s="21">
        <f t="shared" si="1077"/>
        <v>0</v>
      </c>
      <c r="M1590" s="21">
        <f t="shared" si="1077"/>
        <v>0</v>
      </c>
      <c r="N1590" s="21">
        <f t="shared" si="1077"/>
        <v>0</v>
      </c>
      <c r="O1590" s="21">
        <f t="shared" si="1077"/>
        <v>0</v>
      </c>
      <c r="P1590" s="21">
        <f t="shared" si="1077"/>
        <v>0</v>
      </c>
      <c r="Q1590" s="21">
        <f t="shared" si="1077"/>
        <v>0</v>
      </c>
      <c r="R1590" s="21">
        <f t="shared" si="1077"/>
        <v>0</v>
      </c>
      <c r="S1590" s="21">
        <f t="shared" si="1077"/>
        <v>0</v>
      </c>
      <c r="T1590" s="21">
        <f t="shared" si="1077"/>
        <v>0</v>
      </c>
      <c r="U1590" s="21">
        <f t="shared" si="1077"/>
        <v>0</v>
      </c>
      <c r="V1590" s="21">
        <f t="shared" si="1077"/>
        <v>0</v>
      </c>
      <c r="W1590" s="21">
        <f t="shared" si="1077"/>
        <v>0</v>
      </c>
      <c r="X1590" s="21">
        <f t="shared" si="1077"/>
        <v>0</v>
      </c>
      <c r="Y1590" s="21">
        <f t="shared" si="1077"/>
        <v>0</v>
      </c>
      <c r="Z1590" s="21">
        <f t="shared" si="1077"/>
        <v>0</v>
      </c>
      <c r="AA1590" s="21">
        <f t="shared" si="1079"/>
        <v>0</v>
      </c>
      <c r="AB1590" s="21">
        <f t="shared" si="1079"/>
        <v>0</v>
      </c>
      <c r="AC1590" s="21">
        <f t="shared" si="1079"/>
        <v>0</v>
      </c>
      <c r="AD1590" s="21">
        <f t="shared" si="1079"/>
        <v>0</v>
      </c>
      <c r="AE1590" s="21">
        <f t="shared" si="1079"/>
        <v>0</v>
      </c>
      <c r="AF1590" s="52"/>
      <c r="AG1590" s="21"/>
      <c r="AH1590" s="21"/>
      <c r="AI1590" s="21"/>
      <c r="AJ1590" s="21"/>
    </row>
    <row r="1591" spans="3:36" x14ac:dyDescent="0.2">
      <c r="C1591" s="60">
        <v>2</v>
      </c>
      <c r="E1591" s="21">
        <v>0</v>
      </c>
      <c r="F1591" s="21">
        <f>(C1591=$E$1583)*SUM($E$1587:E1591)+(C1591&gt;$E$1583)*E1591</f>
        <v>0</v>
      </c>
      <c r="G1591" s="1">
        <f t="shared" si="1080"/>
        <v>5</v>
      </c>
      <c r="I1591" s="21">
        <f t="shared" si="1076"/>
        <v>0</v>
      </c>
      <c r="J1591" s="21">
        <f t="shared" si="1077"/>
        <v>0</v>
      </c>
      <c r="K1591" s="21">
        <f t="shared" si="1078"/>
        <v>0</v>
      </c>
      <c r="L1591" s="21">
        <f t="shared" si="1077"/>
        <v>0</v>
      </c>
      <c r="M1591" s="21">
        <f t="shared" si="1077"/>
        <v>0</v>
      </c>
      <c r="N1591" s="21">
        <f t="shared" si="1077"/>
        <v>0</v>
      </c>
      <c r="O1591" s="21">
        <f t="shared" si="1077"/>
        <v>0</v>
      </c>
      <c r="P1591" s="21">
        <f t="shared" si="1077"/>
        <v>0</v>
      </c>
      <c r="Q1591" s="21">
        <f t="shared" si="1077"/>
        <v>0</v>
      </c>
      <c r="R1591" s="21">
        <f t="shared" si="1077"/>
        <v>0</v>
      </c>
      <c r="S1591" s="21">
        <f t="shared" si="1077"/>
        <v>0</v>
      </c>
      <c r="T1591" s="21">
        <f t="shared" si="1077"/>
        <v>0</v>
      </c>
      <c r="U1591" s="21">
        <f t="shared" si="1077"/>
        <v>0</v>
      </c>
      <c r="V1591" s="21">
        <f t="shared" si="1077"/>
        <v>0</v>
      </c>
      <c r="W1591" s="21">
        <f t="shared" si="1077"/>
        <v>0</v>
      </c>
      <c r="X1591" s="21">
        <f t="shared" si="1077"/>
        <v>0</v>
      </c>
      <c r="Y1591" s="21">
        <f t="shared" si="1077"/>
        <v>0</v>
      </c>
      <c r="Z1591" s="21">
        <f t="shared" si="1077"/>
        <v>0</v>
      </c>
      <c r="AA1591" s="21">
        <f t="shared" si="1079"/>
        <v>0</v>
      </c>
      <c r="AB1591" s="21">
        <f t="shared" si="1079"/>
        <v>0</v>
      </c>
      <c r="AC1591" s="21">
        <f t="shared" si="1079"/>
        <v>0</v>
      </c>
      <c r="AD1591" s="21">
        <f t="shared" si="1079"/>
        <v>0</v>
      </c>
      <c r="AE1591" s="21">
        <f t="shared" si="1079"/>
        <v>0</v>
      </c>
      <c r="AF1591" s="52"/>
      <c r="AG1591" s="21"/>
      <c r="AH1591" s="21"/>
      <c r="AI1591" s="21"/>
      <c r="AJ1591" s="21"/>
    </row>
    <row r="1592" spans="3:36" x14ac:dyDescent="0.2">
      <c r="C1592" s="60">
        <v>3</v>
      </c>
      <c r="E1592" s="21">
        <v>0</v>
      </c>
      <c r="F1592" s="21">
        <f>(C1592=$E$1583)*SUM($E$1587:E1592)+(C1592&gt;$E$1583)*E1592</f>
        <v>0</v>
      </c>
      <c r="G1592" s="1">
        <f t="shared" si="1080"/>
        <v>6</v>
      </c>
      <c r="I1592" s="21">
        <f t="shared" si="1076"/>
        <v>0</v>
      </c>
      <c r="J1592" s="21">
        <f t="shared" si="1077"/>
        <v>0</v>
      </c>
      <c r="K1592" s="21">
        <f t="shared" si="1078"/>
        <v>0</v>
      </c>
      <c r="L1592" s="21">
        <f t="shared" si="1077"/>
        <v>0</v>
      </c>
      <c r="M1592" s="21">
        <f t="shared" si="1077"/>
        <v>0</v>
      </c>
      <c r="N1592" s="21">
        <f t="shared" si="1077"/>
        <v>0</v>
      </c>
      <c r="O1592" s="21">
        <f t="shared" si="1077"/>
        <v>0</v>
      </c>
      <c r="P1592" s="21">
        <f t="shared" si="1077"/>
        <v>0</v>
      </c>
      <c r="Q1592" s="21">
        <f t="shared" si="1077"/>
        <v>0</v>
      </c>
      <c r="R1592" s="21">
        <f t="shared" si="1077"/>
        <v>0</v>
      </c>
      <c r="S1592" s="21">
        <f t="shared" si="1077"/>
        <v>0</v>
      </c>
      <c r="T1592" s="21">
        <f t="shared" si="1077"/>
        <v>0</v>
      </c>
      <c r="U1592" s="21">
        <f t="shared" si="1077"/>
        <v>0</v>
      </c>
      <c r="V1592" s="21">
        <f t="shared" si="1077"/>
        <v>0</v>
      </c>
      <c r="W1592" s="21">
        <f t="shared" si="1077"/>
        <v>0</v>
      </c>
      <c r="X1592" s="21">
        <f t="shared" si="1077"/>
        <v>0</v>
      </c>
      <c r="Y1592" s="21">
        <f t="shared" si="1077"/>
        <v>0</v>
      </c>
      <c r="Z1592" s="21">
        <f t="shared" si="1077"/>
        <v>0</v>
      </c>
      <c r="AA1592" s="21">
        <f t="shared" si="1079"/>
        <v>0</v>
      </c>
      <c r="AB1592" s="21">
        <f t="shared" si="1079"/>
        <v>0</v>
      </c>
      <c r="AC1592" s="21">
        <f t="shared" si="1079"/>
        <v>0</v>
      </c>
      <c r="AD1592" s="21">
        <f t="shared" si="1079"/>
        <v>0</v>
      </c>
      <c r="AE1592" s="21">
        <f t="shared" si="1079"/>
        <v>0</v>
      </c>
      <c r="AF1592" s="52"/>
      <c r="AG1592" s="21"/>
      <c r="AH1592" s="21"/>
      <c r="AI1592" s="21"/>
      <c r="AJ1592" s="21"/>
    </row>
    <row r="1593" spans="3:36" x14ac:dyDescent="0.2">
      <c r="C1593" s="60">
        <v>4</v>
      </c>
      <c r="E1593" s="21">
        <v>0</v>
      </c>
      <c r="F1593" s="21">
        <f>(C1593=$E$1583)*SUM($E$1587:E1593)+(C1593&gt;$E$1583)*E1593</f>
        <v>0</v>
      </c>
      <c r="G1593" s="1">
        <f t="shared" si="1080"/>
        <v>7</v>
      </c>
      <c r="I1593" s="21">
        <f t="shared" si="1076"/>
        <v>0</v>
      </c>
      <c r="J1593" s="21">
        <f t="shared" si="1077"/>
        <v>0</v>
      </c>
      <c r="K1593" s="21">
        <f t="shared" si="1078"/>
        <v>0</v>
      </c>
      <c r="L1593" s="21">
        <f t="shared" si="1077"/>
        <v>0</v>
      </c>
      <c r="M1593" s="21">
        <f t="shared" si="1077"/>
        <v>0</v>
      </c>
      <c r="N1593" s="21">
        <f t="shared" si="1077"/>
        <v>0</v>
      </c>
      <c r="O1593" s="21">
        <f t="shared" si="1077"/>
        <v>0</v>
      </c>
      <c r="P1593" s="21">
        <f t="shared" si="1077"/>
        <v>0</v>
      </c>
      <c r="Q1593" s="21">
        <f t="shared" si="1077"/>
        <v>0</v>
      </c>
      <c r="R1593" s="21">
        <f t="shared" si="1077"/>
        <v>0</v>
      </c>
      <c r="S1593" s="21">
        <f t="shared" si="1077"/>
        <v>0</v>
      </c>
      <c r="T1593" s="21">
        <f t="shared" si="1077"/>
        <v>0</v>
      </c>
      <c r="U1593" s="21">
        <f t="shared" si="1077"/>
        <v>0</v>
      </c>
      <c r="V1593" s="21">
        <f t="shared" si="1077"/>
        <v>0</v>
      </c>
      <c r="W1593" s="21">
        <f t="shared" si="1077"/>
        <v>0</v>
      </c>
      <c r="X1593" s="21">
        <f t="shared" si="1077"/>
        <v>0</v>
      </c>
      <c r="Y1593" s="21">
        <f t="shared" si="1077"/>
        <v>0</v>
      </c>
      <c r="Z1593" s="21">
        <f t="shared" si="1077"/>
        <v>0</v>
      </c>
      <c r="AA1593" s="21">
        <f t="shared" si="1079"/>
        <v>0</v>
      </c>
      <c r="AB1593" s="21">
        <f t="shared" si="1079"/>
        <v>0</v>
      </c>
      <c r="AC1593" s="21">
        <f t="shared" si="1079"/>
        <v>0</v>
      </c>
      <c r="AD1593" s="21">
        <f t="shared" si="1079"/>
        <v>0</v>
      </c>
      <c r="AE1593" s="21">
        <f t="shared" si="1079"/>
        <v>0</v>
      </c>
      <c r="AF1593" s="52"/>
      <c r="AG1593" s="21"/>
      <c r="AH1593" s="21"/>
      <c r="AI1593" s="21"/>
      <c r="AJ1593" s="21"/>
    </row>
    <row r="1594" spans="3:36" x14ac:dyDescent="0.2">
      <c r="C1594" s="60">
        <v>5</v>
      </c>
      <c r="E1594" s="21">
        <v>0</v>
      </c>
      <c r="F1594" s="21">
        <f>(C1594=$E$1583)*SUM($E$1587:E1594)+(C1594&gt;$E$1583)*E1594</f>
        <v>0</v>
      </c>
      <c r="G1594" s="1">
        <f t="shared" si="1080"/>
        <v>8</v>
      </c>
      <c r="I1594" s="21">
        <f t="shared" si="1076"/>
        <v>0</v>
      </c>
      <c r="J1594" s="21">
        <f t="shared" si="1077"/>
        <v>0</v>
      </c>
      <c r="K1594" s="21">
        <f t="shared" si="1078"/>
        <v>0</v>
      </c>
      <c r="L1594" s="21">
        <f t="shared" si="1077"/>
        <v>0</v>
      </c>
      <c r="M1594" s="21">
        <f t="shared" si="1077"/>
        <v>0</v>
      </c>
      <c r="N1594" s="21">
        <f t="shared" si="1077"/>
        <v>0</v>
      </c>
      <c r="O1594" s="21">
        <f t="shared" si="1077"/>
        <v>0</v>
      </c>
      <c r="P1594" s="21">
        <f t="shared" si="1077"/>
        <v>0</v>
      </c>
      <c r="Q1594" s="21">
        <f t="shared" si="1077"/>
        <v>0</v>
      </c>
      <c r="R1594" s="21">
        <f t="shared" si="1077"/>
        <v>0</v>
      </c>
      <c r="S1594" s="21">
        <f t="shared" si="1077"/>
        <v>0</v>
      </c>
      <c r="T1594" s="21">
        <f t="shared" si="1077"/>
        <v>0</v>
      </c>
      <c r="U1594" s="21">
        <f t="shared" si="1077"/>
        <v>0</v>
      </c>
      <c r="V1594" s="21">
        <f t="shared" si="1077"/>
        <v>0</v>
      </c>
      <c r="W1594" s="21">
        <f t="shared" si="1077"/>
        <v>0</v>
      </c>
      <c r="X1594" s="21">
        <f t="shared" si="1077"/>
        <v>0</v>
      </c>
      <c r="Y1594" s="21">
        <f t="shared" si="1077"/>
        <v>0</v>
      </c>
      <c r="Z1594" s="21">
        <f t="shared" si="1077"/>
        <v>0</v>
      </c>
      <c r="AA1594" s="21">
        <f t="shared" si="1079"/>
        <v>0</v>
      </c>
      <c r="AB1594" s="21">
        <f t="shared" si="1079"/>
        <v>0</v>
      </c>
      <c r="AC1594" s="21">
        <f t="shared" si="1079"/>
        <v>0</v>
      </c>
      <c r="AD1594" s="21">
        <f t="shared" si="1079"/>
        <v>0</v>
      </c>
      <c r="AE1594" s="21">
        <f t="shared" si="1079"/>
        <v>0</v>
      </c>
      <c r="AF1594" s="52"/>
      <c r="AG1594" s="21"/>
      <c r="AH1594" s="21"/>
      <c r="AI1594" s="21"/>
      <c r="AJ1594" s="21"/>
    </row>
    <row r="1595" spans="3:36" x14ac:dyDescent="0.2">
      <c r="C1595" s="60">
        <v>6</v>
      </c>
      <c r="E1595" s="21">
        <v>0</v>
      </c>
      <c r="F1595" s="21">
        <f>(C1595=$E$1583)*SUM($E$1587:E1595)+(C1595&gt;$E$1583)*E1595</f>
        <v>0</v>
      </c>
      <c r="G1595" s="1">
        <f t="shared" si="1080"/>
        <v>9</v>
      </c>
      <c r="I1595" s="21">
        <f t="shared" si="1076"/>
        <v>0</v>
      </c>
      <c r="J1595" s="21">
        <f t="shared" si="1077"/>
        <v>0</v>
      </c>
      <c r="K1595" s="21">
        <f t="shared" si="1078"/>
        <v>0</v>
      </c>
      <c r="L1595" s="21">
        <f t="shared" si="1077"/>
        <v>0</v>
      </c>
      <c r="M1595" s="21">
        <f t="shared" si="1077"/>
        <v>0</v>
      </c>
      <c r="N1595" s="21">
        <f t="shared" si="1077"/>
        <v>0</v>
      </c>
      <c r="O1595" s="21">
        <f t="shared" si="1077"/>
        <v>0</v>
      </c>
      <c r="P1595" s="21">
        <f t="shared" si="1077"/>
        <v>0</v>
      </c>
      <c r="Q1595" s="21">
        <f t="shared" si="1077"/>
        <v>0</v>
      </c>
      <c r="R1595" s="21">
        <f t="shared" si="1077"/>
        <v>0</v>
      </c>
      <c r="S1595" s="21">
        <f t="shared" si="1077"/>
        <v>0</v>
      </c>
      <c r="T1595" s="21">
        <f t="shared" si="1077"/>
        <v>0</v>
      </c>
      <c r="U1595" s="21">
        <f t="shared" si="1077"/>
        <v>0</v>
      </c>
      <c r="V1595" s="21">
        <f t="shared" si="1077"/>
        <v>0</v>
      </c>
      <c r="W1595" s="21">
        <f t="shared" si="1077"/>
        <v>0</v>
      </c>
      <c r="X1595" s="21">
        <f t="shared" si="1077"/>
        <v>0</v>
      </c>
      <c r="Y1595" s="21">
        <f t="shared" si="1077"/>
        <v>0</v>
      </c>
      <c r="Z1595" s="21">
        <f t="shared" si="1077"/>
        <v>0</v>
      </c>
      <c r="AA1595" s="21">
        <f t="shared" si="1079"/>
        <v>0</v>
      </c>
      <c r="AB1595" s="21">
        <f t="shared" si="1079"/>
        <v>0</v>
      </c>
      <c r="AC1595" s="21">
        <f t="shared" si="1079"/>
        <v>0</v>
      </c>
      <c r="AD1595" s="21">
        <f t="shared" si="1079"/>
        <v>0</v>
      </c>
      <c r="AE1595" s="21">
        <f t="shared" si="1079"/>
        <v>0</v>
      </c>
      <c r="AF1595" s="52"/>
      <c r="AG1595" s="21"/>
      <c r="AH1595" s="21"/>
      <c r="AI1595" s="21"/>
      <c r="AJ1595" s="21"/>
    </row>
    <row r="1596" spans="3:36" x14ac:dyDescent="0.2">
      <c r="C1596" s="60">
        <v>7</v>
      </c>
      <c r="E1596" s="21">
        <v>0</v>
      </c>
      <c r="F1596" s="21">
        <f>(C1596=$E$1583)*SUM($E$1587:E1596)+(C1596&gt;$E$1583)*E1596</f>
        <v>0</v>
      </c>
      <c r="G1596" s="1">
        <f t="shared" si="1080"/>
        <v>10</v>
      </c>
      <c r="I1596" s="21">
        <f t="shared" si="1076"/>
        <v>0</v>
      </c>
      <c r="J1596" s="21">
        <f t="shared" si="1077"/>
        <v>0</v>
      </c>
      <c r="K1596" s="21">
        <f t="shared" si="1078"/>
        <v>0</v>
      </c>
      <c r="L1596" s="21">
        <f t="shared" si="1077"/>
        <v>0</v>
      </c>
      <c r="M1596" s="21">
        <f t="shared" si="1077"/>
        <v>0</v>
      </c>
      <c r="N1596" s="21">
        <f t="shared" si="1077"/>
        <v>0</v>
      </c>
      <c r="O1596" s="21">
        <f t="shared" si="1077"/>
        <v>0</v>
      </c>
      <c r="P1596" s="21">
        <f t="shared" si="1077"/>
        <v>0</v>
      </c>
      <c r="Q1596" s="21">
        <f t="shared" si="1077"/>
        <v>0</v>
      </c>
      <c r="R1596" s="21">
        <f t="shared" si="1077"/>
        <v>0</v>
      </c>
      <c r="S1596" s="21">
        <f t="shared" si="1077"/>
        <v>0</v>
      </c>
      <c r="T1596" s="21">
        <f t="shared" si="1077"/>
        <v>0</v>
      </c>
      <c r="U1596" s="21">
        <f t="shared" si="1077"/>
        <v>0</v>
      </c>
      <c r="V1596" s="21">
        <f t="shared" si="1077"/>
        <v>0</v>
      </c>
      <c r="W1596" s="21">
        <f t="shared" si="1077"/>
        <v>0</v>
      </c>
      <c r="X1596" s="21">
        <f t="shared" si="1077"/>
        <v>0</v>
      </c>
      <c r="Y1596" s="21">
        <f t="shared" si="1077"/>
        <v>0</v>
      </c>
      <c r="Z1596" s="21">
        <f t="shared" si="1077"/>
        <v>0</v>
      </c>
      <c r="AA1596" s="21">
        <f t="shared" si="1079"/>
        <v>0</v>
      </c>
      <c r="AB1596" s="21">
        <f t="shared" si="1079"/>
        <v>0</v>
      </c>
      <c r="AC1596" s="21">
        <f t="shared" si="1079"/>
        <v>0</v>
      </c>
      <c r="AD1596" s="21">
        <f t="shared" si="1079"/>
        <v>0</v>
      </c>
      <c r="AE1596" s="21">
        <f t="shared" si="1079"/>
        <v>0</v>
      </c>
      <c r="AF1596" s="52"/>
      <c r="AG1596" s="21"/>
      <c r="AH1596" s="21"/>
      <c r="AI1596" s="21"/>
      <c r="AJ1596" s="21"/>
    </row>
    <row r="1597" spans="3:36" x14ac:dyDescent="0.2">
      <c r="C1597" s="60">
        <v>8</v>
      </c>
      <c r="E1597" s="21">
        <v>0</v>
      </c>
      <c r="F1597" s="21">
        <f>(C1597=$E$1583)*SUM($E$1587:E1597)+(C1597&gt;$E$1583)*E1597</f>
        <v>0</v>
      </c>
      <c r="G1597" s="1">
        <f t="shared" si="1080"/>
        <v>11</v>
      </c>
      <c r="I1597" s="21">
        <f t="shared" si="1076"/>
        <v>0</v>
      </c>
      <c r="J1597" s="21">
        <f t="shared" si="1077"/>
        <v>0</v>
      </c>
      <c r="K1597" s="21">
        <f t="shared" si="1078"/>
        <v>0</v>
      </c>
      <c r="L1597" s="21">
        <f t="shared" si="1077"/>
        <v>0</v>
      </c>
      <c r="M1597" s="21">
        <f t="shared" si="1077"/>
        <v>0</v>
      </c>
      <c r="N1597" s="21">
        <f t="shared" si="1077"/>
        <v>0</v>
      </c>
      <c r="O1597" s="21">
        <f t="shared" si="1077"/>
        <v>0</v>
      </c>
      <c r="P1597" s="21">
        <f t="shared" si="1077"/>
        <v>0</v>
      </c>
      <c r="Q1597" s="21">
        <f t="shared" si="1077"/>
        <v>0</v>
      </c>
      <c r="R1597" s="21">
        <f t="shared" si="1077"/>
        <v>0</v>
      </c>
      <c r="S1597" s="21">
        <f t="shared" si="1077"/>
        <v>0</v>
      </c>
      <c r="T1597" s="21">
        <f t="shared" si="1077"/>
        <v>0</v>
      </c>
      <c r="U1597" s="21">
        <f t="shared" si="1077"/>
        <v>0</v>
      </c>
      <c r="V1597" s="21">
        <f t="shared" si="1077"/>
        <v>0</v>
      </c>
      <c r="W1597" s="21">
        <f t="shared" si="1077"/>
        <v>0</v>
      </c>
      <c r="X1597" s="21">
        <f t="shared" si="1077"/>
        <v>0</v>
      </c>
      <c r="Y1597" s="21">
        <f t="shared" si="1077"/>
        <v>0</v>
      </c>
      <c r="Z1597" s="21">
        <f t="shared" si="1077"/>
        <v>0</v>
      </c>
      <c r="AA1597" s="21">
        <f t="shared" si="1079"/>
        <v>0</v>
      </c>
      <c r="AB1597" s="21">
        <f t="shared" si="1079"/>
        <v>0</v>
      </c>
      <c r="AC1597" s="21">
        <f t="shared" si="1079"/>
        <v>0</v>
      </c>
      <c r="AD1597" s="21">
        <f t="shared" si="1079"/>
        <v>0</v>
      </c>
      <c r="AE1597" s="21">
        <f t="shared" si="1079"/>
        <v>0</v>
      </c>
      <c r="AF1597" s="52"/>
      <c r="AG1597" s="21"/>
      <c r="AH1597" s="21"/>
      <c r="AI1597" s="21"/>
      <c r="AJ1597" s="21"/>
    </row>
    <row r="1598" spans="3:36" x14ac:dyDescent="0.2">
      <c r="C1598" s="60">
        <v>9</v>
      </c>
      <c r="E1598" s="21">
        <v>0</v>
      </c>
      <c r="F1598" s="21">
        <f>(C1598=$E$1583)*SUM($E$1587:E1598)+(C1598&gt;$E$1583)*E1598</f>
        <v>0</v>
      </c>
      <c r="G1598" s="1">
        <f t="shared" si="1080"/>
        <v>12</v>
      </c>
      <c r="I1598" s="21">
        <f t="shared" si="1076"/>
        <v>0</v>
      </c>
      <c r="J1598" s="21">
        <f t="shared" si="1077"/>
        <v>0</v>
      </c>
      <c r="K1598" s="21">
        <f t="shared" si="1078"/>
        <v>0</v>
      </c>
      <c r="L1598" s="21">
        <f t="shared" si="1077"/>
        <v>0</v>
      </c>
      <c r="M1598" s="21">
        <f t="shared" si="1077"/>
        <v>0</v>
      </c>
      <c r="N1598" s="21">
        <f t="shared" si="1077"/>
        <v>0</v>
      </c>
      <c r="O1598" s="21">
        <f t="shared" si="1077"/>
        <v>0</v>
      </c>
      <c r="P1598" s="21">
        <f t="shared" si="1077"/>
        <v>0</v>
      </c>
      <c r="Q1598" s="21">
        <f t="shared" si="1077"/>
        <v>0</v>
      </c>
      <c r="R1598" s="21">
        <f t="shared" si="1077"/>
        <v>0</v>
      </c>
      <c r="S1598" s="21">
        <f t="shared" si="1077"/>
        <v>0</v>
      </c>
      <c r="T1598" s="21">
        <f t="shared" si="1077"/>
        <v>0</v>
      </c>
      <c r="U1598" s="21">
        <f t="shared" si="1077"/>
        <v>0</v>
      </c>
      <c r="V1598" s="21">
        <f t="shared" si="1077"/>
        <v>0</v>
      </c>
      <c r="W1598" s="21">
        <f t="shared" si="1077"/>
        <v>0</v>
      </c>
      <c r="X1598" s="21">
        <f t="shared" si="1077"/>
        <v>0</v>
      </c>
      <c r="Y1598" s="21">
        <f t="shared" si="1077"/>
        <v>0</v>
      </c>
      <c r="Z1598" s="21">
        <f t="shared" si="1077"/>
        <v>0</v>
      </c>
      <c r="AA1598" s="21">
        <f t="shared" si="1079"/>
        <v>0</v>
      </c>
      <c r="AB1598" s="21">
        <f t="shared" si="1079"/>
        <v>0</v>
      </c>
      <c r="AC1598" s="21">
        <f t="shared" si="1079"/>
        <v>0</v>
      </c>
      <c r="AD1598" s="21">
        <f t="shared" si="1079"/>
        <v>0</v>
      </c>
      <c r="AE1598" s="21">
        <f t="shared" si="1079"/>
        <v>0</v>
      </c>
      <c r="AF1598" s="52"/>
      <c r="AG1598" s="21"/>
      <c r="AH1598" s="21"/>
      <c r="AI1598" s="21"/>
      <c r="AJ1598" s="21"/>
    </row>
    <row r="1599" spans="3:36" x14ac:dyDescent="0.2">
      <c r="C1599" s="60">
        <v>10</v>
      </c>
      <c r="E1599" s="21">
        <v>0</v>
      </c>
      <c r="F1599" s="21">
        <f>(C1599=$E$1583)*SUM($E$1587:E1599)+(C1599&gt;$E$1583)*E1599</f>
        <v>0</v>
      </c>
      <c r="G1599" s="1">
        <f t="shared" si="1080"/>
        <v>13</v>
      </c>
      <c r="I1599" s="21">
        <f t="shared" si="1076"/>
        <v>0</v>
      </c>
      <c r="J1599" s="21">
        <f t="shared" si="1077"/>
        <v>0</v>
      </c>
      <c r="K1599" s="21">
        <f t="shared" si="1078"/>
        <v>0</v>
      </c>
      <c r="L1599" s="21">
        <f t="shared" si="1077"/>
        <v>0</v>
      </c>
      <c r="M1599" s="21">
        <f t="shared" si="1077"/>
        <v>0</v>
      </c>
      <c r="N1599" s="21">
        <f t="shared" si="1077"/>
        <v>0</v>
      </c>
      <c r="O1599" s="21">
        <f t="shared" si="1077"/>
        <v>0</v>
      </c>
      <c r="P1599" s="21">
        <f t="shared" si="1077"/>
        <v>0</v>
      </c>
      <c r="Q1599" s="21">
        <f t="shared" si="1077"/>
        <v>0</v>
      </c>
      <c r="R1599" s="21">
        <f t="shared" si="1077"/>
        <v>0</v>
      </c>
      <c r="S1599" s="21">
        <f t="shared" si="1077"/>
        <v>0</v>
      </c>
      <c r="T1599" s="21">
        <f t="shared" si="1077"/>
        <v>0</v>
      </c>
      <c r="U1599" s="21">
        <f t="shared" si="1077"/>
        <v>0</v>
      </c>
      <c r="V1599" s="21">
        <f t="shared" si="1077"/>
        <v>0</v>
      </c>
      <c r="W1599" s="21">
        <f t="shared" si="1077"/>
        <v>0</v>
      </c>
      <c r="X1599" s="21">
        <f t="shared" si="1077"/>
        <v>0</v>
      </c>
      <c r="Y1599" s="21">
        <f t="shared" si="1077"/>
        <v>0</v>
      </c>
      <c r="Z1599" s="21">
        <f t="shared" si="1077"/>
        <v>0</v>
      </c>
      <c r="AA1599" s="21">
        <f t="shared" si="1079"/>
        <v>0</v>
      </c>
      <c r="AB1599" s="21">
        <f t="shared" si="1079"/>
        <v>0</v>
      </c>
      <c r="AC1599" s="21">
        <f t="shared" si="1079"/>
        <v>0</v>
      </c>
      <c r="AD1599" s="21">
        <f t="shared" si="1079"/>
        <v>0</v>
      </c>
      <c r="AE1599" s="21">
        <f t="shared" si="1079"/>
        <v>0</v>
      </c>
      <c r="AF1599" s="52"/>
      <c r="AG1599" s="21"/>
      <c r="AH1599" s="21"/>
      <c r="AI1599" s="21"/>
      <c r="AJ1599" s="21"/>
    </row>
    <row r="1600" spans="3:36" x14ac:dyDescent="0.2">
      <c r="C1600" s="60">
        <v>11</v>
      </c>
      <c r="E1600" s="21">
        <v>0</v>
      </c>
      <c r="F1600" s="21">
        <f>(C1600=$E$1583)*SUM($E$1587:E1600)+(C1600&gt;$E$1583)*E1600</f>
        <v>0</v>
      </c>
      <c r="G1600" s="1">
        <f t="shared" si="1080"/>
        <v>14</v>
      </c>
      <c r="I1600" s="21">
        <f t="shared" si="1076"/>
        <v>0</v>
      </c>
      <c r="J1600" s="21">
        <f t="shared" si="1077"/>
        <v>0</v>
      </c>
      <c r="K1600" s="21">
        <f t="shared" si="1078"/>
        <v>0</v>
      </c>
      <c r="L1600" s="21">
        <f t="shared" si="1077"/>
        <v>0</v>
      </c>
      <c r="M1600" s="21">
        <f t="shared" si="1077"/>
        <v>0</v>
      </c>
      <c r="N1600" s="21">
        <f t="shared" si="1077"/>
        <v>0</v>
      </c>
      <c r="O1600" s="21">
        <f t="shared" si="1077"/>
        <v>0</v>
      </c>
      <c r="P1600" s="21">
        <f t="shared" si="1077"/>
        <v>0</v>
      </c>
      <c r="Q1600" s="21">
        <f t="shared" si="1077"/>
        <v>0</v>
      </c>
      <c r="R1600" s="21">
        <f t="shared" si="1077"/>
        <v>0</v>
      </c>
      <c r="S1600" s="21">
        <f t="shared" si="1077"/>
        <v>0</v>
      </c>
      <c r="T1600" s="21">
        <f t="shared" si="1077"/>
        <v>0</v>
      </c>
      <c r="U1600" s="21">
        <f t="shared" si="1077"/>
        <v>0</v>
      </c>
      <c r="V1600" s="21">
        <f t="shared" si="1077"/>
        <v>0</v>
      </c>
      <c r="W1600" s="21">
        <f t="shared" si="1077"/>
        <v>0</v>
      </c>
      <c r="X1600" s="21">
        <f t="shared" si="1077"/>
        <v>0</v>
      </c>
      <c r="Y1600" s="21">
        <f t="shared" si="1077"/>
        <v>0</v>
      </c>
      <c r="Z1600" s="21">
        <f t="shared" si="1077"/>
        <v>0</v>
      </c>
      <c r="AA1600" s="21">
        <f t="shared" si="1079"/>
        <v>0</v>
      </c>
      <c r="AB1600" s="21">
        <f t="shared" si="1079"/>
        <v>0</v>
      </c>
      <c r="AC1600" s="21">
        <f t="shared" si="1079"/>
        <v>0</v>
      </c>
      <c r="AD1600" s="21">
        <f t="shared" si="1079"/>
        <v>0</v>
      </c>
      <c r="AE1600" s="21">
        <f t="shared" si="1079"/>
        <v>0</v>
      </c>
      <c r="AF1600" s="52"/>
      <c r="AG1600" s="21"/>
      <c r="AH1600" s="21"/>
      <c r="AI1600" s="21"/>
      <c r="AJ1600" s="21"/>
    </row>
    <row r="1601" spans="2:36" x14ac:dyDescent="0.2">
      <c r="C1601" s="60">
        <v>12</v>
      </c>
      <c r="E1601" s="21">
        <v>0</v>
      </c>
      <c r="F1601" s="21">
        <f>(C1601=$E$1583)*SUM($E$1587:E1601)+(C1601&gt;$E$1583)*E1601</f>
        <v>0</v>
      </c>
      <c r="G1601" s="1">
        <f t="shared" si="1080"/>
        <v>15</v>
      </c>
      <c r="I1601" s="21">
        <f t="shared" si="1076"/>
        <v>0</v>
      </c>
      <c r="J1601" s="21">
        <f t="shared" si="1077"/>
        <v>0</v>
      </c>
      <c r="K1601" s="21">
        <f t="shared" si="1078"/>
        <v>0</v>
      </c>
      <c r="L1601" s="21">
        <f t="shared" si="1077"/>
        <v>0</v>
      </c>
      <c r="M1601" s="21">
        <f t="shared" si="1077"/>
        <v>0</v>
      </c>
      <c r="N1601" s="21">
        <f t="shared" si="1077"/>
        <v>0</v>
      </c>
      <c r="O1601" s="21">
        <f t="shared" si="1077"/>
        <v>0</v>
      </c>
      <c r="P1601" s="21">
        <f t="shared" si="1077"/>
        <v>0</v>
      </c>
      <c r="Q1601" s="21">
        <f t="shared" si="1077"/>
        <v>0</v>
      </c>
      <c r="R1601" s="21">
        <f t="shared" si="1077"/>
        <v>0</v>
      </c>
      <c r="S1601" s="21">
        <f t="shared" si="1077"/>
        <v>0</v>
      </c>
      <c r="T1601" s="21">
        <f t="shared" si="1077"/>
        <v>0</v>
      </c>
      <c r="U1601" s="21">
        <f t="shared" si="1077"/>
        <v>0</v>
      </c>
      <c r="V1601" s="21">
        <f t="shared" si="1077"/>
        <v>0</v>
      </c>
      <c r="W1601" s="21">
        <f t="shared" si="1077"/>
        <v>0</v>
      </c>
      <c r="X1601" s="21">
        <f t="shared" si="1077"/>
        <v>0</v>
      </c>
      <c r="Y1601" s="21">
        <f t="shared" si="1077"/>
        <v>0</v>
      </c>
      <c r="Z1601" s="21">
        <f t="shared" si="1077"/>
        <v>0</v>
      </c>
      <c r="AA1601" s="21">
        <f t="shared" si="1079"/>
        <v>0</v>
      </c>
      <c r="AB1601" s="21">
        <f t="shared" si="1079"/>
        <v>0</v>
      </c>
      <c r="AC1601" s="21">
        <f t="shared" si="1079"/>
        <v>0</v>
      </c>
      <c r="AD1601" s="21">
        <f t="shared" si="1079"/>
        <v>0</v>
      </c>
      <c r="AE1601" s="21">
        <f t="shared" si="1079"/>
        <v>0</v>
      </c>
      <c r="AF1601" s="52"/>
      <c r="AG1601" s="21"/>
      <c r="AH1601" s="21"/>
      <c r="AI1601" s="21"/>
      <c r="AJ1601" s="21"/>
    </row>
    <row r="1602" spans="2:36" x14ac:dyDescent="0.2">
      <c r="C1602" s="60">
        <v>13</v>
      </c>
      <c r="E1602" s="21">
        <v>0</v>
      </c>
      <c r="F1602" s="21">
        <f>(C1602=$E$1583)*SUM($E$1587:E1602)+(C1602&gt;$E$1583)*E1602</f>
        <v>0</v>
      </c>
      <c r="G1602" s="1">
        <f t="shared" si="1080"/>
        <v>16</v>
      </c>
      <c r="I1602" s="21">
        <f t="shared" si="1076"/>
        <v>0</v>
      </c>
      <c r="J1602" s="21">
        <f t="shared" si="1077"/>
        <v>0</v>
      </c>
      <c r="K1602" s="21">
        <f t="shared" si="1078"/>
        <v>0</v>
      </c>
      <c r="L1602" s="21">
        <f t="shared" si="1077"/>
        <v>0</v>
      </c>
      <c r="M1602" s="21">
        <f t="shared" si="1077"/>
        <v>0</v>
      </c>
      <c r="N1602" s="21">
        <f t="shared" si="1077"/>
        <v>0</v>
      </c>
      <c r="O1602" s="21">
        <f t="shared" si="1077"/>
        <v>0</v>
      </c>
      <c r="P1602" s="21">
        <f t="shared" si="1077"/>
        <v>0</v>
      </c>
      <c r="Q1602" s="21">
        <f t="shared" si="1077"/>
        <v>0</v>
      </c>
      <c r="R1602" s="21">
        <f t="shared" si="1077"/>
        <v>0</v>
      </c>
      <c r="S1602" s="21">
        <f t="shared" si="1077"/>
        <v>0</v>
      </c>
      <c r="T1602" s="21">
        <f t="shared" si="1077"/>
        <v>0</v>
      </c>
      <c r="U1602" s="21">
        <f t="shared" si="1077"/>
        <v>0</v>
      </c>
      <c r="V1602" s="21">
        <f t="shared" si="1077"/>
        <v>0</v>
      </c>
      <c r="W1602" s="21">
        <f t="shared" si="1077"/>
        <v>0</v>
      </c>
      <c r="X1602" s="21">
        <f t="shared" si="1077"/>
        <v>0</v>
      </c>
      <c r="Y1602" s="21">
        <f t="shared" si="1077"/>
        <v>0</v>
      </c>
      <c r="Z1602" s="21">
        <f t="shared" ref="Z1602:AE1609" si="1081">AND(Z$1585&gt;=$G1602,Z$1585&lt;$G1602+$E$1582)*($F1602/$E$1582)</f>
        <v>0</v>
      </c>
      <c r="AA1602" s="21">
        <f t="shared" si="1079"/>
        <v>0</v>
      </c>
      <c r="AB1602" s="21">
        <f t="shared" si="1079"/>
        <v>0</v>
      </c>
      <c r="AC1602" s="21">
        <f t="shared" si="1079"/>
        <v>0</v>
      </c>
      <c r="AD1602" s="21">
        <f t="shared" si="1079"/>
        <v>0</v>
      </c>
      <c r="AE1602" s="21">
        <f t="shared" si="1079"/>
        <v>0</v>
      </c>
      <c r="AF1602" s="52"/>
      <c r="AG1602" s="21"/>
      <c r="AH1602" s="21"/>
      <c r="AI1602" s="21"/>
      <c r="AJ1602" s="21"/>
    </row>
    <row r="1603" spans="2:36" x14ac:dyDescent="0.2">
      <c r="C1603" s="60">
        <v>14</v>
      </c>
      <c r="E1603" s="21">
        <v>0</v>
      </c>
      <c r="F1603" s="21">
        <f>(C1603=$E$1583)*SUM($E$1587:E1603)+(C1603&gt;$E$1583)*E1603</f>
        <v>0</v>
      </c>
      <c r="G1603" s="1">
        <f t="shared" si="1080"/>
        <v>17</v>
      </c>
      <c r="I1603" s="21">
        <f t="shared" si="1076"/>
        <v>0</v>
      </c>
      <c r="J1603" s="21">
        <f t="shared" ref="J1603:Y1603" si="1082">AND(J$1585&gt;=$G1603,J$1585&lt;$G1603+$E$1582)*($F1603/$E$1582)</f>
        <v>0</v>
      </c>
      <c r="K1603" s="21">
        <f t="shared" si="1082"/>
        <v>0</v>
      </c>
      <c r="L1603" s="21">
        <f t="shared" si="1082"/>
        <v>0</v>
      </c>
      <c r="M1603" s="21">
        <f t="shared" si="1082"/>
        <v>0</v>
      </c>
      <c r="N1603" s="21">
        <f t="shared" si="1082"/>
        <v>0</v>
      </c>
      <c r="O1603" s="21">
        <f t="shared" si="1082"/>
        <v>0</v>
      </c>
      <c r="P1603" s="21">
        <f t="shared" si="1082"/>
        <v>0</v>
      </c>
      <c r="Q1603" s="21">
        <f t="shared" si="1082"/>
        <v>0</v>
      </c>
      <c r="R1603" s="21">
        <f t="shared" si="1082"/>
        <v>0</v>
      </c>
      <c r="S1603" s="21">
        <f t="shared" si="1082"/>
        <v>0</v>
      </c>
      <c r="T1603" s="21">
        <f t="shared" si="1082"/>
        <v>0</v>
      </c>
      <c r="U1603" s="21">
        <f t="shared" si="1082"/>
        <v>0</v>
      </c>
      <c r="V1603" s="21">
        <f t="shared" si="1082"/>
        <v>0</v>
      </c>
      <c r="W1603" s="21">
        <f t="shared" si="1082"/>
        <v>0</v>
      </c>
      <c r="X1603" s="21">
        <f t="shared" si="1082"/>
        <v>0</v>
      </c>
      <c r="Y1603" s="21">
        <f t="shared" si="1082"/>
        <v>0</v>
      </c>
      <c r="Z1603" s="21">
        <f t="shared" si="1081"/>
        <v>0</v>
      </c>
      <c r="AA1603" s="21">
        <f t="shared" si="1081"/>
        <v>0</v>
      </c>
      <c r="AB1603" s="21">
        <f t="shared" si="1081"/>
        <v>0</v>
      </c>
      <c r="AC1603" s="21">
        <f t="shared" si="1081"/>
        <v>0</v>
      </c>
      <c r="AD1603" s="21">
        <f t="shared" si="1081"/>
        <v>0</v>
      </c>
      <c r="AE1603" s="21">
        <f t="shared" si="1081"/>
        <v>0</v>
      </c>
      <c r="AF1603" s="52"/>
      <c r="AG1603" s="21"/>
      <c r="AH1603" s="21"/>
      <c r="AI1603" s="21"/>
      <c r="AJ1603" s="21"/>
    </row>
    <row r="1604" spans="2:36" x14ac:dyDescent="0.2">
      <c r="C1604" s="60">
        <v>15</v>
      </c>
      <c r="E1604" s="21">
        <v>0</v>
      </c>
      <c r="F1604" s="21">
        <f>(C1604=$E$1583)*SUM($E$1587:E1604)+(C1604&gt;$E$1583)*E1604</f>
        <v>0</v>
      </c>
      <c r="G1604" s="1">
        <f t="shared" si="1080"/>
        <v>18</v>
      </c>
      <c r="I1604" s="21">
        <f t="shared" ref="I1604:Y1609" si="1083">AND(I$1585&gt;=$G1604,I$1585&lt;$G1604+$E$1582)*($F1604/$E$1582)</f>
        <v>0</v>
      </c>
      <c r="J1604" s="21">
        <f t="shared" si="1083"/>
        <v>0</v>
      </c>
      <c r="K1604" s="21">
        <f t="shared" si="1083"/>
        <v>0</v>
      </c>
      <c r="L1604" s="21">
        <f t="shared" si="1083"/>
        <v>0</v>
      </c>
      <c r="M1604" s="21">
        <f t="shared" si="1083"/>
        <v>0</v>
      </c>
      <c r="N1604" s="21">
        <f t="shared" si="1083"/>
        <v>0</v>
      </c>
      <c r="O1604" s="21">
        <f t="shared" si="1083"/>
        <v>0</v>
      </c>
      <c r="P1604" s="21">
        <f t="shared" si="1083"/>
        <v>0</v>
      </c>
      <c r="Q1604" s="21">
        <f t="shared" si="1083"/>
        <v>0</v>
      </c>
      <c r="R1604" s="21">
        <f t="shared" si="1083"/>
        <v>0</v>
      </c>
      <c r="S1604" s="21">
        <f t="shared" si="1083"/>
        <v>0</v>
      </c>
      <c r="T1604" s="21">
        <f t="shared" si="1083"/>
        <v>0</v>
      </c>
      <c r="U1604" s="21">
        <f t="shared" si="1083"/>
        <v>0</v>
      </c>
      <c r="V1604" s="21">
        <f t="shared" si="1083"/>
        <v>0</v>
      </c>
      <c r="W1604" s="21">
        <f t="shared" si="1083"/>
        <v>0</v>
      </c>
      <c r="X1604" s="21">
        <f t="shared" si="1083"/>
        <v>0</v>
      </c>
      <c r="Y1604" s="21">
        <f t="shared" si="1083"/>
        <v>0</v>
      </c>
      <c r="Z1604" s="21">
        <f t="shared" si="1081"/>
        <v>0</v>
      </c>
      <c r="AA1604" s="21">
        <f t="shared" si="1081"/>
        <v>0</v>
      </c>
      <c r="AB1604" s="21">
        <f t="shared" si="1081"/>
        <v>0</v>
      </c>
      <c r="AC1604" s="21">
        <f t="shared" si="1081"/>
        <v>0</v>
      </c>
      <c r="AD1604" s="21">
        <f t="shared" si="1081"/>
        <v>0</v>
      </c>
      <c r="AE1604" s="21">
        <f t="shared" si="1081"/>
        <v>0</v>
      </c>
      <c r="AF1604" s="52"/>
      <c r="AG1604" s="21"/>
      <c r="AH1604" s="21"/>
      <c r="AI1604" s="21"/>
      <c r="AJ1604" s="21"/>
    </row>
    <row r="1605" spans="2:36" x14ac:dyDescent="0.2">
      <c r="C1605" s="60">
        <v>16</v>
      </c>
      <c r="E1605" s="21">
        <v>0</v>
      </c>
      <c r="F1605" s="21">
        <f>(C1605=$E$1583)*SUM($E$1587:E1605)+(C1605&gt;$E$1583)*E1605</f>
        <v>0</v>
      </c>
      <c r="G1605" s="1">
        <f t="shared" si="1080"/>
        <v>19</v>
      </c>
      <c r="I1605" s="21">
        <f t="shared" si="1083"/>
        <v>0</v>
      </c>
      <c r="J1605" s="21">
        <f t="shared" si="1083"/>
        <v>0</v>
      </c>
      <c r="K1605" s="21">
        <f t="shared" si="1083"/>
        <v>0</v>
      </c>
      <c r="L1605" s="21">
        <f t="shared" si="1083"/>
        <v>0</v>
      </c>
      <c r="M1605" s="21">
        <f t="shared" si="1083"/>
        <v>0</v>
      </c>
      <c r="N1605" s="21">
        <f t="shared" si="1083"/>
        <v>0</v>
      </c>
      <c r="O1605" s="21">
        <f t="shared" si="1083"/>
        <v>0</v>
      </c>
      <c r="P1605" s="21">
        <f t="shared" si="1083"/>
        <v>0</v>
      </c>
      <c r="Q1605" s="21">
        <f t="shared" si="1083"/>
        <v>0</v>
      </c>
      <c r="R1605" s="21">
        <f t="shared" si="1083"/>
        <v>0</v>
      </c>
      <c r="S1605" s="21">
        <f t="shared" si="1083"/>
        <v>0</v>
      </c>
      <c r="T1605" s="21">
        <f t="shared" si="1083"/>
        <v>0</v>
      </c>
      <c r="U1605" s="21">
        <f t="shared" si="1083"/>
        <v>0</v>
      </c>
      <c r="V1605" s="21">
        <f t="shared" si="1083"/>
        <v>0</v>
      </c>
      <c r="W1605" s="21">
        <f t="shared" si="1083"/>
        <v>0</v>
      </c>
      <c r="X1605" s="21">
        <f t="shared" si="1083"/>
        <v>0</v>
      </c>
      <c r="Y1605" s="21">
        <f t="shared" si="1083"/>
        <v>0</v>
      </c>
      <c r="Z1605" s="21">
        <f t="shared" si="1081"/>
        <v>0</v>
      </c>
      <c r="AA1605" s="21">
        <f t="shared" si="1081"/>
        <v>0</v>
      </c>
      <c r="AB1605" s="21">
        <f t="shared" si="1081"/>
        <v>0</v>
      </c>
      <c r="AC1605" s="21">
        <f t="shared" si="1081"/>
        <v>0</v>
      </c>
      <c r="AD1605" s="21">
        <f t="shared" si="1081"/>
        <v>0</v>
      </c>
      <c r="AE1605" s="21">
        <f t="shared" si="1081"/>
        <v>0</v>
      </c>
      <c r="AF1605" s="52"/>
      <c r="AG1605" s="21"/>
      <c r="AH1605" s="21"/>
      <c r="AI1605" s="21"/>
      <c r="AJ1605" s="21"/>
    </row>
    <row r="1606" spans="2:36" x14ac:dyDescent="0.2">
      <c r="C1606" s="60">
        <v>17</v>
      </c>
      <c r="E1606" s="21">
        <v>0</v>
      </c>
      <c r="F1606" s="21">
        <f>(C1606=$E$1583)*SUM($E$1587:E1606)+(C1606&gt;$E$1583)*E1606</f>
        <v>0</v>
      </c>
      <c r="G1606" s="1">
        <f t="shared" si="1080"/>
        <v>20</v>
      </c>
      <c r="I1606" s="21">
        <f t="shared" si="1083"/>
        <v>0</v>
      </c>
      <c r="J1606" s="21">
        <f t="shared" si="1083"/>
        <v>0</v>
      </c>
      <c r="K1606" s="21">
        <f t="shared" si="1083"/>
        <v>0</v>
      </c>
      <c r="L1606" s="21">
        <f t="shared" si="1083"/>
        <v>0</v>
      </c>
      <c r="M1606" s="21">
        <f t="shared" si="1083"/>
        <v>0</v>
      </c>
      <c r="N1606" s="21">
        <f t="shared" si="1083"/>
        <v>0</v>
      </c>
      <c r="O1606" s="21">
        <f t="shared" si="1083"/>
        <v>0</v>
      </c>
      <c r="P1606" s="21">
        <f t="shared" si="1083"/>
        <v>0</v>
      </c>
      <c r="Q1606" s="21">
        <f t="shared" si="1083"/>
        <v>0</v>
      </c>
      <c r="R1606" s="21">
        <f t="shared" si="1083"/>
        <v>0</v>
      </c>
      <c r="S1606" s="21">
        <f t="shared" si="1083"/>
        <v>0</v>
      </c>
      <c r="T1606" s="21">
        <f t="shared" si="1083"/>
        <v>0</v>
      </c>
      <c r="U1606" s="21">
        <f t="shared" si="1083"/>
        <v>0</v>
      </c>
      <c r="V1606" s="21">
        <f t="shared" si="1083"/>
        <v>0</v>
      </c>
      <c r="W1606" s="21">
        <f t="shared" si="1083"/>
        <v>0</v>
      </c>
      <c r="X1606" s="21">
        <f t="shared" si="1083"/>
        <v>0</v>
      </c>
      <c r="Y1606" s="21">
        <f t="shared" si="1083"/>
        <v>0</v>
      </c>
      <c r="Z1606" s="21">
        <f t="shared" si="1081"/>
        <v>0</v>
      </c>
      <c r="AA1606" s="21">
        <f t="shared" si="1081"/>
        <v>0</v>
      </c>
      <c r="AB1606" s="21">
        <f t="shared" si="1081"/>
        <v>0</v>
      </c>
      <c r="AC1606" s="21">
        <f t="shared" si="1081"/>
        <v>0</v>
      </c>
      <c r="AD1606" s="21">
        <f t="shared" si="1081"/>
        <v>0</v>
      </c>
      <c r="AE1606" s="21">
        <f t="shared" si="1081"/>
        <v>0</v>
      </c>
      <c r="AF1606" s="52"/>
      <c r="AG1606" s="21"/>
      <c r="AH1606" s="21"/>
      <c r="AI1606" s="21"/>
      <c r="AJ1606" s="21"/>
    </row>
    <row r="1607" spans="2:36" x14ac:dyDescent="0.2">
      <c r="C1607" s="60">
        <v>18</v>
      </c>
      <c r="E1607" s="21">
        <v>0</v>
      </c>
      <c r="F1607" s="21">
        <f>(C1607=$E$1583)*SUM($E$1587:E1607)+(C1607&gt;$E$1583)*E1607</f>
        <v>0</v>
      </c>
      <c r="G1607" s="1">
        <f t="shared" si="1080"/>
        <v>21</v>
      </c>
      <c r="I1607" s="21">
        <f t="shared" si="1083"/>
        <v>0</v>
      </c>
      <c r="J1607" s="21">
        <f t="shared" si="1083"/>
        <v>0</v>
      </c>
      <c r="K1607" s="21">
        <f t="shared" si="1083"/>
        <v>0</v>
      </c>
      <c r="L1607" s="21">
        <f t="shared" si="1083"/>
        <v>0</v>
      </c>
      <c r="M1607" s="21">
        <f t="shared" si="1083"/>
        <v>0</v>
      </c>
      <c r="N1607" s="21">
        <f t="shared" si="1083"/>
        <v>0</v>
      </c>
      <c r="O1607" s="21">
        <f t="shared" si="1083"/>
        <v>0</v>
      </c>
      <c r="P1607" s="21">
        <f t="shared" si="1083"/>
        <v>0</v>
      </c>
      <c r="Q1607" s="21">
        <f t="shared" si="1083"/>
        <v>0</v>
      </c>
      <c r="R1607" s="21">
        <f t="shared" si="1083"/>
        <v>0</v>
      </c>
      <c r="S1607" s="21">
        <f t="shared" si="1083"/>
        <v>0</v>
      </c>
      <c r="T1607" s="21">
        <f t="shared" si="1083"/>
        <v>0</v>
      </c>
      <c r="U1607" s="21">
        <f t="shared" si="1083"/>
        <v>0</v>
      </c>
      <c r="V1607" s="21">
        <f t="shared" si="1083"/>
        <v>0</v>
      </c>
      <c r="W1607" s="21">
        <f t="shared" si="1083"/>
        <v>0</v>
      </c>
      <c r="X1607" s="21">
        <f t="shared" si="1083"/>
        <v>0</v>
      </c>
      <c r="Y1607" s="21">
        <f t="shared" si="1083"/>
        <v>0</v>
      </c>
      <c r="Z1607" s="21">
        <f t="shared" si="1081"/>
        <v>0</v>
      </c>
      <c r="AA1607" s="21">
        <f t="shared" si="1081"/>
        <v>0</v>
      </c>
      <c r="AB1607" s="21">
        <f t="shared" si="1081"/>
        <v>0</v>
      </c>
      <c r="AC1607" s="21">
        <f t="shared" si="1081"/>
        <v>0</v>
      </c>
      <c r="AD1607" s="21">
        <f t="shared" si="1081"/>
        <v>0</v>
      </c>
      <c r="AE1607" s="21">
        <f t="shared" si="1081"/>
        <v>0</v>
      </c>
      <c r="AF1607" s="52"/>
      <c r="AG1607" s="21"/>
      <c r="AH1607" s="21"/>
      <c r="AI1607" s="21"/>
      <c r="AJ1607" s="21"/>
    </row>
    <row r="1608" spans="2:36" x14ac:dyDescent="0.2">
      <c r="C1608" s="60">
        <v>19</v>
      </c>
      <c r="E1608" s="21">
        <v>0</v>
      </c>
      <c r="F1608" s="21">
        <f>(C1608=$E$1583)*SUM($E$1587:E1608)+(C1608&gt;$E$1583)*E1608</f>
        <v>0</v>
      </c>
      <c r="G1608" s="1">
        <f t="shared" si="1080"/>
        <v>22</v>
      </c>
      <c r="I1608" s="21">
        <f t="shared" si="1083"/>
        <v>0</v>
      </c>
      <c r="J1608" s="21">
        <f t="shared" si="1083"/>
        <v>0</v>
      </c>
      <c r="K1608" s="21">
        <f t="shared" si="1083"/>
        <v>0</v>
      </c>
      <c r="L1608" s="21">
        <f t="shared" si="1083"/>
        <v>0</v>
      </c>
      <c r="M1608" s="21">
        <f t="shared" si="1083"/>
        <v>0</v>
      </c>
      <c r="N1608" s="21">
        <f t="shared" si="1083"/>
        <v>0</v>
      </c>
      <c r="O1608" s="21">
        <f t="shared" si="1083"/>
        <v>0</v>
      </c>
      <c r="P1608" s="21">
        <f t="shared" si="1083"/>
        <v>0</v>
      </c>
      <c r="Q1608" s="21">
        <f t="shared" si="1083"/>
        <v>0</v>
      </c>
      <c r="R1608" s="21">
        <f t="shared" si="1083"/>
        <v>0</v>
      </c>
      <c r="S1608" s="21">
        <f t="shared" si="1083"/>
        <v>0</v>
      </c>
      <c r="T1608" s="21">
        <f t="shared" si="1083"/>
        <v>0</v>
      </c>
      <c r="U1608" s="21">
        <f t="shared" si="1083"/>
        <v>0</v>
      </c>
      <c r="V1608" s="21">
        <f t="shared" si="1083"/>
        <v>0</v>
      </c>
      <c r="W1608" s="21">
        <f t="shared" si="1083"/>
        <v>0</v>
      </c>
      <c r="X1608" s="21">
        <f t="shared" si="1083"/>
        <v>0</v>
      </c>
      <c r="Y1608" s="21">
        <f t="shared" si="1083"/>
        <v>0</v>
      </c>
      <c r="Z1608" s="21">
        <f t="shared" si="1081"/>
        <v>0</v>
      </c>
      <c r="AA1608" s="21">
        <f t="shared" si="1081"/>
        <v>0</v>
      </c>
      <c r="AB1608" s="21">
        <f t="shared" si="1081"/>
        <v>0</v>
      </c>
      <c r="AC1608" s="21">
        <f t="shared" si="1081"/>
        <v>0</v>
      </c>
      <c r="AD1608" s="21">
        <f t="shared" si="1081"/>
        <v>0</v>
      </c>
      <c r="AE1608" s="21">
        <f t="shared" si="1081"/>
        <v>0</v>
      </c>
      <c r="AF1608" s="52"/>
      <c r="AG1608" s="21"/>
      <c r="AH1608" s="21"/>
      <c r="AI1608" s="21"/>
      <c r="AJ1608" s="21"/>
    </row>
    <row r="1609" spans="2:36" x14ac:dyDescent="0.2">
      <c r="C1609" s="60">
        <v>20</v>
      </c>
      <c r="E1609" s="21">
        <v>0</v>
      </c>
      <c r="F1609" s="21">
        <f>(C1609=$E$1583)*SUM($E$1587:E1609)+(C1609&gt;$E$1583)*E1609</f>
        <v>0</v>
      </c>
      <c r="G1609" s="1">
        <f>G1608+1</f>
        <v>23</v>
      </c>
      <c r="I1609" s="21">
        <f>AND(I$1585&gt;=$G1609,I$1585&lt;$G1609+$E$1582)*($F1609/$E$1582)</f>
        <v>0</v>
      </c>
      <c r="J1609" s="21">
        <f t="shared" si="1083"/>
        <v>0</v>
      </c>
      <c r="K1609" s="21">
        <f t="shared" si="1083"/>
        <v>0</v>
      </c>
      <c r="L1609" s="21">
        <f t="shared" si="1083"/>
        <v>0</v>
      </c>
      <c r="M1609" s="21">
        <f t="shared" si="1083"/>
        <v>0</v>
      </c>
      <c r="N1609" s="21">
        <f t="shared" si="1083"/>
        <v>0</v>
      </c>
      <c r="O1609" s="21">
        <f t="shared" si="1083"/>
        <v>0</v>
      </c>
      <c r="P1609" s="21">
        <f t="shared" si="1083"/>
        <v>0</v>
      </c>
      <c r="Q1609" s="21">
        <f t="shared" si="1083"/>
        <v>0</v>
      </c>
      <c r="R1609" s="21">
        <f t="shared" si="1083"/>
        <v>0</v>
      </c>
      <c r="S1609" s="21">
        <f t="shared" si="1083"/>
        <v>0</v>
      </c>
      <c r="T1609" s="21">
        <f t="shared" si="1083"/>
        <v>0</v>
      </c>
      <c r="U1609" s="21">
        <f t="shared" si="1083"/>
        <v>0</v>
      </c>
      <c r="V1609" s="21">
        <f t="shared" si="1083"/>
        <v>0</v>
      </c>
      <c r="W1609" s="21">
        <f t="shared" si="1083"/>
        <v>0</v>
      </c>
      <c r="X1609" s="21">
        <f t="shared" si="1083"/>
        <v>0</v>
      </c>
      <c r="Y1609" s="21">
        <f t="shared" si="1083"/>
        <v>0</v>
      </c>
      <c r="Z1609" s="21">
        <f t="shared" si="1081"/>
        <v>0</v>
      </c>
      <c r="AA1609" s="21">
        <f t="shared" si="1081"/>
        <v>0</v>
      </c>
      <c r="AB1609" s="21">
        <f t="shared" si="1081"/>
        <v>0</v>
      </c>
      <c r="AC1609" s="21">
        <f t="shared" si="1081"/>
        <v>0</v>
      </c>
      <c r="AD1609" s="21">
        <f t="shared" si="1081"/>
        <v>0</v>
      </c>
      <c r="AE1609" s="21">
        <f t="shared" si="1081"/>
        <v>0</v>
      </c>
      <c r="AF1609" s="52"/>
      <c r="AG1609" s="21"/>
      <c r="AH1609" s="21"/>
      <c r="AI1609" s="21"/>
      <c r="AJ1609" s="21"/>
    </row>
    <row r="1610" spans="2:36" x14ac:dyDescent="0.2">
      <c r="C1610" s="87" t="s">
        <v>45</v>
      </c>
      <c r="D1610" s="9"/>
      <c r="E1610" s="44"/>
      <c r="F1610" s="44">
        <f>SUM(F1587:F1609)</f>
        <v>12.168536276993446</v>
      </c>
      <c r="G1610" s="9"/>
      <c r="H1610" s="9"/>
      <c r="I1610" s="44">
        <f>SUM(I1587:I1609)</f>
        <v>0</v>
      </c>
      <c r="J1610" s="44">
        <f t="shared" ref="J1610:AE1610" si="1084">SUM(J1587:J1609)</f>
        <v>0</v>
      </c>
      <c r="K1610" s="44">
        <f t="shared" si="1084"/>
        <v>1.5210670346241808</v>
      </c>
      <c r="L1610" s="44">
        <f t="shared" si="1084"/>
        <v>1.5210670346241808</v>
      </c>
      <c r="M1610" s="44">
        <f t="shared" si="1084"/>
        <v>1.5210670346241808</v>
      </c>
      <c r="N1610" s="44">
        <f t="shared" si="1084"/>
        <v>1.5210670346241808</v>
      </c>
      <c r="O1610" s="44">
        <f t="shared" si="1084"/>
        <v>1.5210670346241808</v>
      </c>
      <c r="P1610" s="44">
        <f t="shared" si="1084"/>
        <v>1.5210670346241808</v>
      </c>
      <c r="Q1610" s="44">
        <f t="shared" si="1084"/>
        <v>1.5210670346241808</v>
      </c>
      <c r="R1610" s="44">
        <f t="shared" si="1084"/>
        <v>1.5210670346241808</v>
      </c>
      <c r="S1610" s="44">
        <f t="shared" si="1084"/>
        <v>0</v>
      </c>
      <c r="T1610" s="44">
        <f t="shared" si="1084"/>
        <v>0</v>
      </c>
      <c r="U1610" s="44">
        <f t="shared" si="1084"/>
        <v>0</v>
      </c>
      <c r="V1610" s="44">
        <f t="shared" si="1084"/>
        <v>0</v>
      </c>
      <c r="W1610" s="44">
        <f t="shared" si="1084"/>
        <v>0</v>
      </c>
      <c r="X1610" s="44">
        <f t="shared" si="1084"/>
        <v>0</v>
      </c>
      <c r="Y1610" s="44">
        <f t="shared" si="1084"/>
        <v>0</v>
      </c>
      <c r="Z1610" s="44">
        <f t="shared" si="1084"/>
        <v>0</v>
      </c>
      <c r="AA1610" s="44">
        <f t="shared" si="1084"/>
        <v>0</v>
      </c>
      <c r="AB1610" s="44">
        <f t="shared" si="1084"/>
        <v>0</v>
      </c>
      <c r="AC1610" s="44">
        <f t="shared" si="1084"/>
        <v>0</v>
      </c>
      <c r="AD1610" s="44">
        <f t="shared" si="1084"/>
        <v>0</v>
      </c>
      <c r="AE1610" s="44">
        <f t="shared" si="1084"/>
        <v>0</v>
      </c>
      <c r="AF1610" s="53"/>
      <c r="AG1610" s="44"/>
      <c r="AH1610" s="44"/>
      <c r="AI1610" s="44"/>
      <c r="AJ1610" s="44"/>
    </row>
    <row r="1612" spans="2:36" x14ac:dyDescent="0.2">
      <c r="C1612" s="79"/>
      <c r="D1612" s="79"/>
      <c r="E1612" s="79"/>
      <c r="F1612" s="79"/>
      <c r="G1612" s="80"/>
      <c r="H1612" s="79"/>
      <c r="I1612" s="80"/>
      <c r="J1612" s="80"/>
      <c r="K1612" s="80"/>
      <c r="L1612" s="80"/>
      <c r="M1612" s="80"/>
      <c r="N1612" s="80"/>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row>
    <row r="1614" spans="2:36" x14ac:dyDescent="0.2">
      <c r="B1614" s="10">
        <f>B1519+0.1</f>
        <v>14.499999999999998</v>
      </c>
      <c r="C1614" s="9" t="s">
        <v>757</v>
      </c>
    </row>
    <row r="1616" spans="2:36" x14ac:dyDescent="0.2">
      <c r="C1616" s="1" t="s">
        <v>758</v>
      </c>
      <c r="F1616" s="1" t="s">
        <v>55</v>
      </c>
      <c r="G1616" s="21">
        <f>SUM(I1616:AE1616)</f>
        <v>465.57598916478935</v>
      </c>
      <c r="I1616" s="21">
        <f t="shared" ref="I1616:AE1616" si="1085">IF($D$873=1,I873,I1616)</f>
        <v>46.557598916478945</v>
      </c>
      <c r="J1616" s="21">
        <f t="shared" si="1085"/>
        <v>267.7061937697539</v>
      </c>
      <c r="K1616" s="21">
        <f t="shared" si="1085"/>
        <v>151.31219647855653</v>
      </c>
      <c r="L1616" s="21">
        <f t="shared" si="1085"/>
        <v>0</v>
      </c>
      <c r="M1616" s="21">
        <f t="shared" si="1085"/>
        <v>0</v>
      </c>
      <c r="N1616" s="21">
        <f t="shared" si="1085"/>
        <v>0</v>
      </c>
      <c r="O1616" s="21">
        <f t="shared" si="1085"/>
        <v>0</v>
      </c>
      <c r="P1616" s="21">
        <f t="shared" si="1085"/>
        <v>0</v>
      </c>
      <c r="Q1616" s="21">
        <f t="shared" si="1085"/>
        <v>0</v>
      </c>
      <c r="R1616" s="21">
        <f t="shared" si="1085"/>
        <v>0</v>
      </c>
      <c r="S1616" s="21">
        <f t="shared" si="1085"/>
        <v>0</v>
      </c>
      <c r="T1616" s="21">
        <f t="shared" si="1085"/>
        <v>0</v>
      </c>
      <c r="U1616" s="21">
        <f t="shared" si="1085"/>
        <v>0</v>
      </c>
      <c r="V1616" s="21">
        <f t="shared" si="1085"/>
        <v>0</v>
      </c>
      <c r="W1616" s="21">
        <f t="shared" si="1085"/>
        <v>0</v>
      </c>
      <c r="X1616" s="21">
        <f t="shared" si="1085"/>
        <v>0</v>
      </c>
      <c r="Y1616" s="21">
        <f t="shared" si="1085"/>
        <v>0</v>
      </c>
      <c r="Z1616" s="21">
        <f t="shared" si="1085"/>
        <v>0</v>
      </c>
      <c r="AA1616" s="21">
        <f t="shared" si="1085"/>
        <v>0</v>
      </c>
      <c r="AB1616" s="21">
        <f t="shared" si="1085"/>
        <v>0</v>
      </c>
      <c r="AC1616" s="21">
        <f t="shared" si="1085"/>
        <v>0</v>
      </c>
      <c r="AD1616" s="21">
        <f t="shared" si="1085"/>
        <v>0</v>
      </c>
      <c r="AE1616" s="21">
        <f t="shared" si="1085"/>
        <v>0</v>
      </c>
    </row>
    <row r="1617" spans="2:31" x14ac:dyDescent="0.2">
      <c r="C1617" s="1" t="s">
        <v>759</v>
      </c>
      <c r="F1617" s="1" t="s">
        <v>55</v>
      </c>
      <c r="G1617" s="21">
        <f>SUM(I1617:AE1617)</f>
        <v>465.57598916478935</v>
      </c>
      <c r="I1617" s="21">
        <f t="shared" ref="I1617:AE1617" si="1086">I873</f>
        <v>46.557598916478945</v>
      </c>
      <c r="J1617" s="21">
        <f t="shared" si="1086"/>
        <v>267.7061937697539</v>
      </c>
      <c r="K1617" s="21">
        <f t="shared" si="1086"/>
        <v>151.31219647855653</v>
      </c>
      <c r="L1617" s="21">
        <f t="shared" si="1086"/>
        <v>0</v>
      </c>
      <c r="M1617" s="21">
        <f t="shared" si="1086"/>
        <v>0</v>
      </c>
      <c r="N1617" s="21">
        <f t="shared" si="1086"/>
        <v>0</v>
      </c>
      <c r="O1617" s="21">
        <f t="shared" si="1086"/>
        <v>0</v>
      </c>
      <c r="P1617" s="21">
        <f t="shared" si="1086"/>
        <v>0</v>
      </c>
      <c r="Q1617" s="21">
        <f t="shared" si="1086"/>
        <v>0</v>
      </c>
      <c r="R1617" s="21">
        <f t="shared" si="1086"/>
        <v>0</v>
      </c>
      <c r="S1617" s="21">
        <f t="shared" si="1086"/>
        <v>0</v>
      </c>
      <c r="T1617" s="21">
        <f t="shared" si="1086"/>
        <v>0</v>
      </c>
      <c r="U1617" s="21">
        <f t="shared" si="1086"/>
        <v>0</v>
      </c>
      <c r="V1617" s="21">
        <f t="shared" si="1086"/>
        <v>0</v>
      </c>
      <c r="W1617" s="21">
        <f t="shared" si="1086"/>
        <v>0</v>
      </c>
      <c r="X1617" s="21">
        <f t="shared" si="1086"/>
        <v>0</v>
      </c>
      <c r="Y1617" s="21">
        <f t="shared" si="1086"/>
        <v>0</v>
      </c>
      <c r="Z1617" s="21">
        <f t="shared" si="1086"/>
        <v>0</v>
      </c>
      <c r="AA1617" s="21">
        <f t="shared" si="1086"/>
        <v>0</v>
      </c>
      <c r="AB1617" s="21">
        <f t="shared" si="1086"/>
        <v>0</v>
      </c>
      <c r="AC1617" s="21">
        <f t="shared" si="1086"/>
        <v>0</v>
      </c>
      <c r="AD1617" s="21">
        <f t="shared" si="1086"/>
        <v>0</v>
      </c>
      <c r="AE1617" s="21">
        <f t="shared" si="1086"/>
        <v>0</v>
      </c>
    </row>
    <row r="1618" spans="2:31" x14ac:dyDescent="0.2">
      <c r="C1618" s="1" t="s">
        <v>760</v>
      </c>
      <c r="F1618" s="1" t="s">
        <v>55</v>
      </c>
      <c r="G1618" s="21">
        <f>SUM(I1618:AE1618)</f>
        <v>0</v>
      </c>
      <c r="I1618" s="21">
        <f>I1617-I1616</f>
        <v>0</v>
      </c>
      <c r="J1618" s="21">
        <f t="shared" ref="J1618:AE1618" si="1087">J1617-J1616</f>
        <v>0</v>
      </c>
      <c r="K1618" s="21">
        <f t="shared" si="1087"/>
        <v>0</v>
      </c>
      <c r="L1618" s="21">
        <f t="shared" si="1087"/>
        <v>0</v>
      </c>
      <c r="M1618" s="21">
        <f t="shared" si="1087"/>
        <v>0</v>
      </c>
      <c r="N1618" s="21">
        <f t="shared" si="1087"/>
        <v>0</v>
      </c>
      <c r="O1618" s="21">
        <f t="shared" si="1087"/>
        <v>0</v>
      </c>
      <c r="P1618" s="21">
        <f t="shared" si="1087"/>
        <v>0</v>
      </c>
      <c r="Q1618" s="21">
        <f t="shared" si="1087"/>
        <v>0</v>
      </c>
      <c r="R1618" s="21">
        <f t="shared" si="1087"/>
        <v>0</v>
      </c>
      <c r="S1618" s="21">
        <f t="shared" si="1087"/>
        <v>0</v>
      </c>
      <c r="T1618" s="21">
        <f t="shared" si="1087"/>
        <v>0</v>
      </c>
      <c r="U1618" s="21">
        <f t="shared" si="1087"/>
        <v>0</v>
      </c>
      <c r="V1618" s="21">
        <f t="shared" si="1087"/>
        <v>0</v>
      </c>
      <c r="W1618" s="21">
        <f t="shared" si="1087"/>
        <v>0</v>
      </c>
      <c r="X1618" s="21">
        <f t="shared" si="1087"/>
        <v>0</v>
      </c>
      <c r="Y1618" s="21">
        <f t="shared" si="1087"/>
        <v>0</v>
      </c>
      <c r="Z1618" s="21">
        <f t="shared" si="1087"/>
        <v>0</v>
      </c>
      <c r="AA1618" s="21">
        <f t="shared" si="1087"/>
        <v>0</v>
      </c>
      <c r="AB1618" s="21">
        <f t="shared" si="1087"/>
        <v>0</v>
      </c>
      <c r="AC1618" s="21">
        <f t="shared" si="1087"/>
        <v>0</v>
      </c>
      <c r="AD1618" s="21">
        <f t="shared" si="1087"/>
        <v>0</v>
      </c>
      <c r="AE1618" s="21">
        <f t="shared" si="1087"/>
        <v>0</v>
      </c>
    </row>
    <row r="1621" spans="2:31" x14ac:dyDescent="0.2">
      <c r="B1621" s="24">
        <f>B1614+0.01</f>
        <v>14.509999999999998</v>
      </c>
      <c r="C1621" s="9" t="s">
        <v>763</v>
      </c>
    </row>
    <row r="1622" spans="2:31" x14ac:dyDescent="0.2">
      <c r="C1622" s="1" t="s">
        <v>764</v>
      </c>
      <c r="E1622" s="99">
        <v>0.05</v>
      </c>
      <c r="F1622" s="1" t="s">
        <v>55</v>
      </c>
    </row>
    <row r="1623" spans="2:31" x14ac:dyDescent="0.2">
      <c r="C1623" s="1" t="s">
        <v>765</v>
      </c>
      <c r="E1623" s="453">
        <f>E1622*G1616</f>
        <v>23.278799458239469</v>
      </c>
      <c r="F1623" s="1" t="s">
        <v>55</v>
      </c>
    </row>
    <row r="1624" spans="2:31" x14ac:dyDescent="0.2">
      <c r="E1624" s="455"/>
    </row>
    <row r="1625" spans="2:31" x14ac:dyDescent="0.2">
      <c r="C1625" s="63" t="s">
        <v>766</v>
      </c>
      <c r="E1625" s="455"/>
    </row>
    <row r="1626" spans="2:31" x14ac:dyDescent="0.2">
      <c r="C1626" s="1" t="s">
        <v>230</v>
      </c>
      <c r="E1626" s="454">
        <f>IFERROR(E1630/E1632,0)</f>
        <v>0</v>
      </c>
      <c r="F1626" s="1" t="s">
        <v>8</v>
      </c>
      <c r="I1626" s="21"/>
    </row>
    <row r="1627" spans="2:31" x14ac:dyDescent="0.2">
      <c r="C1627" s="1" t="s">
        <v>295</v>
      </c>
      <c r="E1627" s="454">
        <f>IFERROR(E1631/E1632,0)</f>
        <v>0</v>
      </c>
      <c r="F1627" s="1" t="s">
        <v>8</v>
      </c>
    </row>
    <row r="1629" spans="2:31" x14ac:dyDescent="0.2">
      <c r="C1629" s="63" t="s">
        <v>762</v>
      </c>
    </row>
    <row r="1630" spans="2:31" x14ac:dyDescent="0.2">
      <c r="C1630" s="1" t="s">
        <v>230</v>
      </c>
      <c r="D1630" s="455"/>
      <c r="E1630" s="453">
        <f>MAX(MIN(E1623,G1618*G1782),0)</f>
        <v>0</v>
      </c>
      <c r="F1630" s="1" t="s">
        <v>55</v>
      </c>
    </row>
    <row r="1631" spans="2:31" x14ac:dyDescent="0.2">
      <c r="C1631" s="1" t="s">
        <v>295</v>
      </c>
      <c r="D1631" s="455"/>
      <c r="E1631" s="453">
        <f>MAX(G1618-E1630,0)</f>
        <v>0</v>
      </c>
      <c r="F1631" s="1" t="s">
        <v>55</v>
      </c>
    </row>
    <row r="1632" spans="2:31" x14ac:dyDescent="0.2">
      <c r="C1632" s="1" t="s">
        <v>45</v>
      </c>
      <c r="E1632" s="456">
        <f>SUM(E1630:E1631)</f>
        <v>0</v>
      </c>
      <c r="F1632" s="1" t="s">
        <v>55</v>
      </c>
    </row>
    <row r="1634" spans="2:31" x14ac:dyDescent="0.2">
      <c r="B1634" s="24">
        <f>B1621+0.01</f>
        <v>14.519999999999998</v>
      </c>
      <c r="C1634" s="9" t="s">
        <v>767</v>
      </c>
    </row>
    <row r="1635" spans="2:31" x14ac:dyDescent="0.2">
      <c r="C1635" s="1" t="s">
        <v>191</v>
      </c>
      <c r="E1635" s="453">
        <f>E1525</f>
        <v>11</v>
      </c>
    </row>
    <row r="1636" spans="2:31" x14ac:dyDescent="0.2">
      <c r="C1636" s="1" t="s">
        <v>205</v>
      </c>
      <c r="E1636" s="122">
        <f>E1528</f>
        <v>9.5</v>
      </c>
      <c r="I1636" s="21">
        <f t="shared" ref="I1636:AE1636" si="1088">I1528</f>
        <v>0</v>
      </c>
      <c r="J1636" s="21">
        <f t="shared" si="1088"/>
        <v>0</v>
      </c>
      <c r="K1636" s="21">
        <f t="shared" si="1088"/>
        <v>1</v>
      </c>
      <c r="L1636" s="21">
        <f t="shared" si="1088"/>
        <v>1</v>
      </c>
      <c r="M1636" s="21">
        <f t="shared" si="1088"/>
        <v>1</v>
      </c>
      <c r="N1636" s="21">
        <f t="shared" si="1088"/>
        <v>1</v>
      </c>
      <c r="O1636" s="21">
        <f t="shared" si="1088"/>
        <v>1</v>
      </c>
      <c r="P1636" s="21">
        <f t="shared" si="1088"/>
        <v>1</v>
      </c>
      <c r="Q1636" s="21">
        <f t="shared" si="1088"/>
        <v>1</v>
      </c>
      <c r="R1636" s="21">
        <f t="shared" si="1088"/>
        <v>1</v>
      </c>
      <c r="S1636" s="21">
        <f t="shared" si="1088"/>
        <v>1</v>
      </c>
      <c r="T1636" s="21">
        <f t="shared" si="1088"/>
        <v>1</v>
      </c>
      <c r="U1636" s="21">
        <f t="shared" si="1088"/>
        <v>0</v>
      </c>
      <c r="V1636" s="21">
        <f t="shared" si="1088"/>
        <v>0</v>
      </c>
      <c r="W1636" s="21">
        <f t="shared" si="1088"/>
        <v>0</v>
      </c>
      <c r="X1636" s="21">
        <f t="shared" si="1088"/>
        <v>0</v>
      </c>
      <c r="Y1636" s="21">
        <f t="shared" si="1088"/>
        <v>0</v>
      </c>
      <c r="Z1636" s="21">
        <f t="shared" si="1088"/>
        <v>0</v>
      </c>
      <c r="AA1636" s="21">
        <f t="shared" si="1088"/>
        <v>0</v>
      </c>
      <c r="AB1636" s="21">
        <f t="shared" si="1088"/>
        <v>0</v>
      </c>
      <c r="AC1636" s="21">
        <f t="shared" si="1088"/>
        <v>0</v>
      </c>
      <c r="AD1636" s="21">
        <f t="shared" si="1088"/>
        <v>0</v>
      </c>
      <c r="AE1636" s="21">
        <f t="shared" si="1088"/>
        <v>0</v>
      </c>
    </row>
    <row r="1637" spans="2:31" x14ac:dyDescent="0.2">
      <c r="C1637" s="63"/>
    </row>
    <row r="1638" spans="2:31" x14ac:dyDescent="0.2">
      <c r="C1638" s="1" t="s">
        <v>125</v>
      </c>
      <c r="F1638" s="1" t="s">
        <v>55</v>
      </c>
      <c r="I1638" s="106">
        <v>0</v>
      </c>
      <c r="J1638" s="21">
        <f>I1641</f>
        <v>0</v>
      </c>
      <c r="K1638" s="21">
        <f t="shared" ref="K1638:AE1638" si="1089">J1641</f>
        <v>0</v>
      </c>
      <c r="L1638" s="21">
        <f t="shared" si="1089"/>
        <v>0</v>
      </c>
      <c r="M1638" s="21">
        <f t="shared" si="1089"/>
        <v>0</v>
      </c>
      <c r="N1638" s="21">
        <f t="shared" si="1089"/>
        <v>0</v>
      </c>
      <c r="O1638" s="21">
        <f t="shared" si="1089"/>
        <v>0</v>
      </c>
      <c r="P1638" s="21">
        <f t="shared" si="1089"/>
        <v>0</v>
      </c>
      <c r="Q1638" s="21">
        <f t="shared" si="1089"/>
        <v>0</v>
      </c>
      <c r="R1638" s="21">
        <f t="shared" si="1089"/>
        <v>0</v>
      </c>
      <c r="S1638" s="21">
        <f t="shared" si="1089"/>
        <v>0</v>
      </c>
      <c r="T1638" s="21">
        <f t="shared" si="1089"/>
        <v>0</v>
      </c>
      <c r="U1638" s="21">
        <f t="shared" si="1089"/>
        <v>0</v>
      </c>
      <c r="V1638" s="21">
        <f t="shared" si="1089"/>
        <v>0</v>
      </c>
      <c r="W1638" s="21">
        <f t="shared" si="1089"/>
        <v>0</v>
      </c>
      <c r="X1638" s="21">
        <f t="shared" si="1089"/>
        <v>0</v>
      </c>
      <c r="Y1638" s="21">
        <f t="shared" si="1089"/>
        <v>0</v>
      </c>
      <c r="Z1638" s="21">
        <f>Y1641</f>
        <v>0</v>
      </c>
      <c r="AA1638" s="21">
        <f>Z1641</f>
        <v>0</v>
      </c>
      <c r="AB1638" s="21">
        <f>AA1641</f>
        <v>0</v>
      </c>
      <c r="AC1638" s="21">
        <f t="shared" si="1089"/>
        <v>0</v>
      </c>
      <c r="AD1638" s="21">
        <f t="shared" si="1089"/>
        <v>0</v>
      </c>
      <c r="AE1638" s="21">
        <f t="shared" si="1089"/>
        <v>0</v>
      </c>
    </row>
    <row r="1639" spans="2:31" x14ac:dyDescent="0.2">
      <c r="C1639" s="1" t="s">
        <v>207</v>
      </c>
      <c r="F1639" s="1" t="s">
        <v>55</v>
      </c>
      <c r="G1639" s="21">
        <f>SUM(I1639:AE1639)</f>
        <v>0</v>
      </c>
      <c r="I1639" s="41">
        <f>SUMIF('Quarterly Plant Model'!$I$2:$V$2,'Plant model'!I$2,'Quarterly Plant Model'!$I1639:$V1639)</f>
        <v>0</v>
      </c>
      <c r="J1639" s="41">
        <f>SUMIF('Quarterly Plant Model'!$I$2:$V$2,'Plant model'!J$2,'Quarterly Plant Model'!$I1639:$V1639)</f>
        <v>0</v>
      </c>
      <c r="K1639" s="41">
        <f>SUMIF('Quarterly Plant Model'!$I$2:$V$2,'Plant model'!K$2,'Quarterly Plant Model'!$I1639:$V1639)</f>
        <v>0</v>
      </c>
      <c r="L1639" s="41">
        <f>SUMIF('Quarterly Plant Model'!$I$2:$V$2,'Plant model'!L$2,'Quarterly Plant Model'!$I1639:$V1639)</f>
        <v>0</v>
      </c>
      <c r="M1639" s="21">
        <f t="shared" ref="M1639:AE1639" si="1090">MIN(M1618*$E$1626,$E$1630-M1638)*(M1636=0)</f>
        <v>0</v>
      </c>
      <c r="N1639" s="21">
        <f t="shared" si="1090"/>
        <v>0</v>
      </c>
      <c r="O1639" s="21">
        <f t="shared" si="1090"/>
        <v>0</v>
      </c>
      <c r="P1639" s="21">
        <f t="shared" si="1090"/>
        <v>0</v>
      </c>
      <c r="Q1639" s="21">
        <f t="shared" si="1090"/>
        <v>0</v>
      </c>
      <c r="R1639" s="21">
        <f t="shared" si="1090"/>
        <v>0</v>
      </c>
      <c r="S1639" s="21">
        <f t="shared" si="1090"/>
        <v>0</v>
      </c>
      <c r="T1639" s="21">
        <f t="shared" si="1090"/>
        <v>0</v>
      </c>
      <c r="U1639" s="21">
        <f t="shared" si="1090"/>
        <v>0</v>
      </c>
      <c r="V1639" s="21">
        <f t="shared" si="1090"/>
        <v>0</v>
      </c>
      <c r="W1639" s="21">
        <f t="shared" si="1090"/>
        <v>0</v>
      </c>
      <c r="X1639" s="21">
        <f t="shared" si="1090"/>
        <v>0</v>
      </c>
      <c r="Y1639" s="21">
        <f t="shared" si="1090"/>
        <v>0</v>
      </c>
      <c r="Z1639" s="21">
        <f t="shared" si="1090"/>
        <v>0</v>
      </c>
      <c r="AA1639" s="21">
        <f t="shared" si="1090"/>
        <v>0</v>
      </c>
      <c r="AB1639" s="21">
        <f t="shared" si="1090"/>
        <v>0</v>
      </c>
      <c r="AC1639" s="21">
        <f t="shared" si="1090"/>
        <v>0</v>
      </c>
      <c r="AD1639" s="21">
        <f t="shared" si="1090"/>
        <v>0</v>
      </c>
      <c r="AE1639" s="21">
        <f t="shared" si="1090"/>
        <v>0</v>
      </c>
    </row>
    <row r="1640" spans="2:31" s="5" customFormat="1" x14ac:dyDescent="0.2">
      <c r="C1640" s="5" t="s">
        <v>208</v>
      </c>
      <c r="F1640" s="5" t="s">
        <v>55</v>
      </c>
      <c r="G1640" s="52">
        <f>SUM(I1640:AE1640)</f>
        <v>0</v>
      </c>
      <c r="I1640" s="43">
        <f>SUMIF('Quarterly Plant Model'!$I$2:$V$2,'Plant model'!I$2,'Quarterly Plant Model'!$I1640:$V1640)</f>
        <v>0</v>
      </c>
      <c r="J1640" s="43">
        <f>SUMIF('Quarterly Plant Model'!$I$2:$V$2,'Plant model'!J$2,'Quarterly Plant Model'!$I1640:$V1640)</f>
        <v>0</v>
      </c>
      <c r="K1640" s="43">
        <f>SUMIF('Quarterly Plant Model'!$I$2:$V$2,'Plant model'!K$2,'Quarterly Plant Model'!$I1640:$V1640)</f>
        <v>0</v>
      </c>
      <c r="L1640" s="43">
        <f>SUMIF('Quarterly Plant Model'!$I$2:$V$2,'Plant model'!L$2,'Quarterly Plant Model'!$I1640:$V1640)</f>
        <v>0</v>
      </c>
      <c r="M1640" s="52">
        <f t="shared" ref="M1640:T1640" si="1091">-$E$1630/$E$1636*M1636*IF(M1527&gt;0,M1527,1)</f>
        <v>0</v>
      </c>
      <c r="N1640" s="52">
        <f t="shared" si="1091"/>
        <v>0</v>
      </c>
      <c r="O1640" s="52">
        <f t="shared" si="1091"/>
        <v>0</v>
      </c>
      <c r="P1640" s="52">
        <f t="shared" si="1091"/>
        <v>0</v>
      </c>
      <c r="Q1640" s="52">
        <f t="shared" si="1091"/>
        <v>0</v>
      </c>
      <c r="R1640" s="52">
        <f t="shared" si="1091"/>
        <v>0</v>
      </c>
      <c r="S1640" s="52">
        <f t="shared" si="1091"/>
        <v>0</v>
      </c>
      <c r="T1640" s="52">
        <f t="shared" si="1091"/>
        <v>0</v>
      </c>
      <c r="U1640" s="52">
        <f>-$E$1630/$E$1636*U1636*IF(U1527&gt;0,U1527,1)</f>
        <v>0</v>
      </c>
      <c r="V1640" s="52">
        <f t="shared" ref="V1640:AE1640" si="1092">-$E$1630/$E$1636*V1636*IF(V1527&gt;0,V1527,1)</f>
        <v>0</v>
      </c>
      <c r="W1640" s="52">
        <f t="shared" si="1092"/>
        <v>0</v>
      </c>
      <c r="X1640" s="52">
        <f t="shared" si="1092"/>
        <v>0</v>
      </c>
      <c r="Y1640" s="52">
        <f t="shared" si="1092"/>
        <v>0</v>
      </c>
      <c r="Z1640" s="52">
        <f t="shared" si="1092"/>
        <v>0</v>
      </c>
      <c r="AA1640" s="52">
        <f t="shared" si="1092"/>
        <v>0</v>
      </c>
      <c r="AB1640" s="52">
        <f t="shared" si="1092"/>
        <v>0</v>
      </c>
      <c r="AC1640" s="52">
        <f t="shared" si="1092"/>
        <v>0</v>
      </c>
      <c r="AD1640" s="52">
        <f t="shared" si="1092"/>
        <v>0</v>
      </c>
      <c r="AE1640" s="52">
        <f t="shared" si="1092"/>
        <v>0</v>
      </c>
    </row>
    <row r="1641" spans="2:31" x14ac:dyDescent="0.2">
      <c r="C1641" s="1" t="s">
        <v>127</v>
      </c>
      <c r="F1641" s="1" t="s">
        <v>55</v>
      </c>
      <c r="I1641" s="21">
        <f>SUM(I1638:I1640)</f>
        <v>0</v>
      </c>
      <c r="J1641" s="21">
        <f t="shared" ref="J1641:AE1641" si="1093">SUM(J1638:J1640)</f>
        <v>0</v>
      </c>
      <c r="K1641" s="21">
        <f t="shared" si="1093"/>
        <v>0</v>
      </c>
      <c r="L1641" s="21">
        <f t="shared" si="1093"/>
        <v>0</v>
      </c>
      <c r="M1641" s="21">
        <f t="shared" si="1093"/>
        <v>0</v>
      </c>
      <c r="N1641" s="21">
        <f t="shared" si="1093"/>
        <v>0</v>
      </c>
      <c r="O1641" s="21">
        <f t="shared" si="1093"/>
        <v>0</v>
      </c>
      <c r="P1641" s="21">
        <f t="shared" si="1093"/>
        <v>0</v>
      </c>
      <c r="Q1641" s="21">
        <f t="shared" si="1093"/>
        <v>0</v>
      </c>
      <c r="R1641" s="21">
        <f t="shared" si="1093"/>
        <v>0</v>
      </c>
      <c r="S1641" s="21">
        <f t="shared" si="1093"/>
        <v>0</v>
      </c>
      <c r="T1641" s="21">
        <f t="shared" si="1093"/>
        <v>0</v>
      </c>
      <c r="U1641" s="21">
        <f t="shared" si="1093"/>
        <v>0</v>
      </c>
      <c r="V1641" s="21">
        <f t="shared" si="1093"/>
        <v>0</v>
      </c>
      <c r="W1641" s="21">
        <f t="shared" si="1093"/>
        <v>0</v>
      </c>
      <c r="X1641" s="21">
        <f t="shared" si="1093"/>
        <v>0</v>
      </c>
      <c r="Y1641" s="21">
        <f t="shared" si="1093"/>
        <v>0</v>
      </c>
      <c r="Z1641" s="21">
        <f t="shared" si="1093"/>
        <v>0</v>
      </c>
      <c r="AA1641" s="21">
        <f t="shared" si="1093"/>
        <v>0</v>
      </c>
      <c r="AB1641" s="21">
        <f t="shared" si="1093"/>
        <v>0</v>
      </c>
      <c r="AC1641" s="21">
        <f t="shared" si="1093"/>
        <v>0</v>
      </c>
      <c r="AD1641" s="21">
        <f t="shared" si="1093"/>
        <v>0</v>
      </c>
      <c r="AE1641" s="21">
        <f t="shared" si="1093"/>
        <v>0</v>
      </c>
    </row>
    <row r="1643" spans="2:31" x14ac:dyDescent="0.2">
      <c r="C1643" s="1" t="s">
        <v>145</v>
      </c>
      <c r="E1643" s="99">
        <v>0.08</v>
      </c>
      <c r="G1643" s="21">
        <f>SUM(I1643:AE1643)</f>
        <v>0</v>
      </c>
      <c r="H1643" s="21"/>
      <c r="I1643" s="41">
        <f>SUMIF('Quarterly Plant Model'!$I$2:$V$2,'Plant model'!I$2,'Quarterly Plant Model'!$I1643:$V1643)</f>
        <v>0</v>
      </c>
      <c r="J1643" s="41">
        <f>SUMIF('Quarterly Plant Model'!$I$2:$V$2,'Plant model'!J$2,'Quarterly Plant Model'!$I1643:$V1643)</f>
        <v>0</v>
      </c>
      <c r="K1643" s="41">
        <f>SUMIF('Quarterly Plant Model'!$I$2:$V$2,'Plant model'!K$2,'Quarterly Plant Model'!$I1643:$V1643)</f>
        <v>0</v>
      </c>
      <c r="L1643" s="41">
        <f>SUMIF('Quarterly Plant Model'!$I$2:$V$2,'Plant model'!L$2,'Quarterly Plant Model'!$I1643:$V1643)</f>
        <v>0</v>
      </c>
      <c r="M1643" s="21">
        <f t="shared" ref="M1643:AE1643" si="1094">$E$1643*AVERAGE(M1638,M1641)</f>
        <v>0</v>
      </c>
      <c r="N1643" s="21">
        <f t="shared" si="1094"/>
        <v>0</v>
      </c>
      <c r="O1643" s="21">
        <f t="shared" si="1094"/>
        <v>0</v>
      </c>
      <c r="P1643" s="21">
        <f t="shared" si="1094"/>
        <v>0</v>
      </c>
      <c r="Q1643" s="21">
        <f t="shared" si="1094"/>
        <v>0</v>
      </c>
      <c r="R1643" s="21">
        <f t="shared" si="1094"/>
        <v>0</v>
      </c>
      <c r="S1643" s="21">
        <f t="shared" si="1094"/>
        <v>0</v>
      </c>
      <c r="T1643" s="21">
        <f t="shared" si="1094"/>
        <v>0</v>
      </c>
      <c r="U1643" s="21">
        <f t="shared" si="1094"/>
        <v>0</v>
      </c>
      <c r="V1643" s="21">
        <f t="shared" si="1094"/>
        <v>0</v>
      </c>
      <c r="W1643" s="21">
        <f t="shared" si="1094"/>
        <v>0</v>
      </c>
      <c r="X1643" s="21">
        <f t="shared" si="1094"/>
        <v>0</v>
      </c>
      <c r="Y1643" s="21">
        <f t="shared" si="1094"/>
        <v>0</v>
      </c>
      <c r="Z1643" s="21">
        <f t="shared" si="1094"/>
        <v>0</v>
      </c>
      <c r="AA1643" s="21">
        <f t="shared" si="1094"/>
        <v>0</v>
      </c>
      <c r="AB1643" s="21">
        <f t="shared" si="1094"/>
        <v>0</v>
      </c>
      <c r="AC1643" s="21">
        <f t="shared" si="1094"/>
        <v>0</v>
      </c>
      <c r="AD1643" s="21">
        <f t="shared" si="1094"/>
        <v>0</v>
      </c>
      <c r="AE1643" s="21">
        <f t="shared" si="1094"/>
        <v>0</v>
      </c>
    </row>
    <row r="1644" spans="2:31" x14ac:dyDescent="0.2">
      <c r="C1644" s="1" t="s">
        <v>209</v>
      </c>
      <c r="G1644" s="21">
        <f>SUM(I1644:AE1644)</f>
        <v>0</v>
      </c>
      <c r="I1644" s="41">
        <f>SUMIF('Quarterly Plant Model'!$I$2:$V$2,'Plant model'!I$2,'Quarterly Plant Model'!$I1644:$V1644)</f>
        <v>0</v>
      </c>
      <c r="J1644" s="41">
        <f>SUMIF('Quarterly Plant Model'!$I$2:$V$2,'Plant model'!J$2,'Quarterly Plant Model'!$I1644:$V1644)</f>
        <v>0</v>
      </c>
      <c r="K1644" s="41">
        <f>SUMIF('Quarterly Plant Model'!$I$2:$V$2,'Plant model'!K$2,'Quarterly Plant Model'!$I1644:$V1644)</f>
        <v>0</v>
      </c>
      <c r="L1644" s="41">
        <f>SUMIF('Quarterly Plant Model'!$I$2:$V$2,'Plant model'!L$2,'Quarterly Plant Model'!$I1644:$V1644)</f>
        <v>0</v>
      </c>
      <c r="M1644" s="21">
        <f t="shared" ref="M1644:AE1644" si="1095">M1643*(M1636=0)</f>
        <v>0</v>
      </c>
      <c r="N1644" s="21">
        <f t="shared" si="1095"/>
        <v>0</v>
      </c>
      <c r="O1644" s="21">
        <f t="shared" si="1095"/>
        <v>0</v>
      </c>
      <c r="P1644" s="21">
        <f t="shared" si="1095"/>
        <v>0</v>
      </c>
      <c r="Q1644" s="21">
        <f t="shared" si="1095"/>
        <v>0</v>
      </c>
      <c r="R1644" s="21">
        <f t="shared" si="1095"/>
        <v>0</v>
      </c>
      <c r="S1644" s="21">
        <f t="shared" si="1095"/>
        <v>0</v>
      </c>
      <c r="T1644" s="21">
        <f t="shared" si="1095"/>
        <v>0</v>
      </c>
      <c r="U1644" s="21">
        <f t="shared" si="1095"/>
        <v>0</v>
      </c>
      <c r="V1644" s="21">
        <f t="shared" si="1095"/>
        <v>0</v>
      </c>
      <c r="W1644" s="21">
        <f t="shared" si="1095"/>
        <v>0</v>
      </c>
      <c r="X1644" s="21">
        <f t="shared" si="1095"/>
        <v>0</v>
      </c>
      <c r="Y1644" s="21">
        <f t="shared" si="1095"/>
        <v>0</v>
      </c>
      <c r="Z1644" s="21">
        <f t="shared" si="1095"/>
        <v>0</v>
      </c>
      <c r="AA1644" s="21">
        <f t="shared" si="1095"/>
        <v>0</v>
      </c>
      <c r="AB1644" s="21">
        <f t="shared" si="1095"/>
        <v>0</v>
      </c>
      <c r="AC1644" s="21">
        <f t="shared" si="1095"/>
        <v>0</v>
      </c>
      <c r="AD1644" s="21">
        <f t="shared" si="1095"/>
        <v>0</v>
      </c>
      <c r="AE1644" s="21">
        <f t="shared" si="1095"/>
        <v>0</v>
      </c>
    </row>
    <row r="1646" spans="2:31" x14ac:dyDescent="0.2">
      <c r="C1646" s="1" t="s">
        <v>210</v>
      </c>
      <c r="E1646" s="99">
        <v>0.02</v>
      </c>
      <c r="G1646" s="21">
        <f>SUM(I1646:AE1646)</f>
        <v>0</v>
      </c>
      <c r="I1646" s="41">
        <f>SUMIF('Quarterly Plant Model'!$I$2:$V$2,'Plant model'!I$2,'Quarterly Plant Model'!$I1646:$V1646)</f>
        <v>0</v>
      </c>
      <c r="J1646" s="41">
        <f>SUMIF('Quarterly Plant Model'!$I$2:$V$2,'Plant model'!J$2,'Quarterly Plant Model'!$I1646:$V1646)</f>
        <v>0</v>
      </c>
      <c r="K1646" s="41">
        <f>SUMIF('Quarterly Plant Model'!$I$2:$V$2,'Plant model'!K$2,'Quarterly Plant Model'!$I1646:$V1646)</f>
        <v>0</v>
      </c>
      <c r="L1646" s="41">
        <f>SUMIF('Quarterly Plant Model'!$I$2:$V$2,'Plant model'!L$2,'Quarterly Plant Model'!$I1646:$V1646)</f>
        <v>0</v>
      </c>
      <c r="M1646" s="21">
        <f t="shared" ref="M1646:AE1646" si="1096">AND(M1638=0,M1641&gt;0)*($E$1646*$E$1630)</f>
        <v>0</v>
      </c>
      <c r="N1646" s="21">
        <f t="shared" si="1096"/>
        <v>0</v>
      </c>
      <c r="O1646" s="21">
        <f t="shared" si="1096"/>
        <v>0</v>
      </c>
      <c r="P1646" s="21">
        <f t="shared" si="1096"/>
        <v>0</v>
      </c>
      <c r="Q1646" s="21">
        <f t="shared" si="1096"/>
        <v>0</v>
      </c>
      <c r="R1646" s="21">
        <f t="shared" si="1096"/>
        <v>0</v>
      </c>
      <c r="S1646" s="21">
        <f t="shared" si="1096"/>
        <v>0</v>
      </c>
      <c r="T1646" s="21">
        <f t="shared" si="1096"/>
        <v>0</v>
      </c>
      <c r="U1646" s="21">
        <f t="shared" si="1096"/>
        <v>0</v>
      </c>
      <c r="V1646" s="21">
        <f t="shared" si="1096"/>
        <v>0</v>
      </c>
      <c r="W1646" s="21">
        <f t="shared" si="1096"/>
        <v>0</v>
      </c>
      <c r="X1646" s="21">
        <f t="shared" si="1096"/>
        <v>0</v>
      </c>
      <c r="Y1646" s="21">
        <f t="shared" si="1096"/>
        <v>0</v>
      </c>
      <c r="Z1646" s="21">
        <f t="shared" si="1096"/>
        <v>0</v>
      </c>
      <c r="AA1646" s="21">
        <f t="shared" si="1096"/>
        <v>0</v>
      </c>
      <c r="AB1646" s="21">
        <f t="shared" si="1096"/>
        <v>0</v>
      </c>
      <c r="AC1646" s="21">
        <f t="shared" si="1096"/>
        <v>0</v>
      </c>
      <c r="AD1646" s="21">
        <f t="shared" si="1096"/>
        <v>0</v>
      </c>
      <c r="AE1646" s="21">
        <f t="shared" si="1096"/>
        <v>0</v>
      </c>
    </row>
    <row r="1648" spans="2:31" x14ac:dyDescent="0.2">
      <c r="C1648" s="1" t="s">
        <v>211</v>
      </c>
    </row>
    <row r="1649" spans="3:31" x14ac:dyDescent="0.2">
      <c r="C1649" s="1" t="s">
        <v>212</v>
      </c>
      <c r="I1649" s="21">
        <f>($E$1623-I1638)*(SUM($I$1636:I1636)=0)</f>
        <v>23.278799458239469</v>
      </c>
      <c r="J1649" s="21">
        <f>($E$1623-J1638)*(SUM($I$1636:J1636)=0)</f>
        <v>23.278799458239469</v>
      </c>
      <c r="K1649" s="21">
        <f>($E$1623-K1638)*(SUM($I$1636:K1636)=0)</f>
        <v>0</v>
      </c>
      <c r="L1649" s="21">
        <f>($E$1623-L1638)*(SUM($I$1636:L1636)=0)</f>
        <v>0</v>
      </c>
      <c r="M1649" s="21">
        <f>($E$1623-M1638)*(SUM($I$1636:M1636)=0)</f>
        <v>0</v>
      </c>
      <c r="N1649" s="21">
        <f>($E$1623-N1638)*(SUM($I$1636:N1636)=0)</f>
        <v>0</v>
      </c>
      <c r="O1649" s="21">
        <f>($E$1623-O1638)*(SUM($I$1636:O1636)=0)</f>
        <v>0</v>
      </c>
      <c r="P1649" s="21">
        <f>($E$1623-P1638)*(SUM($I$1636:P1636)=0)</f>
        <v>0</v>
      </c>
      <c r="Q1649" s="21">
        <f>($E$1623-Q1638)*(SUM($I$1636:Q1636)=0)</f>
        <v>0</v>
      </c>
      <c r="R1649" s="21">
        <f>($E$1623-R1638)*(SUM($I$1636:R1636)=0)</f>
        <v>0</v>
      </c>
      <c r="S1649" s="21">
        <f>($E$1623-S1638)*(SUM($I$1636:S1636)=0)</f>
        <v>0</v>
      </c>
      <c r="T1649" s="21">
        <f>($E$1623-T1638)*(SUM($I$1636:T1636)=0)</f>
        <v>0</v>
      </c>
      <c r="U1649" s="21">
        <f>($E$1623-U1638)*(SUM($I$1636:U1636)=0)</f>
        <v>0</v>
      </c>
      <c r="V1649" s="21">
        <f>($E$1623-V1638)*(SUM($I$1636:V1636)=0)</f>
        <v>0</v>
      </c>
      <c r="W1649" s="21">
        <f>($E$1623-W1638)*(SUM($I$1636:W1636)=0)</f>
        <v>0</v>
      </c>
      <c r="X1649" s="21">
        <f>($E$1623-X1638)*(SUM($I$1636:X1636)=0)</f>
        <v>0</v>
      </c>
      <c r="Y1649" s="21">
        <f>($E$1623-Y1638)*(SUM($I$1636:Y1636)=0)</f>
        <v>0</v>
      </c>
      <c r="Z1649" s="21">
        <f>($E$1623-Z1638)*(SUM($I$1636:Z1636)=0)</f>
        <v>0</v>
      </c>
      <c r="AA1649" s="21">
        <f>($E$1623-AA1638)*(SUM($I$1636:AA1636)=0)</f>
        <v>0</v>
      </c>
      <c r="AB1649" s="21">
        <f>($E$1623-AB1638)*(SUM($I$1636:AB1636)=0)</f>
        <v>0</v>
      </c>
      <c r="AC1649" s="21">
        <f>($E$1623-AC1638)*(SUM($I$1636:AC1636)=0)</f>
        <v>0</v>
      </c>
      <c r="AD1649" s="21">
        <f>($E$1623-AD1638)*(SUM($I$1636:AD1636)=0)</f>
        <v>0</v>
      </c>
      <c r="AE1649" s="21">
        <f>($E$1623-AE1638)*(SUM($I$1636:AE1636)=0)</f>
        <v>0</v>
      </c>
    </row>
    <row r="1650" spans="3:31" x14ac:dyDescent="0.2">
      <c r="C1650" s="1" t="s">
        <v>213</v>
      </c>
      <c r="I1650" s="21">
        <f>-I1639</f>
        <v>0</v>
      </c>
      <c r="J1650" s="21">
        <f t="shared" ref="J1650:AE1650" si="1097">-J1639</f>
        <v>0</v>
      </c>
      <c r="K1650" s="21">
        <f t="shared" si="1097"/>
        <v>0</v>
      </c>
      <c r="L1650" s="21">
        <f t="shared" si="1097"/>
        <v>0</v>
      </c>
      <c r="M1650" s="21">
        <f t="shared" si="1097"/>
        <v>0</v>
      </c>
      <c r="N1650" s="21">
        <f t="shared" si="1097"/>
        <v>0</v>
      </c>
      <c r="O1650" s="21">
        <f t="shared" si="1097"/>
        <v>0</v>
      </c>
      <c r="P1650" s="21">
        <f t="shared" si="1097"/>
        <v>0</v>
      </c>
      <c r="Q1650" s="21">
        <f t="shared" si="1097"/>
        <v>0</v>
      </c>
      <c r="R1650" s="21">
        <f t="shared" si="1097"/>
        <v>0</v>
      </c>
      <c r="S1650" s="21">
        <f t="shared" si="1097"/>
        <v>0</v>
      </c>
      <c r="T1650" s="21">
        <f t="shared" si="1097"/>
        <v>0</v>
      </c>
      <c r="U1650" s="21">
        <f t="shared" si="1097"/>
        <v>0</v>
      </c>
      <c r="V1650" s="21">
        <f t="shared" si="1097"/>
        <v>0</v>
      </c>
      <c r="W1650" s="21">
        <f t="shared" si="1097"/>
        <v>0</v>
      </c>
      <c r="X1650" s="21">
        <f t="shared" si="1097"/>
        <v>0</v>
      </c>
      <c r="Y1650" s="21">
        <f t="shared" si="1097"/>
        <v>0</v>
      </c>
      <c r="Z1650" s="21">
        <f t="shared" si="1097"/>
        <v>0</v>
      </c>
      <c r="AA1650" s="21">
        <f t="shared" si="1097"/>
        <v>0</v>
      </c>
      <c r="AB1650" s="21">
        <f t="shared" si="1097"/>
        <v>0</v>
      </c>
      <c r="AC1650" s="21">
        <f t="shared" si="1097"/>
        <v>0</v>
      </c>
      <c r="AD1650" s="21">
        <f t="shared" si="1097"/>
        <v>0</v>
      </c>
      <c r="AE1650" s="21">
        <f t="shared" si="1097"/>
        <v>0</v>
      </c>
    </row>
    <row r="1651" spans="3:31" x14ac:dyDescent="0.2">
      <c r="C1651" s="1" t="s">
        <v>214</v>
      </c>
      <c r="I1651" s="21">
        <f>SUM(I1649:I1650)</f>
        <v>23.278799458239469</v>
      </c>
      <c r="J1651" s="21">
        <f t="shared" ref="J1651:AE1651" si="1098">SUM(J1649:J1650)</f>
        <v>23.278799458239469</v>
      </c>
      <c r="K1651" s="21">
        <f t="shared" si="1098"/>
        <v>0</v>
      </c>
      <c r="L1651" s="21">
        <f t="shared" si="1098"/>
        <v>0</v>
      </c>
      <c r="M1651" s="21">
        <f t="shared" si="1098"/>
        <v>0</v>
      </c>
      <c r="N1651" s="21">
        <f t="shared" si="1098"/>
        <v>0</v>
      </c>
      <c r="O1651" s="21">
        <f t="shared" si="1098"/>
        <v>0</v>
      </c>
      <c r="P1651" s="21">
        <f t="shared" si="1098"/>
        <v>0</v>
      </c>
      <c r="Q1651" s="21">
        <f t="shared" si="1098"/>
        <v>0</v>
      </c>
      <c r="R1651" s="21">
        <f t="shared" si="1098"/>
        <v>0</v>
      </c>
      <c r="S1651" s="21">
        <f t="shared" si="1098"/>
        <v>0</v>
      </c>
      <c r="T1651" s="21">
        <f t="shared" si="1098"/>
        <v>0</v>
      </c>
      <c r="U1651" s="21">
        <f t="shared" si="1098"/>
        <v>0</v>
      </c>
      <c r="V1651" s="21">
        <f t="shared" si="1098"/>
        <v>0</v>
      </c>
      <c r="W1651" s="21">
        <f t="shared" si="1098"/>
        <v>0</v>
      </c>
      <c r="X1651" s="21">
        <f t="shared" si="1098"/>
        <v>0</v>
      </c>
      <c r="Y1651" s="21">
        <f t="shared" si="1098"/>
        <v>0</v>
      </c>
      <c r="Z1651" s="21">
        <f t="shared" si="1098"/>
        <v>0</v>
      </c>
      <c r="AA1651" s="21">
        <f t="shared" si="1098"/>
        <v>0</v>
      </c>
      <c r="AB1651" s="21">
        <f t="shared" si="1098"/>
        <v>0</v>
      </c>
      <c r="AC1651" s="21">
        <f t="shared" si="1098"/>
        <v>0</v>
      </c>
      <c r="AD1651" s="21">
        <f t="shared" si="1098"/>
        <v>0</v>
      </c>
      <c r="AE1651" s="21">
        <f t="shared" si="1098"/>
        <v>0</v>
      </c>
    </row>
    <row r="1652" spans="3:31" x14ac:dyDescent="0.2">
      <c r="C1652" s="1" t="s">
        <v>215</v>
      </c>
      <c r="E1652" s="99">
        <v>0.01</v>
      </c>
      <c r="G1652" s="21">
        <f>SUM(I1652:AE1652)</f>
        <v>0.57980024272866759</v>
      </c>
      <c r="I1652" s="41">
        <f>SUMIF('Quarterly Plant Model'!$I$2:$V$2,'Plant model'!I$2,'Quarterly Plant Model'!$I1652:$V1652)</f>
        <v>0.23192009709146702</v>
      </c>
      <c r="J1652" s="41">
        <f>SUMIF('Quarterly Plant Model'!$I$2:$V$2,'Plant model'!J$2,'Quarterly Plant Model'!$I1652:$V1652)</f>
        <v>0.23192009709146702</v>
      </c>
      <c r="K1652" s="41">
        <f>SUMIF('Quarterly Plant Model'!$I$2:$V$2,'Plant model'!K$2,'Quarterly Plant Model'!$I1652:$V1652)</f>
        <v>0.11596004854573351</v>
      </c>
      <c r="L1652" s="41">
        <f>SUMIF('Quarterly Plant Model'!$I$2:$V$2,'Plant model'!L$2,'Quarterly Plant Model'!$I1652:$V1652)</f>
        <v>0</v>
      </c>
      <c r="M1652" s="21">
        <f t="shared" ref="M1652:AE1652" si="1099">$E$1652*AVERAGE(M1649,M1651)</f>
        <v>0</v>
      </c>
      <c r="N1652" s="21">
        <f t="shared" si="1099"/>
        <v>0</v>
      </c>
      <c r="O1652" s="21">
        <f t="shared" si="1099"/>
        <v>0</v>
      </c>
      <c r="P1652" s="21">
        <f t="shared" si="1099"/>
        <v>0</v>
      </c>
      <c r="Q1652" s="21">
        <f t="shared" si="1099"/>
        <v>0</v>
      </c>
      <c r="R1652" s="21">
        <f t="shared" si="1099"/>
        <v>0</v>
      </c>
      <c r="S1652" s="21">
        <f t="shared" si="1099"/>
        <v>0</v>
      </c>
      <c r="T1652" s="21">
        <f t="shared" si="1099"/>
        <v>0</v>
      </c>
      <c r="U1652" s="21">
        <f t="shared" si="1099"/>
        <v>0</v>
      </c>
      <c r="V1652" s="21">
        <f t="shared" si="1099"/>
        <v>0</v>
      </c>
      <c r="W1652" s="21">
        <f t="shared" si="1099"/>
        <v>0</v>
      </c>
      <c r="X1652" s="21">
        <f t="shared" si="1099"/>
        <v>0</v>
      </c>
      <c r="Y1652" s="21">
        <f t="shared" si="1099"/>
        <v>0</v>
      </c>
      <c r="Z1652" s="21">
        <f t="shared" si="1099"/>
        <v>0</v>
      </c>
      <c r="AA1652" s="21">
        <f t="shared" si="1099"/>
        <v>0</v>
      </c>
      <c r="AB1652" s="21">
        <f t="shared" si="1099"/>
        <v>0</v>
      </c>
      <c r="AC1652" s="21">
        <f t="shared" si="1099"/>
        <v>0</v>
      </c>
      <c r="AD1652" s="21">
        <f t="shared" si="1099"/>
        <v>0</v>
      </c>
      <c r="AE1652" s="21">
        <f t="shared" si="1099"/>
        <v>0</v>
      </c>
    </row>
    <row r="1654" spans="3:31" x14ac:dyDescent="0.2">
      <c r="C1654" s="1" t="s">
        <v>216</v>
      </c>
      <c r="G1654" s="21">
        <f>SUM(I1654:AE1654)</f>
        <v>0.57980024272866759</v>
      </c>
      <c r="I1654" s="21">
        <f t="shared" ref="I1654:AE1654" si="1100">I1646+I1652</f>
        <v>0.23192009709146702</v>
      </c>
      <c r="J1654" s="21">
        <f t="shared" si="1100"/>
        <v>0.23192009709146702</v>
      </c>
      <c r="K1654" s="21">
        <f t="shared" si="1100"/>
        <v>0.11596004854573351</v>
      </c>
      <c r="L1654" s="21">
        <f t="shared" si="1100"/>
        <v>0</v>
      </c>
      <c r="M1654" s="21">
        <f t="shared" si="1100"/>
        <v>0</v>
      </c>
      <c r="N1654" s="21">
        <f t="shared" si="1100"/>
        <v>0</v>
      </c>
      <c r="O1654" s="21">
        <f t="shared" si="1100"/>
        <v>0</v>
      </c>
      <c r="P1654" s="21">
        <f t="shared" si="1100"/>
        <v>0</v>
      </c>
      <c r="Q1654" s="21">
        <f t="shared" si="1100"/>
        <v>0</v>
      </c>
      <c r="R1654" s="21">
        <f t="shared" si="1100"/>
        <v>0</v>
      </c>
      <c r="S1654" s="21">
        <f t="shared" si="1100"/>
        <v>0</v>
      </c>
      <c r="T1654" s="21">
        <f t="shared" si="1100"/>
        <v>0</v>
      </c>
      <c r="U1654" s="21">
        <f t="shared" si="1100"/>
        <v>0</v>
      </c>
      <c r="V1654" s="21">
        <f t="shared" si="1100"/>
        <v>0</v>
      </c>
      <c r="W1654" s="21">
        <f t="shared" si="1100"/>
        <v>0</v>
      </c>
      <c r="X1654" s="21">
        <f t="shared" si="1100"/>
        <v>0</v>
      </c>
      <c r="Y1654" s="21">
        <f t="shared" si="1100"/>
        <v>0</v>
      </c>
      <c r="Z1654" s="21">
        <f t="shared" si="1100"/>
        <v>0</v>
      </c>
      <c r="AA1654" s="21">
        <f t="shared" si="1100"/>
        <v>0</v>
      </c>
      <c r="AB1654" s="21">
        <f t="shared" si="1100"/>
        <v>0</v>
      </c>
      <c r="AC1654" s="21">
        <f t="shared" si="1100"/>
        <v>0</v>
      </c>
      <c r="AD1654" s="21">
        <f t="shared" si="1100"/>
        <v>0</v>
      </c>
      <c r="AE1654" s="21">
        <f t="shared" si="1100"/>
        <v>0</v>
      </c>
    </row>
    <row r="1656" spans="3:31" x14ac:dyDescent="0.2">
      <c r="C1656" s="9" t="s">
        <v>217</v>
      </c>
      <c r="D1656" s="9"/>
      <c r="E1656" s="375" t="e">
        <f>IRR(I1656:AE1656)</f>
        <v>#NUM!</v>
      </c>
      <c r="I1656" s="21">
        <f>-I1639-I1640+I1643+I1654</f>
        <v>0.23192009709146702</v>
      </c>
      <c r="J1656" s="21">
        <f t="shared" ref="J1656:AE1656" si="1101">-J1639-J1640+J1643+J1654</f>
        <v>0.23192009709146702</v>
      </c>
      <c r="K1656" s="21">
        <f t="shared" si="1101"/>
        <v>0.11596004854573351</v>
      </c>
      <c r="L1656" s="21">
        <f t="shared" si="1101"/>
        <v>0</v>
      </c>
      <c r="M1656" s="21">
        <f t="shared" si="1101"/>
        <v>0</v>
      </c>
      <c r="N1656" s="21">
        <f t="shared" si="1101"/>
        <v>0</v>
      </c>
      <c r="O1656" s="21">
        <f t="shared" si="1101"/>
        <v>0</v>
      </c>
      <c r="P1656" s="21">
        <f t="shared" si="1101"/>
        <v>0</v>
      </c>
      <c r="Q1656" s="21">
        <f>-Q1639-Q1640+Q1643+Q1654</f>
        <v>0</v>
      </c>
      <c r="R1656" s="21">
        <f t="shared" si="1101"/>
        <v>0</v>
      </c>
      <c r="S1656" s="21">
        <f t="shared" si="1101"/>
        <v>0</v>
      </c>
      <c r="T1656" s="21">
        <f t="shared" si="1101"/>
        <v>0</v>
      </c>
      <c r="U1656" s="21">
        <f t="shared" si="1101"/>
        <v>0</v>
      </c>
      <c r="V1656" s="21">
        <f t="shared" si="1101"/>
        <v>0</v>
      </c>
      <c r="W1656" s="21">
        <f t="shared" si="1101"/>
        <v>0</v>
      </c>
      <c r="X1656" s="21">
        <f t="shared" si="1101"/>
        <v>0</v>
      </c>
      <c r="Y1656" s="21">
        <f t="shared" si="1101"/>
        <v>0</v>
      </c>
      <c r="Z1656" s="21">
        <f t="shared" si="1101"/>
        <v>0</v>
      </c>
      <c r="AA1656" s="21">
        <f t="shared" si="1101"/>
        <v>0</v>
      </c>
      <c r="AB1656" s="21">
        <f t="shared" si="1101"/>
        <v>0</v>
      </c>
      <c r="AC1656" s="21">
        <f t="shared" si="1101"/>
        <v>0</v>
      </c>
      <c r="AD1656" s="21">
        <f t="shared" si="1101"/>
        <v>0</v>
      </c>
      <c r="AE1656" s="21">
        <f t="shared" si="1101"/>
        <v>0</v>
      </c>
    </row>
    <row r="1658" spans="3:31" x14ac:dyDescent="0.2">
      <c r="C1658" s="9" t="s">
        <v>218</v>
      </c>
    </row>
    <row r="1659" spans="3:31" x14ac:dyDescent="0.2">
      <c r="C1659" s="1" t="s">
        <v>219</v>
      </c>
      <c r="I1659" s="106">
        <v>0</v>
      </c>
      <c r="J1659" s="21">
        <f>I1662</f>
        <v>0.23192009709146702</v>
      </c>
      <c r="K1659" s="21">
        <f t="shared" ref="K1659:AE1659" si="1102">J1662</f>
        <v>0.46384019418293404</v>
      </c>
      <c r="L1659" s="21">
        <f t="shared" si="1102"/>
        <v>0.5073252123875841</v>
      </c>
      <c r="M1659" s="21">
        <f t="shared" si="1102"/>
        <v>0.43485018204650067</v>
      </c>
      <c r="N1659" s="21">
        <f t="shared" si="1102"/>
        <v>0.36237515170541723</v>
      </c>
      <c r="O1659" s="21">
        <f t="shared" si="1102"/>
        <v>0.2899001213643338</v>
      </c>
      <c r="P1659" s="21">
        <f t="shared" si="1102"/>
        <v>0.21742509102325036</v>
      </c>
      <c r="Q1659" s="21">
        <f t="shared" si="1102"/>
        <v>0.14495006068216693</v>
      </c>
      <c r="R1659" s="21">
        <f t="shared" si="1102"/>
        <v>7.2475030341083477E-2</v>
      </c>
      <c r="S1659" s="21">
        <f t="shared" si="1102"/>
        <v>0</v>
      </c>
      <c r="T1659" s="21">
        <f t="shared" si="1102"/>
        <v>0</v>
      </c>
      <c r="U1659" s="21">
        <f t="shared" si="1102"/>
        <v>0</v>
      </c>
      <c r="V1659" s="21">
        <f t="shared" si="1102"/>
        <v>0</v>
      </c>
      <c r="W1659" s="21">
        <f t="shared" si="1102"/>
        <v>0</v>
      </c>
      <c r="X1659" s="21">
        <f t="shared" si="1102"/>
        <v>0</v>
      </c>
      <c r="Y1659" s="21">
        <f t="shared" si="1102"/>
        <v>0</v>
      </c>
      <c r="Z1659" s="21">
        <f t="shared" si="1102"/>
        <v>0</v>
      </c>
      <c r="AA1659" s="21">
        <f t="shared" si="1102"/>
        <v>0</v>
      </c>
      <c r="AB1659" s="21">
        <f t="shared" si="1102"/>
        <v>0</v>
      </c>
      <c r="AC1659" s="21">
        <f t="shared" si="1102"/>
        <v>0</v>
      </c>
      <c r="AD1659" s="21">
        <f t="shared" si="1102"/>
        <v>0</v>
      </c>
      <c r="AE1659" s="21">
        <f t="shared" si="1102"/>
        <v>0</v>
      </c>
    </row>
    <row r="1660" spans="3:31" x14ac:dyDescent="0.2">
      <c r="C1660" s="1" t="s">
        <v>126</v>
      </c>
      <c r="G1660" s="21">
        <f>SUM(I1660:AE1660)</f>
        <v>0.57980024272866759</v>
      </c>
      <c r="I1660" s="21">
        <f>I1654</f>
        <v>0.23192009709146702</v>
      </c>
      <c r="J1660" s="21">
        <f t="shared" ref="J1660:AE1660" si="1103">J1654</f>
        <v>0.23192009709146702</v>
      </c>
      <c r="K1660" s="21">
        <f t="shared" si="1103"/>
        <v>0.11596004854573351</v>
      </c>
      <c r="L1660" s="21">
        <f t="shared" si="1103"/>
        <v>0</v>
      </c>
      <c r="M1660" s="21">
        <f t="shared" si="1103"/>
        <v>0</v>
      </c>
      <c r="N1660" s="21">
        <f t="shared" si="1103"/>
        <v>0</v>
      </c>
      <c r="O1660" s="21">
        <f t="shared" si="1103"/>
        <v>0</v>
      </c>
      <c r="P1660" s="21">
        <f t="shared" si="1103"/>
        <v>0</v>
      </c>
      <c r="Q1660" s="21">
        <f t="shared" si="1103"/>
        <v>0</v>
      </c>
      <c r="R1660" s="21">
        <f t="shared" si="1103"/>
        <v>0</v>
      </c>
      <c r="S1660" s="21">
        <f t="shared" si="1103"/>
        <v>0</v>
      </c>
      <c r="T1660" s="21">
        <f t="shared" si="1103"/>
        <v>0</v>
      </c>
      <c r="U1660" s="21">
        <f t="shared" si="1103"/>
        <v>0</v>
      </c>
      <c r="V1660" s="21">
        <f t="shared" si="1103"/>
        <v>0</v>
      </c>
      <c r="W1660" s="21">
        <f t="shared" si="1103"/>
        <v>0</v>
      </c>
      <c r="X1660" s="21">
        <f t="shared" si="1103"/>
        <v>0</v>
      </c>
      <c r="Y1660" s="21">
        <f t="shared" si="1103"/>
        <v>0</v>
      </c>
      <c r="Z1660" s="21">
        <f t="shared" si="1103"/>
        <v>0</v>
      </c>
      <c r="AA1660" s="21">
        <f t="shared" si="1103"/>
        <v>0</v>
      </c>
      <c r="AB1660" s="21">
        <f t="shared" si="1103"/>
        <v>0</v>
      </c>
      <c r="AC1660" s="21">
        <f t="shared" si="1103"/>
        <v>0</v>
      </c>
      <c r="AD1660" s="21">
        <f t="shared" si="1103"/>
        <v>0</v>
      </c>
      <c r="AE1660" s="21">
        <f t="shared" si="1103"/>
        <v>0</v>
      </c>
    </row>
    <row r="1661" spans="3:31" x14ac:dyDescent="0.2">
      <c r="C1661" s="1" t="s">
        <v>220</v>
      </c>
      <c r="G1661" s="21">
        <f>SUM(I1661:AE1661)</f>
        <v>-0.57980024272866759</v>
      </c>
      <c r="I1661" s="21">
        <f>-I1693</f>
        <v>0</v>
      </c>
      <c r="J1661" s="21">
        <f t="shared" ref="J1661:AE1661" si="1104">-J1693</f>
        <v>0</v>
      </c>
      <c r="K1661" s="21">
        <f t="shared" si="1104"/>
        <v>-7.2475030341083449E-2</v>
      </c>
      <c r="L1661" s="21">
        <f t="shared" si="1104"/>
        <v>-7.2475030341083449E-2</v>
      </c>
      <c r="M1661" s="21">
        <f t="shared" si="1104"/>
        <v>-7.2475030341083449E-2</v>
      </c>
      <c r="N1661" s="21">
        <f t="shared" si="1104"/>
        <v>-7.2475030341083449E-2</v>
      </c>
      <c r="O1661" s="21">
        <f t="shared" si="1104"/>
        <v>-7.2475030341083449E-2</v>
      </c>
      <c r="P1661" s="21">
        <f t="shared" si="1104"/>
        <v>-7.2475030341083449E-2</v>
      </c>
      <c r="Q1661" s="21">
        <f t="shared" si="1104"/>
        <v>-7.2475030341083449E-2</v>
      </c>
      <c r="R1661" s="21">
        <f t="shared" si="1104"/>
        <v>-7.2475030341083449E-2</v>
      </c>
      <c r="S1661" s="21">
        <f t="shared" si="1104"/>
        <v>0</v>
      </c>
      <c r="T1661" s="21">
        <f t="shared" si="1104"/>
        <v>0</v>
      </c>
      <c r="U1661" s="21">
        <f t="shared" si="1104"/>
        <v>0</v>
      </c>
      <c r="V1661" s="21">
        <f t="shared" si="1104"/>
        <v>0</v>
      </c>
      <c r="W1661" s="21">
        <f t="shared" si="1104"/>
        <v>0</v>
      </c>
      <c r="X1661" s="21">
        <f t="shared" si="1104"/>
        <v>0</v>
      </c>
      <c r="Y1661" s="21">
        <f t="shared" si="1104"/>
        <v>0</v>
      </c>
      <c r="Z1661" s="21">
        <f t="shared" si="1104"/>
        <v>0</v>
      </c>
      <c r="AA1661" s="21">
        <f t="shared" si="1104"/>
        <v>0</v>
      </c>
      <c r="AB1661" s="21">
        <f t="shared" si="1104"/>
        <v>0</v>
      </c>
      <c r="AC1661" s="21">
        <f t="shared" si="1104"/>
        <v>0</v>
      </c>
      <c r="AD1661" s="21">
        <f t="shared" si="1104"/>
        <v>0</v>
      </c>
      <c r="AE1661" s="21">
        <f t="shared" si="1104"/>
        <v>0</v>
      </c>
    </row>
    <row r="1662" spans="3:31" x14ac:dyDescent="0.2">
      <c r="C1662" s="1" t="s">
        <v>127</v>
      </c>
      <c r="I1662" s="21">
        <f>SUM(I1659:I1661)</f>
        <v>0.23192009709146702</v>
      </c>
      <c r="J1662" s="21">
        <f t="shared" ref="J1662:AE1662" si="1105">SUM(J1659:J1661)</f>
        <v>0.46384019418293404</v>
      </c>
      <c r="K1662" s="21">
        <f t="shared" si="1105"/>
        <v>0.5073252123875841</v>
      </c>
      <c r="L1662" s="21">
        <f t="shared" si="1105"/>
        <v>0.43485018204650067</v>
      </c>
      <c r="M1662" s="21">
        <f t="shared" si="1105"/>
        <v>0.36237515170541723</v>
      </c>
      <c r="N1662" s="21">
        <f t="shared" si="1105"/>
        <v>0.2899001213643338</v>
      </c>
      <c r="O1662" s="21">
        <f t="shared" si="1105"/>
        <v>0.21742509102325036</v>
      </c>
      <c r="P1662" s="21">
        <f t="shared" si="1105"/>
        <v>0.14495006068216693</v>
      </c>
      <c r="Q1662" s="21">
        <f t="shared" si="1105"/>
        <v>7.2475030341083477E-2</v>
      </c>
      <c r="R1662" s="21">
        <f t="shared" si="1105"/>
        <v>0</v>
      </c>
      <c r="S1662" s="21">
        <f t="shared" si="1105"/>
        <v>0</v>
      </c>
      <c r="T1662" s="21">
        <f t="shared" si="1105"/>
        <v>0</v>
      </c>
      <c r="U1662" s="21">
        <f t="shared" si="1105"/>
        <v>0</v>
      </c>
      <c r="V1662" s="21">
        <f t="shared" si="1105"/>
        <v>0</v>
      </c>
      <c r="W1662" s="21">
        <f t="shared" si="1105"/>
        <v>0</v>
      </c>
      <c r="X1662" s="21">
        <f t="shared" si="1105"/>
        <v>0</v>
      </c>
      <c r="Y1662" s="21">
        <f t="shared" si="1105"/>
        <v>0</v>
      </c>
      <c r="Z1662" s="21">
        <f t="shared" si="1105"/>
        <v>0</v>
      </c>
      <c r="AA1662" s="21">
        <f t="shared" si="1105"/>
        <v>0</v>
      </c>
      <c r="AB1662" s="21">
        <f t="shared" si="1105"/>
        <v>0</v>
      </c>
      <c r="AC1662" s="21">
        <f t="shared" si="1105"/>
        <v>0</v>
      </c>
      <c r="AD1662" s="21">
        <f t="shared" si="1105"/>
        <v>0</v>
      </c>
      <c r="AE1662" s="21">
        <f t="shared" si="1105"/>
        <v>0</v>
      </c>
    </row>
    <row r="1664" spans="3:31" x14ac:dyDescent="0.2">
      <c r="C1664" s="1" t="s">
        <v>377</v>
      </c>
      <c r="G1664" s="21">
        <f>SUM(I1664:AE1664)</f>
        <v>20</v>
      </c>
      <c r="I1664" s="21">
        <f>(SUM($I$1636:I1636)&gt;1)*1</f>
        <v>0</v>
      </c>
      <c r="J1664" s="21">
        <f>(SUM($I$1636:J1636)&gt;1)*1</f>
        <v>0</v>
      </c>
      <c r="K1664" s="21">
        <f>(SUM($I$1636:K1636)&gt;1)*1</f>
        <v>0</v>
      </c>
      <c r="L1664" s="21">
        <f>(SUM($I$1636:L1636)&gt;1)*1</f>
        <v>1</v>
      </c>
      <c r="M1664" s="21">
        <f>(SUM($I$1636:M1636)&gt;1)*1</f>
        <v>1</v>
      </c>
      <c r="N1664" s="21">
        <f>(SUM($I$1636:N1636)&gt;1)*1</f>
        <v>1</v>
      </c>
      <c r="O1664" s="21">
        <f>(SUM($I$1636:O1636)&gt;1)*1</f>
        <v>1</v>
      </c>
      <c r="P1664" s="21">
        <f>(SUM($I$1636:P1636)&gt;1)*1</f>
        <v>1</v>
      </c>
      <c r="Q1664" s="21">
        <f>(SUM($I$1636:Q1636)&gt;1)*1</f>
        <v>1</v>
      </c>
      <c r="R1664" s="21">
        <f>(SUM($I$1636:R1636)&gt;1)*1</f>
        <v>1</v>
      </c>
      <c r="S1664" s="21">
        <f>(SUM($I$1636:S1636)&gt;1)*1</f>
        <v>1</v>
      </c>
      <c r="T1664" s="21">
        <f>(SUM($I$1636:T1636)&gt;1)*1</f>
        <v>1</v>
      </c>
      <c r="U1664" s="21">
        <f>(SUM($I$1636:U1636)&gt;1)*1</f>
        <v>1</v>
      </c>
      <c r="V1664" s="21">
        <f>(SUM($I$1636:V1636)&gt;1)*1</f>
        <v>1</v>
      </c>
      <c r="W1664" s="21">
        <f>(SUM($I$1636:W1636)&gt;1)*1</f>
        <v>1</v>
      </c>
      <c r="X1664" s="21">
        <f>(SUM($I$1636:X1636)&gt;1)*1</f>
        <v>1</v>
      </c>
      <c r="Y1664" s="21">
        <f>(SUM($I$1636:Y1636)&gt;1)*1</f>
        <v>1</v>
      </c>
      <c r="Z1664" s="21">
        <f>(SUM($I$1636:Z1636)&gt;1)*1</f>
        <v>1</v>
      </c>
      <c r="AA1664" s="21">
        <f>(SUM($I$1636:AA1636)&gt;1)*1</f>
        <v>1</v>
      </c>
      <c r="AB1664" s="21">
        <f>(SUM($I$1636:AB1636)&gt;1)*1</f>
        <v>1</v>
      </c>
      <c r="AC1664" s="21">
        <f>(SUM($I$1636:AC1636)&gt;1)*1</f>
        <v>1</v>
      </c>
      <c r="AD1664" s="21">
        <f>(SUM($I$1636:AD1636)&gt;1)*1</f>
        <v>1</v>
      </c>
      <c r="AE1664" s="21">
        <f>(SUM($I$1636:AE1636)&gt;1)*1</f>
        <v>1</v>
      </c>
    </row>
    <row r="1665" spans="3:31" x14ac:dyDescent="0.2">
      <c r="C1665" s="1" t="s">
        <v>378</v>
      </c>
      <c r="E1665" s="98">
        <v>8</v>
      </c>
      <c r="F1665" s="1" t="s">
        <v>192</v>
      </c>
    </row>
    <row r="1666" spans="3:31" x14ac:dyDescent="0.2">
      <c r="C1666" s="1" t="s">
        <v>221</v>
      </c>
      <c r="E1666" s="85">
        <f>SMALL(C1670:C1692,COUNT($C$1587:$C$1609)-$G$1581)</f>
        <v>0</v>
      </c>
      <c r="F1666" s="1" t="s">
        <v>192</v>
      </c>
    </row>
    <row r="1668" spans="3:31" x14ac:dyDescent="0.2">
      <c r="C1668" s="86" t="s">
        <v>123</v>
      </c>
      <c r="E1668" s="63" t="s">
        <v>222</v>
      </c>
      <c r="F1668" s="63" t="s">
        <v>223</v>
      </c>
      <c r="G1668" s="86" t="s">
        <v>224</v>
      </c>
      <c r="I1668" s="21">
        <v>1</v>
      </c>
      <c r="J1668" s="21">
        <f>I1668+1</f>
        <v>2</v>
      </c>
      <c r="K1668" s="21">
        <f>J1668+1</f>
        <v>3</v>
      </c>
      <c r="L1668" s="21">
        <f t="shared" ref="L1668:AE1668" si="1106">K1668+1</f>
        <v>4</v>
      </c>
      <c r="M1668" s="21">
        <f t="shared" si="1106"/>
        <v>5</v>
      </c>
      <c r="N1668" s="21">
        <f t="shared" si="1106"/>
        <v>6</v>
      </c>
      <c r="O1668" s="21">
        <f t="shared" si="1106"/>
        <v>7</v>
      </c>
      <c r="P1668" s="21">
        <f t="shared" si="1106"/>
        <v>8</v>
      </c>
      <c r="Q1668" s="21">
        <f t="shared" si="1106"/>
        <v>9</v>
      </c>
      <c r="R1668" s="21">
        <f t="shared" si="1106"/>
        <v>10</v>
      </c>
      <c r="S1668" s="21">
        <f t="shared" si="1106"/>
        <v>11</v>
      </c>
      <c r="T1668" s="21">
        <f t="shared" si="1106"/>
        <v>12</v>
      </c>
      <c r="U1668" s="21">
        <f t="shared" si="1106"/>
        <v>13</v>
      </c>
      <c r="V1668" s="21">
        <f t="shared" si="1106"/>
        <v>14</v>
      </c>
      <c r="W1668" s="21">
        <f t="shared" si="1106"/>
        <v>15</v>
      </c>
      <c r="X1668" s="21">
        <f t="shared" si="1106"/>
        <v>16</v>
      </c>
      <c r="Y1668" s="21">
        <f t="shared" si="1106"/>
        <v>17</v>
      </c>
      <c r="Z1668" s="21">
        <f t="shared" si="1106"/>
        <v>18</v>
      </c>
      <c r="AA1668" s="21">
        <f t="shared" si="1106"/>
        <v>19</v>
      </c>
      <c r="AB1668" s="21">
        <f t="shared" si="1106"/>
        <v>20</v>
      </c>
      <c r="AC1668" s="21">
        <f t="shared" si="1106"/>
        <v>21</v>
      </c>
      <c r="AD1668" s="21">
        <f t="shared" si="1106"/>
        <v>22</v>
      </c>
      <c r="AE1668" s="21">
        <f t="shared" si="1106"/>
        <v>23</v>
      </c>
    </row>
    <row r="1670" spans="3:31" x14ac:dyDescent="0.2">
      <c r="C1670" s="60">
        <f t="array" ref="C1670:C1692">TRANSPOSE(I2:AE2)</f>
        <v>-2</v>
      </c>
      <c r="E1670" s="21">
        <f t="array" ref="E1670:E1692">TRANSPOSE(I1654:AE1654)</f>
        <v>0.23192009709146702</v>
      </c>
      <c r="F1670" s="21">
        <f>(C1670=$E$1666)*SUM($E$1670:E1670)+(C1670&gt;$E$1666)*E1670</f>
        <v>0</v>
      </c>
      <c r="G1670" s="1">
        <v>1</v>
      </c>
      <c r="I1670" s="21">
        <f t="shared" ref="I1670:X1685" si="1107">AND(I$1585&gt;=$G1670,I$1585&lt;$G1670+$E$1582)*($F1670/$E$1582)</f>
        <v>0</v>
      </c>
      <c r="J1670" s="21">
        <f t="shared" si="1107"/>
        <v>0</v>
      </c>
      <c r="K1670" s="21">
        <f t="shared" si="1107"/>
        <v>0</v>
      </c>
      <c r="L1670" s="21">
        <f t="shared" si="1107"/>
        <v>0</v>
      </c>
      <c r="M1670" s="21">
        <f t="shared" si="1107"/>
        <v>0</v>
      </c>
      <c r="N1670" s="21">
        <f t="shared" si="1107"/>
        <v>0</v>
      </c>
      <c r="O1670" s="21">
        <f t="shared" si="1107"/>
        <v>0</v>
      </c>
      <c r="P1670" s="21">
        <f t="shared" si="1107"/>
        <v>0</v>
      </c>
      <c r="Q1670" s="21">
        <f t="shared" si="1107"/>
        <v>0</v>
      </c>
      <c r="R1670" s="21">
        <f t="shared" si="1107"/>
        <v>0</v>
      </c>
      <c r="S1670" s="21">
        <f t="shared" si="1107"/>
        <v>0</v>
      </c>
      <c r="T1670" s="21">
        <f t="shared" si="1107"/>
        <v>0</v>
      </c>
      <c r="U1670" s="21">
        <f t="shared" si="1107"/>
        <v>0</v>
      </c>
      <c r="V1670" s="21">
        <f t="shared" si="1107"/>
        <v>0</v>
      </c>
      <c r="W1670" s="21">
        <f t="shared" si="1107"/>
        <v>0</v>
      </c>
      <c r="X1670" s="21">
        <f t="shared" si="1107"/>
        <v>0</v>
      </c>
      <c r="Y1670" s="21">
        <f t="shared" ref="Y1670:AE1685" si="1108">AND(Y$1585&gt;=$G1670,Y$1585&lt;$G1670+$E$1582)*($F1670/$E$1582)</f>
        <v>0</v>
      </c>
      <c r="Z1670" s="21">
        <f t="shared" si="1108"/>
        <v>0</v>
      </c>
      <c r="AA1670" s="21">
        <f t="shared" si="1108"/>
        <v>0</v>
      </c>
      <c r="AB1670" s="21">
        <f t="shared" si="1108"/>
        <v>0</v>
      </c>
      <c r="AC1670" s="21">
        <f t="shared" si="1108"/>
        <v>0</v>
      </c>
      <c r="AD1670" s="21">
        <f t="shared" si="1108"/>
        <v>0</v>
      </c>
      <c r="AE1670" s="21">
        <f t="shared" si="1108"/>
        <v>0</v>
      </c>
    </row>
    <row r="1671" spans="3:31" x14ac:dyDescent="0.2">
      <c r="C1671" s="60">
        <v>-1</v>
      </c>
      <c r="E1671" s="21">
        <v>0.23192009709146702</v>
      </c>
      <c r="F1671" s="21">
        <f>(C1671=$E$1666)*SUM($E$1670:E1671)+(C1671&gt;$E$1666)*E1671</f>
        <v>0</v>
      </c>
      <c r="G1671" s="1">
        <f>G1670+1</f>
        <v>2</v>
      </c>
      <c r="I1671" s="21">
        <f t="shared" si="1107"/>
        <v>0</v>
      </c>
      <c r="J1671" s="21">
        <f t="shared" si="1107"/>
        <v>0</v>
      </c>
      <c r="K1671" s="21">
        <f t="shared" si="1107"/>
        <v>0</v>
      </c>
      <c r="L1671" s="21">
        <f t="shared" si="1107"/>
        <v>0</v>
      </c>
      <c r="M1671" s="21">
        <f t="shared" si="1107"/>
        <v>0</v>
      </c>
      <c r="N1671" s="21">
        <f t="shared" si="1107"/>
        <v>0</v>
      </c>
      <c r="O1671" s="21">
        <f t="shared" si="1107"/>
        <v>0</v>
      </c>
      <c r="P1671" s="21">
        <f t="shared" si="1107"/>
        <v>0</v>
      </c>
      <c r="Q1671" s="21">
        <f t="shared" si="1107"/>
        <v>0</v>
      </c>
      <c r="R1671" s="21">
        <f t="shared" si="1107"/>
        <v>0</v>
      </c>
      <c r="S1671" s="21">
        <f t="shared" si="1107"/>
        <v>0</v>
      </c>
      <c r="T1671" s="21">
        <f t="shared" si="1107"/>
        <v>0</v>
      </c>
      <c r="U1671" s="21">
        <f t="shared" si="1107"/>
        <v>0</v>
      </c>
      <c r="V1671" s="21">
        <f t="shared" si="1107"/>
        <v>0</v>
      </c>
      <c r="W1671" s="21">
        <f t="shared" si="1107"/>
        <v>0</v>
      </c>
      <c r="X1671" s="21">
        <f t="shared" si="1107"/>
        <v>0</v>
      </c>
      <c r="Y1671" s="21">
        <f t="shared" si="1108"/>
        <v>0</v>
      </c>
      <c r="Z1671" s="21">
        <f t="shared" si="1108"/>
        <v>0</v>
      </c>
      <c r="AA1671" s="21">
        <f t="shared" si="1108"/>
        <v>0</v>
      </c>
      <c r="AB1671" s="21">
        <f t="shared" si="1108"/>
        <v>0</v>
      </c>
      <c r="AC1671" s="21">
        <f t="shared" si="1108"/>
        <v>0</v>
      </c>
      <c r="AD1671" s="21">
        <f t="shared" si="1108"/>
        <v>0</v>
      </c>
      <c r="AE1671" s="21">
        <f t="shared" si="1108"/>
        <v>0</v>
      </c>
    </row>
    <row r="1672" spans="3:31" x14ac:dyDescent="0.2">
      <c r="C1672" s="60">
        <v>0</v>
      </c>
      <c r="E1672" s="21">
        <v>0.11596004854573351</v>
      </c>
      <c r="F1672" s="21">
        <f>(C1672=$E$1666)*SUM($E$1670:E1672)+(C1672&gt;$E$1666)*E1672</f>
        <v>0.57980024272866759</v>
      </c>
      <c r="G1672" s="1">
        <f t="shared" ref="G1672:G1691" si="1109">G1671+1</f>
        <v>3</v>
      </c>
      <c r="I1672" s="21">
        <f t="shared" si="1107"/>
        <v>0</v>
      </c>
      <c r="J1672" s="21">
        <f t="shared" si="1107"/>
        <v>0</v>
      </c>
      <c r="K1672" s="21">
        <f t="shared" si="1107"/>
        <v>7.2475030341083449E-2</v>
      </c>
      <c r="L1672" s="21">
        <f t="shared" si="1107"/>
        <v>7.2475030341083449E-2</v>
      </c>
      <c r="M1672" s="21">
        <f t="shared" si="1107"/>
        <v>7.2475030341083449E-2</v>
      </c>
      <c r="N1672" s="21">
        <f t="shared" si="1107"/>
        <v>7.2475030341083449E-2</v>
      </c>
      <c r="O1672" s="21">
        <f t="shared" si="1107"/>
        <v>7.2475030341083449E-2</v>
      </c>
      <c r="P1672" s="21">
        <f t="shared" si="1107"/>
        <v>7.2475030341083449E-2</v>
      </c>
      <c r="Q1672" s="21">
        <f t="shared" si="1107"/>
        <v>7.2475030341083449E-2</v>
      </c>
      <c r="R1672" s="21">
        <f t="shared" si="1107"/>
        <v>7.2475030341083449E-2</v>
      </c>
      <c r="S1672" s="21">
        <f t="shared" si="1107"/>
        <v>0</v>
      </c>
      <c r="T1672" s="21">
        <f t="shared" si="1107"/>
        <v>0</v>
      </c>
      <c r="U1672" s="21">
        <f t="shared" si="1107"/>
        <v>0</v>
      </c>
      <c r="V1672" s="21">
        <f t="shared" si="1107"/>
        <v>0</v>
      </c>
      <c r="W1672" s="21">
        <f t="shared" si="1107"/>
        <v>0</v>
      </c>
      <c r="X1672" s="21">
        <f t="shared" si="1107"/>
        <v>0</v>
      </c>
      <c r="Y1672" s="21">
        <f t="shared" si="1108"/>
        <v>0</v>
      </c>
      <c r="Z1672" s="21">
        <f t="shared" si="1108"/>
        <v>0</v>
      </c>
      <c r="AA1672" s="21">
        <f t="shared" si="1108"/>
        <v>0</v>
      </c>
      <c r="AB1672" s="21">
        <f t="shared" si="1108"/>
        <v>0</v>
      </c>
      <c r="AC1672" s="21">
        <f t="shared" si="1108"/>
        <v>0</v>
      </c>
      <c r="AD1672" s="21">
        <f t="shared" si="1108"/>
        <v>0</v>
      </c>
      <c r="AE1672" s="21">
        <f t="shared" si="1108"/>
        <v>0</v>
      </c>
    </row>
    <row r="1673" spans="3:31" x14ac:dyDescent="0.2">
      <c r="C1673" s="60">
        <v>1</v>
      </c>
      <c r="E1673" s="21">
        <v>0</v>
      </c>
      <c r="F1673" s="21">
        <f>(C1673=$E$1666)*SUM($E$1670:E1673)+(C1673&gt;$E$1666)*E1673</f>
        <v>0</v>
      </c>
      <c r="G1673" s="1">
        <f t="shared" si="1109"/>
        <v>4</v>
      </c>
      <c r="I1673" s="21">
        <f t="shared" si="1107"/>
        <v>0</v>
      </c>
      <c r="J1673" s="21">
        <f t="shared" si="1107"/>
        <v>0</v>
      </c>
      <c r="K1673" s="21">
        <f t="shared" si="1107"/>
        <v>0</v>
      </c>
      <c r="L1673" s="21">
        <f t="shared" si="1107"/>
        <v>0</v>
      </c>
      <c r="M1673" s="21">
        <f t="shared" si="1107"/>
        <v>0</v>
      </c>
      <c r="N1673" s="21">
        <f t="shared" si="1107"/>
        <v>0</v>
      </c>
      <c r="O1673" s="21">
        <f t="shared" si="1107"/>
        <v>0</v>
      </c>
      <c r="P1673" s="21">
        <f t="shared" si="1107"/>
        <v>0</v>
      </c>
      <c r="Q1673" s="21">
        <f t="shared" si="1107"/>
        <v>0</v>
      </c>
      <c r="R1673" s="21">
        <f t="shared" si="1107"/>
        <v>0</v>
      </c>
      <c r="S1673" s="21">
        <f t="shared" si="1107"/>
        <v>0</v>
      </c>
      <c r="T1673" s="21">
        <f t="shared" si="1107"/>
        <v>0</v>
      </c>
      <c r="U1673" s="21">
        <f t="shared" si="1107"/>
        <v>0</v>
      </c>
      <c r="V1673" s="21">
        <f t="shared" si="1107"/>
        <v>0</v>
      </c>
      <c r="W1673" s="21">
        <f t="shared" si="1107"/>
        <v>0</v>
      </c>
      <c r="X1673" s="21">
        <f t="shared" si="1107"/>
        <v>0</v>
      </c>
      <c r="Y1673" s="21">
        <f t="shared" si="1108"/>
        <v>0</v>
      </c>
      <c r="Z1673" s="21">
        <f t="shared" si="1108"/>
        <v>0</v>
      </c>
      <c r="AA1673" s="21">
        <f t="shared" si="1108"/>
        <v>0</v>
      </c>
      <c r="AB1673" s="21">
        <f t="shared" si="1108"/>
        <v>0</v>
      </c>
      <c r="AC1673" s="21">
        <f t="shared" si="1108"/>
        <v>0</v>
      </c>
      <c r="AD1673" s="21">
        <f t="shared" si="1108"/>
        <v>0</v>
      </c>
      <c r="AE1673" s="21">
        <f t="shared" si="1108"/>
        <v>0</v>
      </c>
    </row>
    <row r="1674" spans="3:31" x14ac:dyDescent="0.2">
      <c r="C1674" s="60">
        <v>2</v>
      </c>
      <c r="E1674" s="21">
        <v>0</v>
      </c>
      <c r="F1674" s="21">
        <f>(C1674=$E$1666)*SUM($E$1670:E1674)+(C1674&gt;$E$1666)*E1674</f>
        <v>0</v>
      </c>
      <c r="G1674" s="1">
        <f t="shared" si="1109"/>
        <v>5</v>
      </c>
      <c r="I1674" s="21">
        <f t="shared" si="1107"/>
        <v>0</v>
      </c>
      <c r="J1674" s="21">
        <f t="shared" si="1107"/>
        <v>0</v>
      </c>
      <c r="K1674" s="21">
        <f t="shared" si="1107"/>
        <v>0</v>
      </c>
      <c r="L1674" s="21">
        <f t="shared" si="1107"/>
        <v>0</v>
      </c>
      <c r="M1674" s="21">
        <f t="shared" si="1107"/>
        <v>0</v>
      </c>
      <c r="N1674" s="21">
        <f t="shared" si="1107"/>
        <v>0</v>
      </c>
      <c r="O1674" s="21">
        <f t="shared" si="1107"/>
        <v>0</v>
      </c>
      <c r="P1674" s="21">
        <f t="shared" si="1107"/>
        <v>0</v>
      </c>
      <c r="Q1674" s="21">
        <f t="shared" si="1107"/>
        <v>0</v>
      </c>
      <c r="R1674" s="21">
        <f t="shared" si="1107"/>
        <v>0</v>
      </c>
      <c r="S1674" s="21">
        <f t="shared" si="1107"/>
        <v>0</v>
      </c>
      <c r="T1674" s="21">
        <f t="shared" si="1107"/>
        <v>0</v>
      </c>
      <c r="U1674" s="21">
        <f t="shared" si="1107"/>
        <v>0</v>
      </c>
      <c r="V1674" s="21">
        <f t="shared" si="1107"/>
        <v>0</v>
      </c>
      <c r="W1674" s="21">
        <f t="shared" si="1107"/>
        <v>0</v>
      </c>
      <c r="X1674" s="21">
        <f t="shared" si="1107"/>
        <v>0</v>
      </c>
      <c r="Y1674" s="21">
        <f t="shared" si="1108"/>
        <v>0</v>
      </c>
      <c r="Z1674" s="21">
        <f t="shared" si="1108"/>
        <v>0</v>
      </c>
      <c r="AA1674" s="21">
        <f t="shared" si="1108"/>
        <v>0</v>
      </c>
      <c r="AB1674" s="21">
        <f t="shared" si="1108"/>
        <v>0</v>
      </c>
      <c r="AC1674" s="21">
        <f t="shared" si="1108"/>
        <v>0</v>
      </c>
      <c r="AD1674" s="21">
        <f t="shared" si="1108"/>
        <v>0</v>
      </c>
      <c r="AE1674" s="21">
        <f t="shared" si="1108"/>
        <v>0</v>
      </c>
    </row>
    <row r="1675" spans="3:31" x14ac:dyDescent="0.2">
      <c r="C1675" s="60">
        <v>3</v>
      </c>
      <c r="E1675" s="21">
        <v>0</v>
      </c>
      <c r="F1675" s="21">
        <f>(C1675=$E$1666)*SUM($E$1670:E1675)+(C1675&gt;$E$1666)*E1675</f>
        <v>0</v>
      </c>
      <c r="G1675" s="1">
        <f t="shared" si="1109"/>
        <v>6</v>
      </c>
      <c r="I1675" s="21">
        <f t="shared" si="1107"/>
        <v>0</v>
      </c>
      <c r="J1675" s="21">
        <f t="shared" si="1107"/>
        <v>0</v>
      </c>
      <c r="K1675" s="21">
        <f t="shared" si="1107"/>
        <v>0</v>
      </c>
      <c r="L1675" s="21">
        <f t="shared" si="1107"/>
        <v>0</v>
      </c>
      <c r="M1675" s="21">
        <f t="shared" si="1107"/>
        <v>0</v>
      </c>
      <c r="N1675" s="21">
        <f t="shared" si="1107"/>
        <v>0</v>
      </c>
      <c r="O1675" s="21">
        <f t="shared" si="1107"/>
        <v>0</v>
      </c>
      <c r="P1675" s="21">
        <f t="shared" si="1107"/>
        <v>0</v>
      </c>
      <c r="Q1675" s="21">
        <f t="shared" si="1107"/>
        <v>0</v>
      </c>
      <c r="R1675" s="21">
        <f t="shared" si="1107"/>
        <v>0</v>
      </c>
      <c r="S1675" s="21">
        <f t="shared" si="1107"/>
        <v>0</v>
      </c>
      <c r="T1675" s="21">
        <f t="shared" si="1107"/>
        <v>0</v>
      </c>
      <c r="U1675" s="21">
        <f t="shared" si="1107"/>
        <v>0</v>
      </c>
      <c r="V1675" s="21">
        <f t="shared" si="1107"/>
        <v>0</v>
      </c>
      <c r="W1675" s="21">
        <f t="shared" si="1107"/>
        <v>0</v>
      </c>
      <c r="X1675" s="21">
        <f t="shared" si="1107"/>
        <v>0</v>
      </c>
      <c r="Y1675" s="21">
        <f t="shared" si="1108"/>
        <v>0</v>
      </c>
      <c r="Z1675" s="21">
        <f t="shared" si="1108"/>
        <v>0</v>
      </c>
      <c r="AA1675" s="21">
        <f t="shared" si="1108"/>
        <v>0</v>
      </c>
      <c r="AB1675" s="21">
        <f t="shared" si="1108"/>
        <v>0</v>
      </c>
      <c r="AC1675" s="21">
        <f t="shared" si="1108"/>
        <v>0</v>
      </c>
      <c r="AD1675" s="21">
        <f t="shared" si="1108"/>
        <v>0</v>
      </c>
      <c r="AE1675" s="21">
        <f t="shared" si="1108"/>
        <v>0</v>
      </c>
    </row>
    <row r="1676" spans="3:31" x14ac:dyDescent="0.2">
      <c r="C1676" s="60">
        <v>4</v>
      </c>
      <c r="E1676" s="21">
        <v>0</v>
      </c>
      <c r="F1676" s="21">
        <f>(C1676=$E$1666)*SUM($E$1670:E1676)+(C1676&gt;$E$1666)*E1676</f>
        <v>0</v>
      </c>
      <c r="G1676" s="1">
        <f t="shared" si="1109"/>
        <v>7</v>
      </c>
      <c r="I1676" s="21">
        <f t="shared" si="1107"/>
        <v>0</v>
      </c>
      <c r="J1676" s="21">
        <f t="shared" si="1107"/>
        <v>0</v>
      </c>
      <c r="K1676" s="21">
        <f t="shared" si="1107"/>
        <v>0</v>
      </c>
      <c r="L1676" s="21">
        <f t="shared" si="1107"/>
        <v>0</v>
      </c>
      <c r="M1676" s="21">
        <f t="shared" si="1107"/>
        <v>0</v>
      </c>
      <c r="N1676" s="21">
        <f t="shared" si="1107"/>
        <v>0</v>
      </c>
      <c r="O1676" s="21">
        <f t="shared" si="1107"/>
        <v>0</v>
      </c>
      <c r="P1676" s="21">
        <f t="shared" si="1107"/>
        <v>0</v>
      </c>
      <c r="Q1676" s="21">
        <f t="shared" si="1107"/>
        <v>0</v>
      </c>
      <c r="R1676" s="21">
        <f t="shared" si="1107"/>
        <v>0</v>
      </c>
      <c r="S1676" s="21">
        <f t="shared" si="1107"/>
        <v>0</v>
      </c>
      <c r="T1676" s="21">
        <f t="shared" si="1107"/>
        <v>0</v>
      </c>
      <c r="U1676" s="21">
        <f t="shared" si="1107"/>
        <v>0</v>
      </c>
      <c r="V1676" s="21">
        <f t="shared" si="1107"/>
        <v>0</v>
      </c>
      <c r="W1676" s="21">
        <f t="shared" si="1107"/>
        <v>0</v>
      </c>
      <c r="X1676" s="21">
        <f t="shared" si="1107"/>
        <v>0</v>
      </c>
      <c r="Y1676" s="21">
        <f t="shared" si="1108"/>
        <v>0</v>
      </c>
      <c r="Z1676" s="21">
        <f t="shared" si="1108"/>
        <v>0</v>
      </c>
      <c r="AA1676" s="21">
        <f t="shared" si="1108"/>
        <v>0</v>
      </c>
      <c r="AB1676" s="21">
        <f t="shared" si="1108"/>
        <v>0</v>
      </c>
      <c r="AC1676" s="21">
        <f t="shared" si="1108"/>
        <v>0</v>
      </c>
      <c r="AD1676" s="21">
        <f t="shared" si="1108"/>
        <v>0</v>
      </c>
      <c r="AE1676" s="21">
        <f t="shared" si="1108"/>
        <v>0</v>
      </c>
    </row>
    <row r="1677" spans="3:31" x14ac:dyDescent="0.2">
      <c r="C1677" s="60">
        <v>5</v>
      </c>
      <c r="E1677" s="21">
        <v>0</v>
      </c>
      <c r="F1677" s="21">
        <f>(C1677=$E$1666)*SUM($E$1670:E1677)+(C1677&gt;$E$1666)*E1677</f>
        <v>0</v>
      </c>
      <c r="G1677" s="1">
        <f t="shared" si="1109"/>
        <v>8</v>
      </c>
      <c r="I1677" s="21">
        <f t="shared" si="1107"/>
        <v>0</v>
      </c>
      <c r="J1677" s="21">
        <f t="shared" si="1107"/>
        <v>0</v>
      </c>
      <c r="K1677" s="21">
        <f t="shared" si="1107"/>
        <v>0</v>
      </c>
      <c r="L1677" s="21">
        <f t="shared" si="1107"/>
        <v>0</v>
      </c>
      <c r="M1677" s="21">
        <f t="shared" si="1107"/>
        <v>0</v>
      </c>
      <c r="N1677" s="21">
        <f t="shared" si="1107"/>
        <v>0</v>
      </c>
      <c r="O1677" s="21">
        <f t="shared" si="1107"/>
        <v>0</v>
      </c>
      <c r="P1677" s="21">
        <f t="shared" si="1107"/>
        <v>0</v>
      </c>
      <c r="Q1677" s="21">
        <f t="shared" si="1107"/>
        <v>0</v>
      </c>
      <c r="R1677" s="21">
        <f t="shared" si="1107"/>
        <v>0</v>
      </c>
      <c r="S1677" s="21">
        <f t="shared" si="1107"/>
        <v>0</v>
      </c>
      <c r="T1677" s="21">
        <f t="shared" si="1107"/>
        <v>0</v>
      </c>
      <c r="U1677" s="21">
        <f t="shared" si="1107"/>
        <v>0</v>
      </c>
      <c r="V1677" s="21">
        <f t="shared" si="1107"/>
        <v>0</v>
      </c>
      <c r="W1677" s="21">
        <f t="shared" si="1107"/>
        <v>0</v>
      </c>
      <c r="X1677" s="21">
        <f t="shared" si="1107"/>
        <v>0</v>
      </c>
      <c r="Y1677" s="21">
        <f t="shared" si="1108"/>
        <v>0</v>
      </c>
      <c r="Z1677" s="21">
        <f t="shared" si="1108"/>
        <v>0</v>
      </c>
      <c r="AA1677" s="21">
        <f t="shared" si="1108"/>
        <v>0</v>
      </c>
      <c r="AB1677" s="21">
        <f t="shared" si="1108"/>
        <v>0</v>
      </c>
      <c r="AC1677" s="21">
        <f t="shared" si="1108"/>
        <v>0</v>
      </c>
      <c r="AD1677" s="21">
        <f t="shared" si="1108"/>
        <v>0</v>
      </c>
      <c r="AE1677" s="21">
        <f t="shared" si="1108"/>
        <v>0</v>
      </c>
    </row>
    <row r="1678" spans="3:31" x14ac:dyDescent="0.2">
      <c r="C1678" s="60">
        <v>6</v>
      </c>
      <c r="E1678" s="21">
        <v>0</v>
      </c>
      <c r="F1678" s="21">
        <f>(C1678=$E$1666)*SUM($E$1670:E1678)+(C1678&gt;$E$1666)*E1678</f>
        <v>0</v>
      </c>
      <c r="G1678" s="1">
        <f t="shared" si="1109"/>
        <v>9</v>
      </c>
      <c r="I1678" s="21">
        <f t="shared" si="1107"/>
        <v>0</v>
      </c>
      <c r="J1678" s="21">
        <f t="shared" si="1107"/>
        <v>0</v>
      </c>
      <c r="K1678" s="21">
        <f t="shared" si="1107"/>
        <v>0</v>
      </c>
      <c r="L1678" s="21">
        <f t="shared" si="1107"/>
        <v>0</v>
      </c>
      <c r="M1678" s="21">
        <f t="shared" si="1107"/>
        <v>0</v>
      </c>
      <c r="N1678" s="21">
        <f t="shared" si="1107"/>
        <v>0</v>
      </c>
      <c r="O1678" s="21">
        <f t="shared" si="1107"/>
        <v>0</v>
      </c>
      <c r="P1678" s="21">
        <f t="shared" si="1107"/>
        <v>0</v>
      </c>
      <c r="Q1678" s="21">
        <f t="shared" si="1107"/>
        <v>0</v>
      </c>
      <c r="R1678" s="21">
        <f t="shared" si="1107"/>
        <v>0</v>
      </c>
      <c r="S1678" s="21">
        <f t="shared" si="1107"/>
        <v>0</v>
      </c>
      <c r="T1678" s="21">
        <f t="shared" si="1107"/>
        <v>0</v>
      </c>
      <c r="U1678" s="21">
        <f t="shared" si="1107"/>
        <v>0</v>
      </c>
      <c r="V1678" s="21">
        <f t="shared" si="1107"/>
        <v>0</v>
      </c>
      <c r="W1678" s="21">
        <f t="shared" si="1107"/>
        <v>0</v>
      </c>
      <c r="X1678" s="21">
        <f t="shared" si="1107"/>
        <v>0</v>
      </c>
      <c r="Y1678" s="21">
        <f t="shared" si="1108"/>
        <v>0</v>
      </c>
      <c r="Z1678" s="21">
        <f t="shared" si="1108"/>
        <v>0</v>
      </c>
      <c r="AA1678" s="21">
        <f t="shared" si="1108"/>
        <v>0</v>
      </c>
      <c r="AB1678" s="21">
        <f t="shared" si="1108"/>
        <v>0</v>
      </c>
      <c r="AC1678" s="21">
        <f t="shared" si="1108"/>
        <v>0</v>
      </c>
      <c r="AD1678" s="21">
        <f t="shared" si="1108"/>
        <v>0</v>
      </c>
      <c r="AE1678" s="21">
        <f t="shared" si="1108"/>
        <v>0</v>
      </c>
    </row>
    <row r="1679" spans="3:31" x14ac:dyDescent="0.2">
      <c r="C1679" s="60">
        <v>7</v>
      </c>
      <c r="E1679" s="21">
        <v>0</v>
      </c>
      <c r="F1679" s="21">
        <f>(C1679=$E$1666)*SUM($E$1670:E1679)+(C1679&gt;$E$1666)*E1679</f>
        <v>0</v>
      </c>
      <c r="G1679" s="1">
        <f t="shared" si="1109"/>
        <v>10</v>
      </c>
      <c r="I1679" s="21">
        <f t="shared" si="1107"/>
        <v>0</v>
      </c>
      <c r="J1679" s="21">
        <f t="shared" si="1107"/>
        <v>0</v>
      </c>
      <c r="K1679" s="21">
        <f t="shared" si="1107"/>
        <v>0</v>
      </c>
      <c r="L1679" s="21">
        <f t="shared" si="1107"/>
        <v>0</v>
      </c>
      <c r="M1679" s="21">
        <f t="shared" si="1107"/>
        <v>0</v>
      </c>
      <c r="N1679" s="21">
        <f t="shared" si="1107"/>
        <v>0</v>
      </c>
      <c r="O1679" s="21">
        <f t="shared" si="1107"/>
        <v>0</v>
      </c>
      <c r="P1679" s="21">
        <f t="shared" si="1107"/>
        <v>0</v>
      </c>
      <c r="Q1679" s="21">
        <f t="shared" si="1107"/>
        <v>0</v>
      </c>
      <c r="R1679" s="21">
        <f t="shared" si="1107"/>
        <v>0</v>
      </c>
      <c r="S1679" s="21">
        <f t="shared" si="1107"/>
        <v>0</v>
      </c>
      <c r="T1679" s="21">
        <f t="shared" si="1107"/>
        <v>0</v>
      </c>
      <c r="U1679" s="21">
        <f t="shared" si="1107"/>
        <v>0</v>
      </c>
      <c r="V1679" s="21">
        <f t="shared" si="1107"/>
        <v>0</v>
      </c>
      <c r="W1679" s="21">
        <f t="shared" si="1107"/>
        <v>0</v>
      </c>
      <c r="X1679" s="21">
        <f t="shared" si="1107"/>
        <v>0</v>
      </c>
      <c r="Y1679" s="21">
        <f t="shared" si="1108"/>
        <v>0</v>
      </c>
      <c r="Z1679" s="21">
        <f t="shared" si="1108"/>
        <v>0</v>
      </c>
      <c r="AA1679" s="21">
        <f t="shared" si="1108"/>
        <v>0</v>
      </c>
      <c r="AB1679" s="21">
        <f t="shared" si="1108"/>
        <v>0</v>
      </c>
      <c r="AC1679" s="21">
        <f t="shared" si="1108"/>
        <v>0</v>
      </c>
      <c r="AD1679" s="21">
        <f t="shared" si="1108"/>
        <v>0</v>
      </c>
      <c r="AE1679" s="21">
        <f t="shared" si="1108"/>
        <v>0</v>
      </c>
    </row>
    <row r="1680" spans="3:31" x14ac:dyDescent="0.2">
      <c r="C1680" s="60">
        <v>8</v>
      </c>
      <c r="E1680" s="21">
        <v>0</v>
      </c>
      <c r="F1680" s="21">
        <f>(C1680=$E$1666)*SUM($E$1670:E1680)+(C1680&gt;$E$1666)*E1680</f>
        <v>0</v>
      </c>
      <c r="G1680" s="1">
        <f t="shared" si="1109"/>
        <v>11</v>
      </c>
      <c r="I1680" s="21">
        <f t="shared" si="1107"/>
        <v>0</v>
      </c>
      <c r="J1680" s="21">
        <f t="shared" si="1107"/>
        <v>0</v>
      </c>
      <c r="K1680" s="21">
        <f t="shared" si="1107"/>
        <v>0</v>
      </c>
      <c r="L1680" s="21">
        <f t="shared" si="1107"/>
        <v>0</v>
      </c>
      <c r="M1680" s="21">
        <f t="shared" si="1107"/>
        <v>0</v>
      </c>
      <c r="N1680" s="21">
        <f t="shared" si="1107"/>
        <v>0</v>
      </c>
      <c r="O1680" s="21">
        <f t="shared" si="1107"/>
        <v>0</v>
      </c>
      <c r="P1680" s="21">
        <f t="shared" si="1107"/>
        <v>0</v>
      </c>
      <c r="Q1680" s="21">
        <f t="shared" si="1107"/>
        <v>0</v>
      </c>
      <c r="R1680" s="21">
        <f t="shared" si="1107"/>
        <v>0</v>
      </c>
      <c r="S1680" s="21">
        <f t="shared" si="1107"/>
        <v>0</v>
      </c>
      <c r="T1680" s="21">
        <f t="shared" si="1107"/>
        <v>0</v>
      </c>
      <c r="U1680" s="21">
        <f t="shared" si="1107"/>
        <v>0</v>
      </c>
      <c r="V1680" s="21">
        <f t="shared" si="1107"/>
        <v>0</v>
      </c>
      <c r="W1680" s="21">
        <f t="shared" si="1107"/>
        <v>0</v>
      </c>
      <c r="X1680" s="21">
        <f t="shared" si="1107"/>
        <v>0</v>
      </c>
      <c r="Y1680" s="21">
        <f t="shared" si="1108"/>
        <v>0</v>
      </c>
      <c r="Z1680" s="21">
        <f t="shared" si="1108"/>
        <v>0</v>
      </c>
      <c r="AA1680" s="21">
        <f t="shared" si="1108"/>
        <v>0</v>
      </c>
      <c r="AB1680" s="21">
        <f t="shared" si="1108"/>
        <v>0</v>
      </c>
      <c r="AC1680" s="21">
        <f t="shared" si="1108"/>
        <v>0</v>
      </c>
      <c r="AD1680" s="21">
        <f t="shared" si="1108"/>
        <v>0</v>
      </c>
      <c r="AE1680" s="21">
        <f t="shared" si="1108"/>
        <v>0</v>
      </c>
    </row>
    <row r="1681" spans="2:31" x14ac:dyDescent="0.2">
      <c r="C1681" s="60">
        <v>9</v>
      </c>
      <c r="E1681" s="21">
        <v>0</v>
      </c>
      <c r="F1681" s="21">
        <f>(C1681=$E$1666)*SUM($E$1670:E1681)+(C1681&gt;$E$1666)*E1681</f>
        <v>0</v>
      </c>
      <c r="G1681" s="1">
        <f t="shared" si="1109"/>
        <v>12</v>
      </c>
      <c r="I1681" s="21">
        <f t="shared" si="1107"/>
        <v>0</v>
      </c>
      <c r="J1681" s="21">
        <f t="shared" si="1107"/>
        <v>0</v>
      </c>
      <c r="K1681" s="21">
        <f t="shared" si="1107"/>
        <v>0</v>
      </c>
      <c r="L1681" s="21">
        <f t="shared" si="1107"/>
        <v>0</v>
      </c>
      <c r="M1681" s="21">
        <f t="shared" si="1107"/>
        <v>0</v>
      </c>
      <c r="N1681" s="21">
        <f t="shared" si="1107"/>
        <v>0</v>
      </c>
      <c r="O1681" s="21">
        <f t="shared" si="1107"/>
        <v>0</v>
      </c>
      <c r="P1681" s="21">
        <f t="shared" si="1107"/>
        <v>0</v>
      </c>
      <c r="Q1681" s="21">
        <f t="shared" si="1107"/>
        <v>0</v>
      </c>
      <c r="R1681" s="21">
        <f t="shared" si="1107"/>
        <v>0</v>
      </c>
      <c r="S1681" s="21">
        <f t="shared" si="1107"/>
        <v>0</v>
      </c>
      <c r="T1681" s="21">
        <f t="shared" si="1107"/>
        <v>0</v>
      </c>
      <c r="U1681" s="21">
        <f t="shared" si="1107"/>
        <v>0</v>
      </c>
      <c r="V1681" s="21">
        <f t="shared" si="1107"/>
        <v>0</v>
      </c>
      <c r="W1681" s="21">
        <f t="shared" si="1107"/>
        <v>0</v>
      </c>
      <c r="X1681" s="21">
        <f t="shared" si="1107"/>
        <v>0</v>
      </c>
      <c r="Y1681" s="21">
        <f t="shared" si="1108"/>
        <v>0</v>
      </c>
      <c r="Z1681" s="21">
        <f t="shared" si="1108"/>
        <v>0</v>
      </c>
      <c r="AA1681" s="21">
        <f t="shared" si="1108"/>
        <v>0</v>
      </c>
      <c r="AB1681" s="21">
        <f t="shared" si="1108"/>
        <v>0</v>
      </c>
      <c r="AC1681" s="21">
        <f t="shared" si="1108"/>
        <v>0</v>
      </c>
      <c r="AD1681" s="21">
        <f t="shared" si="1108"/>
        <v>0</v>
      </c>
      <c r="AE1681" s="21">
        <f t="shared" si="1108"/>
        <v>0</v>
      </c>
    </row>
    <row r="1682" spans="2:31" x14ac:dyDescent="0.2">
      <c r="C1682" s="60">
        <v>10</v>
      </c>
      <c r="E1682" s="21">
        <v>0</v>
      </c>
      <c r="F1682" s="21">
        <f>(C1682=$E$1666)*SUM($E$1670:E1682)+(C1682&gt;$E$1666)*E1682</f>
        <v>0</v>
      </c>
      <c r="G1682" s="1">
        <f t="shared" si="1109"/>
        <v>13</v>
      </c>
      <c r="I1682" s="21">
        <f t="shared" si="1107"/>
        <v>0</v>
      </c>
      <c r="J1682" s="21">
        <f t="shared" si="1107"/>
        <v>0</v>
      </c>
      <c r="K1682" s="21">
        <f t="shared" si="1107"/>
        <v>0</v>
      </c>
      <c r="L1682" s="21">
        <f t="shared" si="1107"/>
        <v>0</v>
      </c>
      <c r="M1682" s="21">
        <f t="shared" si="1107"/>
        <v>0</v>
      </c>
      <c r="N1682" s="21">
        <f t="shared" si="1107"/>
        <v>0</v>
      </c>
      <c r="O1682" s="21">
        <f t="shared" si="1107"/>
        <v>0</v>
      </c>
      <c r="P1682" s="21">
        <f t="shared" si="1107"/>
        <v>0</v>
      </c>
      <c r="Q1682" s="21">
        <f t="shared" si="1107"/>
        <v>0</v>
      </c>
      <c r="R1682" s="21">
        <f t="shared" si="1107"/>
        <v>0</v>
      </c>
      <c r="S1682" s="21">
        <f t="shared" si="1107"/>
        <v>0</v>
      </c>
      <c r="T1682" s="21">
        <f t="shared" si="1107"/>
        <v>0</v>
      </c>
      <c r="U1682" s="21">
        <f t="shared" si="1107"/>
        <v>0</v>
      </c>
      <c r="V1682" s="21">
        <f t="shared" si="1107"/>
        <v>0</v>
      </c>
      <c r="W1682" s="21">
        <f t="shared" si="1107"/>
        <v>0</v>
      </c>
      <c r="X1682" s="21">
        <f t="shared" si="1107"/>
        <v>0</v>
      </c>
      <c r="Y1682" s="21">
        <f t="shared" si="1108"/>
        <v>0</v>
      </c>
      <c r="Z1682" s="21">
        <f t="shared" si="1108"/>
        <v>0</v>
      </c>
      <c r="AA1682" s="21">
        <f t="shared" si="1108"/>
        <v>0</v>
      </c>
      <c r="AB1682" s="21">
        <f t="shared" si="1108"/>
        <v>0</v>
      </c>
      <c r="AC1682" s="21">
        <f t="shared" si="1108"/>
        <v>0</v>
      </c>
      <c r="AD1682" s="21">
        <f t="shared" si="1108"/>
        <v>0</v>
      </c>
      <c r="AE1682" s="21">
        <f t="shared" si="1108"/>
        <v>0</v>
      </c>
    </row>
    <row r="1683" spans="2:31" x14ac:dyDescent="0.2">
      <c r="C1683" s="60">
        <v>11</v>
      </c>
      <c r="E1683" s="21">
        <v>0</v>
      </c>
      <c r="F1683" s="21">
        <f>(C1683=$E$1666)*SUM($E$1670:E1683)+(C1683&gt;$E$1666)*E1683</f>
        <v>0</v>
      </c>
      <c r="G1683" s="1">
        <f t="shared" si="1109"/>
        <v>14</v>
      </c>
      <c r="I1683" s="21">
        <f t="shared" si="1107"/>
        <v>0</v>
      </c>
      <c r="J1683" s="21">
        <f t="shared" si="1107"/>
        <v>0</v>
      </c>
      <c r="K1683" s="21">
        <f t="shared" si="1107"/>
        <v>0</v>
      </c>
      <c r="L1683" s="21">
        <f t="shared" si="1107"/>
        <v>0</v>
      </c>
      <c r="M1683" s="21">
        <f t="shared" si="1107"/>
        <v>0</v>
      </c>
      <c r="N1683" s="21">
        <f t="shared" si="1107"/>
        <v>0</v>
      </c>
      <c r="O1683" s="21">
        <f t="shared" si="1107"/>
        <v>0</v>
      </c>
      <c r="P1683" s="21">
        <f t="shared" si="1107"/>
        <v>0</v>
      </c>
      <c r="Q1683" s="21">
        <f t="shared" si="1107"/>
        <v>0</v>
      </c>
      <c r="R1683" s="21">
        <f t="shared" si="1107"/>
        <v>0</v>
      </c>
      <c r="S1683" s="21">
        <f t="shared" si="1107"/>
        <v>0</v>
      </c>
      <c r="T1683" s="21">
        <f t="shared" si="1107"/>
        <v>0</v>
      </c>
      <c r="U1683" s="21">
        <f t="shared" si="1107"/>
        <v>0</v>
      </c>
      <c r="V1683" s="21">
        <f t="shared" si="1107"/>
        <v>0</v>
      </c>
      <c r="W1683" s="21">
        <f t="shared" si="1107"/>
        <v>0</v>
      </c>
      <c r="X1683" s="21">
        <f t="shared" si="1107"/>
        <v>0</v>
      </c>
      <c r="Y1683" s="21">
        <f t="shared" si="1108"/>
        <v>0</v>
      </c>
      <c r="Z1683" s="21">
        <f t="shared" si="1108"/>
        <v>0</v>
      </c>
      <c r="AA1683" s="21">
        <f t="shared" si="1108"/>
        <v>0</v>
      </c>
      <c r="AB1683" s="21">
        <f t="shared" si="1108"/>
        <v>0</v>
      </c>
      <c r="AC1683" s="21">
        <f t="shared" si="1108"/>
        <v>0</v>
      </c>
      <c r="AD1683" s="21">
        <f t="shared" si="1108"/>
        <v>0</v>
      </c>
      <c r="AE1683" s="21">
        <f t="shared" si="1108"/>
        <v>0</v>
      </c>
    </row>
    <row r="1684" spans="2:31" x14ac:dyDescent="0.2">
      <c r="C1684" s="60">
        <v>12</v>
      </c>
      <c r="E1684" s="21">
        <v>0</v>
      </c>
      <c r="F1684" s="21">
        <f>(C1684=$E$1666)*SUM($E$1670:E1684)+(C1684&gt;$E$1666)*E1684</f>
        <v>0</v>
      </c>
      <c r="G1684" s="1">
        <f t="shared" si="1109"/>
        <v>15</v>
      </c>
      <c r="I1684" s="21">
        <f t="shared" si="1107"/>
        <v>0</v>
      </c>
      <c r="J1684" s="21">
        <f t="shared" si="1107"/>
        <v>0</v>
      </c>
      <c r="K1684" s="21">
        <f t="shared" si="1107"/>
        <v>0</v>
      </c>
      <c r="L1684" s="21">
        <f t="shared" si="1107"/>
        <v>0</v>
      </c>
      <c r="M1684" s="21">
        <f t="shared" si="1107"/>
        <v>0</v>
      </c>
      <c r="N1684" s="21">
        <f t="shared" si="1107"/>
        <v>0</v>
      </c>
      <c r="O1684" s="21">
        <f t="shared" si="1107"/>
        <v>0</v>
      </c>
      <c r="P1684" s="21">
        <f t="shared" si="1107"/>
        <v>0</v>
      </c>
      <c r="Q1684" s="21">
        <f t="shared" si="1107"/>
        <v>0</v>
      </c>
      <c r="R1684" s="21">
        <f t="shared" si="1107"/>
        <v>0</v>
      </c>
      <c r="S1684" s="21">
        <f t="shared" si="1107"/>
        <v>0</v>
      </c>
      <c r="T1684" s="21">
        <f t="shared" si="1107"/>
        <v>0</v>
      </c>
      <c r="U1684" s="21">
        <f t="shared" si="1107"/>
        <v>0</v>
      </c>
      <c r="V1684" s="21">
        <f t="shared" si="1107"/>
        <v>0</v>
      </c>
      <c r="W1684" s="21">
        <f t="shared" si="1107"/>
        <v>0</v>
      </c>
      <c r="X1684" s="21">
        <f t="shared" si="1107"/>
        <v>0</v>
      </c>
      <c r="Y1684" s="21">
        <f t="shared" si="1108"/>
        <v>0</v>
      </c>
      <c r="Z1684" s="21">
        <f t="shared" si="1108"/>
        <v>0</v>
      </c>
      <c r="AA1684" s="21">
        <f t="shared" si="1108"/>
        <v>0</v>
      </c>
      <c r="AB1684" s="21">
        <f t="shared" si="1108"/>
        <v>0</v>
      </c>
      <c r="AC1684" s="21">
        <f t="shared" si="1108"/>
        <v>0</v>
      </c>
      <c r="AD1684" s="21">
        <f t="shared" si="1108"/>
        <v>0</v>
      </c>
      <c r="AE1684" s="21">
        <f t="shared" si="1108"/>
        <v>0</v>
      </c>
    </row>
    <row r="1685" spans="2:31" x14ac:dyDescent="0.2">
      <c r="C1685" s="60">
        <v>13</v>
      </c>
      <c r="E1685" s="21">
        <v>0</v>
      </c>
      <c r="F1685" s="21">
        <f>(C1685=$E$1666)*SUM($E$1670:E1685)+(C1685&gt;$E$1666)*E1685</f>
        <v>0</v>
      </c>
      <c r="G1685" s="1">
        <f t="shared" si="1109"/>
        <v>16</v>
      </c>
      <c r="I1685" s="21">
        <f t="shared" si="1107"/>
        <v>0</v>
      </c>
      <c r="J1685" s="21">
        <f t="shared" si="1107"/>
        <v>0</v>
      </c>
      <c r="K1685" s="21">
        <f t="shared" si="1107"/>
        <v>0</v>
      </c>
      <c r="L1685" s="21">
        <f t="shared" si="1107"/>
        <v>0</v>
      </c>
      <c r="M1685" s="21">
        <f t="shared" si="1107"/>
        <v>0</v>
      </c>
      <c r="N1685" s="21">
        <f t="shared" si="1107"/>
        <v>0</v>
      </c>
      <c r="O1685" s="21">
        <f t="shared" si="1107"/>
        <v>0</v>
      </c>
      <c r="P1685" s="21">
        <f t="shared" si="1107"/>
        <v>0</v>
      </c>
      <c r="Q1685" s="21">
        <f t="shared" si="1107"/>
        <v>0</v>
      </c>
      <c r="R1685" s="21">
        <f t="shared" si="1107"/>
        <v>0</v>
      </c>
      <c r="S1685" s="21">
        <f t="shared" si="1107"/>
        <v>0</v>
      </c>
      <c r="T1685" s="21">
        <f t="shared" si="1107"/>
        <v>0</v>
      </c>
      <c r="U1685" s="21">
        <f t="shared" si="1107"/>
        <v>0</v>
      </c>
      <c r="V1685" s="21">
        <f t="shared" si="1107"/>
        <v>0</v>
      </c>
      <c r="W1685" s="21">
        <f t="shared" si="1107"/>
        <v>0</v>
      </c>
      <c r="X1685" s="21">
        <f t="shared" ref="X1685:AE1692" si="1110">AND(X$1585&gt;=$G1685,X$1585&lt;$G1685+$E$1582)*($F1685/$E$1582)</f>
        <v>0</v>
      </c>
      <c r="Y1685" s="21">
        <f t="shared" si="1110"/>
        <v>0</v>
      </c>
      <c r="Z1685" s="21">
        <f t="shared" si="1108"/>
        <v>0</v>
      </c>
      <c r="AA1685" s="21">
        <f t="shared" si="1108"/>
        <v>0</v>
      </c>
      <c r="AB1685" s="21">
        <f t="shared" si="1108"/>
        <v>0</v>
      </c>
      <c r="AC1685" s="21">
        <f t="shared" si="1108"/>
        <v>0</v>
      </c>
      <c r="AD1685" s="21">
        <f t="shared" si="1108"/>
        <v>0</v>
      </c>
      <c r="AE1685" s="21">
        <f t="shared" si="1108"/>
        <v>0</v>
      </c>
    </row>
    <row r="1686" spans="2:31" x14ac:dyDescent="0.2">
      <c r="C1686" s="60">
        <v>14</v>
      </c>
      <c r="E1686" s="21">
        <v>0</v>
      </c>
      <c r="F1686" s="21">
        <f>(C1686=$E$1666)*SUM($E$1670:E1686)+(C1686&gt;$E$1666)*E1686</f>
        <v>0</v>
      </c>
      <c r="G1686" s="1">
        <f t="shared" si="1109"/>
        <v>17</v>
      </c>
      <c r="I1686" s="21">
        <f t="shared" ref="I1686:X1692" si="1111">AND(I$1585&gt;=$G1686,I$1585&lt;$G1686+$E$1582)*($F1686/$E$1582)</f>
        <v>0</v>
      </c>
      <c r="J1686" s="21">
        <f t="shared" si="1111"/>
        <v>0</v>
      </c>
      <c r="K1686" s="21">
        <f t="shared" si="1111"/>
        <v>0</v>
      </c>
      <c r="L1686" s="21">
        <f t="shared" si="1111"/>
        <v>0</v>
      </c>
      <c r="M1686" s="21">
        <f t="shared" si="1111"/>
        <v>0</v>
      </c>
      <c r="N1686" s="21">
        <f t="shared" si="1111"/>
        <v>0</v>
      </c>
      <c r="O1686" s="21">
        <f t="shared" si="1111"/>
        <v>0</v>
      </c>
      <c r="P1686" s="21">
        <f t="shared" si="1111"/>
        <v>0</v>
      </c>
      <c r="Q1686" s="21">
        <f t="shared" si="1111"/>
        <v>0</v>
      </c>
      <c r="R1686" s="21">
        <f t="shared" si="1111"/>
        <v>0</v>
      </c>
      <c r="S1686" s="21">
        <f t="shared" si="1111"/>
        <v>0</v>
      </c>
      <c r="T1686" s="21">
        <f t="shared" si="1111"/>
        <v>0</v>
      </c>
      <c r="U1686" s="21">
        <f t="shared" si="1111"/>
        <v>0</v>
      </c>
      <c r="V1686" s="21">
        <f t="shared" si="1111"/>
        <v>0</v>
      </c>
      <c r="W1686" s="21">
        <f t="shared" si="1111"/>
        <v>0</v>
      </c>
      <c r="X1686" s="21">
        <f t="shared" si="1111"/>
        <v>0</v>
      </c>
      <c r="Y1686" s="21">
        <f t="shared" si="1110"/>
        <v>0</v>
      </c>
      <c r="Z1686" s="21">
        <f t="shared" si="1110"/>
        <v>0</v>
      </c>
      <c r="AA1686" s="21">
        <f t="shared" si="1110"/>
        <v>0</v>
      </c>
      <c r="AB1686" s="21">
        <f t="shared" si="1110"/>
        <v>0</v>
      </c>
      <c r="AC1686" s="21">
        <f t="shared" si="1110"/>
        <v>0</v>
      </c>
      <c r="AD1686" s="21">
        <f t="shared" si="1110"/>
        <v>0</v>
      </c>
      <c r="AE1686" s="21">
        <f t="shared" si="1110"/>
        <v>0</v>
      </c>
    </row>
    <row r="1687" spans="2:31" x14ac:dyDescent="0.2">
      <c r="C1687" s="60">
        <v>15</v>
      </c>
      <c r="E1687" s="21">
        <v>0</v>
      </c>
      <c r="F1687" s="21">
        <f>(C1687=$E$1666)*SUM($E$1670:E1687)+(C1687&gt;$E$1666)*E1687</f>
        <v>0</v>
      </c>
      <c r="G1687" s="1">
        <f t="shared" si="1109"/>
        <v>18</v>
      </c>
      <c r="I1687" s="21">
        <f t="shared" si="1111"/>
        <v>0</v>
      </c>
      <c r="J1687" s="21">
        <f t="shared" si="1111"/>
        <v>0</v>
      </c>
      <c r="K1687" s="21">
        <f t="shared" si="1111"/>
        <v>0</v>
      </c>
      <c r="L1687" s="21">
        <f t="shared" si="1111"/>
        <v>0</v>
      </c>
      <c r="M1687" s="21">
        <f t="shared" si="1111"/>
        <v>0</v>
      </c>
      <c r="N1687" s="21">
        <f t="shared" si="1111"/>
        <v>0</v>
      </c>
      <c r="O1687" s="21">
        <f t="shared" si="1111"/>
        <v>0</v>
      </c>
      <c r="P1687" s="21">
        <f t="shared" si="1111"/>
        <v>0</v>
      </c>
      <c r="Q1687" s="21">
        <f t="shared" si="1111"/>
        <v>0</v>
      </c>
      <c r="R1687" s="21">
        <f t="shared" si="1111"/>
        <v>0</v>
      </c>
      <c r="S1687" s="21">
        <f t="shared" si="1111"/>
        <v>0</v>
      </c>
      <c r="T1687" s="21">
        <f t="shared" si="1111"/>
        <v>0</v>
      </c>
      <c r="U1687" s="21">
        <f t="shared" si="1111"/>
        <v>0</v>
      </c>
      <c r="V1687" s="21">
        <f t="shared" si="1111"/>
        <v>0</v>
      </c>
      <c r="W1687" s="21">
        <f t="shared" si="1111"/>
        <v>0</v>
      </c>
      <c r="X1687" s="21">
        <f t="shared" si="1111"/>
        <v>0</v>
      </c>
      <c r="Y1687" s="21">
        <f t="shared" si="1110"/>
        <v>0</v>
      </c>
      <c r="Z1687" s="21">
        <f t="shared" si="1110"/>
        <v>0</v>
      </c>
      <c r="AA1687" s="21">
        <f t="shared" si="1110"/>
        <v>0</v>
      </c>
      <c r="AB1687" s="21">
        <f t="shared" si="1110"/>
        <v>0</v>
      </c>
      <c r="AC1687" s="21">
        <f t="shared" si="1110"/>
        <v>0</v>
      </c>
      <c r="AD1687" s="21">
        <f t="shared" si="1110"/>
        <v>0</v>
      </c>
      <c r="AE1687" s="21">
        <f t="shared" si="1110"/>
        <v>0</v>
      </c>
    </row>
    <row r="1688" spans="2:31" x14ac:dyDescent="0.2">
      <c r="C1688" s="60">
        <v>16</v>
      </c>
      <c r="E1688" s="21">
        <v>0</v>
      </c>
      <c r="F1688" s="21">
        <f>(C1688=$E$1666)*SUM($E$1670:E1688)+(C1688&gt;$E$1666)*E1688</f>
        <v>0</v>
      </c>
      <c r="G1688" s="1">
        <f t="shared" si="1109"/>
        <v>19</v>
      </c>
      <c r="I1688" s="21">
        <f t="shared" si="1111"/>
        <v>0</v>
      </c>
      <c r="J1688" s="21">
        <f t="shared" si="1111"/>
        <v>0</v>
      </c>
      <c r="K1688" s="21">
        <f t="shared" si="1111"/>
        <v>0</v>
      </c>
      <c r="L1688" s="21">
        <f t="shared" si="1111"/>
        <v>0</v>
      </c>
      <c r="M1688" s="21">
        <f t="shared" si="1111"/>
        <v>0</v>
      </c>
      <c r="N1688" s="21">
        <f t="shared" si="1111"/>
        <v>0</v>
      </c>
      <c r="O1688" s="21">
        <f t="shared" si="1111"/>
        <v>0</v>
      </c>
      <c r="P1688" s="21">
        <f t="shared" si="1111"/>
        <v>0</v>
      </c>
      <c r="Q1688" s="21">
        <f t="shared" si="1111"/>
        <v>0</v>
      </c>
      <c r="R1688" s="21">
        <f t="shared" si="1111"/>
        <v>0</v>
      </c>
      <c r="S1688" s="21">
        <f t="shared" si="1111"/>
        <v>0</v>
      </c>
      <c r="T1688" s="21">
        <f t="shared" si="1111"/>
        <v>0</v>
      </c>
      <c r="U1688" s="21">
        <f t="shared" si="1111"/>
        <v>0</v>
      </c>
      <c r="V1688" s="21">
        <f t="shared" si="1111"/>
        <v>0</v>
      </c>
      <c r="W1688" s="21">
        <f t="shared" si="1111"/>
        <v>0</v>
      </c>
      <c r="X1688" s="21">
        <f t="shared" si="1111"/>
        <v>0</v>
      </c>
      <c r="Y1688" s="21">
        <f t="shared" si="1110"/>
        <v>0</v>
      </c>
      <c r="Z1688" s="21">
        <f t="shared" si="1110"/>
        <v>0</v>
      </c>
      <c r="AA1688" s="21">
        <f t="shared" si="1110"/>
        <v>0</v>
      </c>
      <c r="AB1688" s="21">
        <f t="shared" si="1110"/>
        <v>0</v>
      </c>
      <c r="AC1688" s="21">
        <f t="shared" si="1110"/>
        <v>0</v>
      </c>
      <c r="AD1688" s="21">
        <f t="shared" si="1110"/>
        <v>0</v>
      </c>
      <c r="AE1688" s="21">
        <f t="shared" si="1110"/>
        <v>0</v>
      </c>
    </row>
    <row r="1689" spans="2:31" x14ac:dyDescent="0.2">
      <c r="C1689" s="60">
        <v>17</v>
      </c>
      <c r="E1689" s="21">
        <v>0</v>
      </c>
      <c r="F1689" s="21">
        <f>(C1689=$E$1666)*SUM($E$1670:E1689)+(C1689&gt;$E$1666)*E1689</f>
        <v>0</v>
      </c>
      <c r="G1689" s="1">
        <f t="shared" si="1109"/>
        <v>20</v>
      </c>
      <c r="I1689" s="21">
        <f t="shared" si="1111"/>
        <v>0</v>
      </c>
      <c r="J1689" s="21">
        <f t="shared" si="1111"/>
        <v>0</v>
      </c>
      <c r="K1689" s="21">
        <f t="shared" si="1111"/>
        <v>0</v>
      </c>
      <c r="L1689" s="21">
        <f t="shared" si="1111"/>
        <v>0</v>
      </c>
      <c r="M1689" s="21">
        <f t="shared" si="1111"/>
        <v>0</v>
      </c>
      <c r="N1689" s="21">
        <f t="shared" si="1111"/>
        <v>0</v>
      </c>
      <c r="O1689" s="21">
        <f t="shared" si="1111"/>
        <v>0</v>
      </c>
      <c r="P1689" s="21">
        <f t="shared" si="1111"/>
        <v>0</v>
      </c>
      <c r="Q1689" s="21">
        <f t="shared" si="1111"/>
        <v>0</v>
      </c>
      <c r="R1689" s="21">
        <f t="shared" si="1111"/>
        <v>0</v>
      </c>
      <c r="S1689" s="21">
        <f t="shared" si="1111"/>
        <v>0</v>
      </c>
      <c r="T1689" s="21">
        <f t="shared" si="1111"/>
        <v>0</v>
      </c>
      <c r="U1689" s="21">
        <f t="shared" si="1111"/>
        <v>0</v>
      </c>
      <c r="V1689" s="21">
        <f t="shared" si="1111"/>
        <v>0</v>
      </c>
      <c r="W1689" s="21">
        <f t="shared" si="1111"/>
        <v>0</v>
      </c>
      <c r="X1689" s="21">
        <f t="shared" si="1111"/>
        <v>0</v>
      </c>
      <c r="Y1689" s="21">
        <f t="shared" si="1110"/>
        <v>0</v>
      </c>
      <c r="Z1689" s="21">
        <f t="shared" si="1110"/>
        <v>0</v>
      </c>
      <c r="AA1689" s="21">
        <f t="shared" si="1110"/>
        <v>0</v>
      </c>
      <c r="AB1689" s="21">
        <f t="shared" si="1110"/>
        <v>0</v>
      </c>
      <c r="AC1689" s="21">
        <f t="shared" si="1110"/>
        <v>0</v>
      </c>
      <c r="AD1689" s="21">
        <f t="shared" si="1110"/>
        <v>0</v>
      </c>
      <c r="AE1689" s="21">
        <f t="shared" si="1110"/>
        <v>0</v>
      </c>
    </row>
    <row r="1690" spans="2:31" x14ac:dyDescent="0.2">
      <c r="C1690" s="60">
        <v>18</v>
      </c>
      <c r="E1690" s="21">
        <v>0</v>
      </c>
      <c r="F1690" s="21">
        <f>(C1690=$E$1666)*SUM($E$1670:E1690)+(C1690&gt;$E$1666)*E1690</f>
        <v>0</v>
      </c>
      <c r="G1690" s="1">
        <f t="shared" si="1109"/>
        <v>21</v>
      </c>
      <c r="I1690" s="21">
        <f t="shared" si="1111"/>
        <v>0</v>
      </c>
      <c r="J1690" s="21">
        <f t="shared" si="1111"/>
        <v>0</v>
      </c>
      <c r="K1690" s="21">
        <f t="shared" si="1111"/>
        <v>0</v>
      </c>
      <c r="L1690" s="21">
        <f t="shared" si="1111"/>
        <v>0</v>
      </c>
      <c r="M1690" s="21">
        <f t="shared" si="1111"/>
        <v>0</v>
      </c>
      <c r="N1690" s="21">
        <f t="shared" si="1111"/>
        <v>0</v>
      </c>
      <c r="O1690" s="21">
        <f t="shared" si="1111"/>
        <v>0</v>
      </c>
      <c r="P1690" s="21">
        <f t="shared" si="1111"/>
        <v>0</v>
      </c>
      <c r="Q1690" s="21">
        <f t="shared" si="1111"/>
        <v>0</v>
      </c>
      <c r="R1690" s="21">
        <f t="shared" si="1111"/>
        <v>0</v>
      </c>
      <c r="S1690" s="21">
        <f t="shared" si="1111"/>
        <v>0</v>
      </c>
      <c r="T1690" s="21">
        <f t="shared" si="1111"/>
        <v>0</v>
      </c>
      <c r="U1690" s="21">
        <f t="shared" si="1111"/>
        <v>0</v>
      </c>
      <c r="V1690" s="21">
        <f t="shared" si="1111"/>
        <v>0</v>
      </c>
      <c r="W1690" s="21">
        <f t="shared" si="1111"/>
        <v>0</v>
      </c>
      <c r="X1690" s="21">
        <f t="shared" si="1111"/>
        <v>0</v>
      </c>
      <c r="Y1690" s="21">
        <f t="shared" si="1110"/>
        <v>0</v>
      </c>
      <c r="Z1690" s="21">
        <f t="shared" si="1110"/>
        <v>0</v>
      </c>
      <c r="AA1690" s="21">
        <f t="shared" si="1110"/>
        <v>0</v>
      </c>
      <c r="AB1690" s="21">
        <f t="shared" si="1110"/>
        <v>0</v>
      </c>
      <c r="AC1690" s="21">
        <f t="shared" si="1110"/>
        <v>0</v>
      </c>
      <c r="AD1690" s="21">
        <f t="shared" si="1110"/>
        <v>0</v>
      </c>
      <c r="AE1690" s="21">
        <f t="shared" si="1110"/>
        <v>0</v>
      </c>
    </row>
    <row r="1691" spans="2:31" x14ac:dyDescent="0.2">
      <c r="C1691" s="60">
        <v>19</v>
      </c>
      <c r="E1691" s="21">
        <v>0</v>
      </c>
      <c r="F1691" s="21">
        <f>(C1691=$E$1666)*SUM($E$1670:E1691)+(C1691&gt;$E$1666)*E1691</f>
        <v>0</v>
      </c>
      <c r="G1691" s="1">
        <f t="shared" si="1109"/>
        <v>22</v>
      </c>
      <c r="I1691" s="21">
        <f t="shared" si="1111"/>
        <v>0</v>
      </c>
      <c r="J1691" s="21">
        <f t="shared" si="1111"/>
        <v>0</v>
      </c>
      <c r="K1691" s="21">
        <f t="shared" si="1111"/>
        <v>0</v>
      </c>
      <c r="L1691" s="21">
        <f t="shared" si="1111"/>
        <v>0</v>
      </c>
      <c r="M1691" s="21">
        <f t="shared" si="1111"/>
        <v>0</v>
      </c>
      <c r="N1691" s="21">
        <f t="shared" si="1111"/>
        <v>0</v>
      </c>
      <c r="O1691" s="21">
        <f t="shared" si="1111"/>
        <v>0</v>
      </c>
      <c r="P1691" s="21">
        <f t="shared" si="1111"/>
        <v>0</v>
      </c>
      <c r="Q1691" s="21">
        <f t="shared" si="1111"/>
        <v>0</v>
      </c>
      <c r="R1691" s="21">
        <f t="shared" si="1111"/>
        <v>0</v>
      </c>
      <c r="S1691" s="21">
        <f t="shared" si="1111"/>
        <v>0</v>
      </c>
      <c r="T1691" s="21">
        <f t="shared" si="1111"/>
        <v>0</v>
      </c>
      <c r="U1691" s="21">
        <f t="shared" si="1111"/>
        <v>0</v>
      </c>
      <c r="V1691" s="21">
        <f t="shared" si="1111"/>
        <v>0</v>
      </c>
      <c r="W1691" s="21">
        <f t="shared" si="1111"/>
        <v>0</v>
      </c>
      <c r="X1691" s="21">
        <f t="shared" si="1111"/>
        <v>0</v>
      </c>
      <c r="Y1691" s="21">
        <f t="shared" si="1110"/>
        <v>0</v>
      </c>
      <c r="Z1691" s="21">
        <f t="shared" si="1110"/>
        <v>0</v>
      </c>
      <c r="AA1691" s="21">
        <f t="shared" si="1110"/>
        <v>0</v>
      </c>
      <c r="AB1691" s="21">
        <f t="shared" si="1110"/>
        <v>0</v>
      </c>
      <c r="AC1691" s="21">
        <f t="shared" si="1110"/>
        <v>0</v>
      </c>
      <c r="AD1691" s="21">
        <f t="shared" si="1110"/>
        <v>0</v>
      </c>
      <c r="AE1691" s="21">
        <f t="shared" si="1110"/>
        <v>0</v>
      </c>
    </row>
    <row r="1692" spans="2:31" x14ac:dyDescent="0.2">
      <c r="C1692" s="60">
        <v>20</v>
      </c>
      <c r="E1692" s="21">
        <v>0</v>
      </c>
      <c r="F1692" s="21">
        <f>(C1692=$E$1666)*SUM($E$1670:E1692)+(C1692&gt;$E$1666)*E1692</f>
        <v>0</v>
      </c>
      <c r="G1692" s="1">
        <f>G1691+1</f>
        <v>23</v>
      </c>
      <c r="I1692" s="21">
        <f>AND(I$1585&gt;=$G1692,I$1585&lt;$G1692+$E$1582)*($F1692/$E$1582)</f>
        <v>0</v>
      </c>
      <c r="J1692" s="21">
        <f t="shared" si="1111"/>
        <v>0</v>
      </c>
      <c r="K1692" s="21">
        <f t="shared" si="1111"/>
        <v>0</v>
      </c>
      <c r="L1692" s="21">
        <f t="shared" si="1111"/>
        <v>0</v>
      </c>
      <c r="M1692" s="21">
        <f t="shared" si="1111"/>
        <v>0</v>
      </c>
      <c r="N1692" s="21">
        <f t="shared" si="1111"/>
        <v>0</v>
      </c>
      <c r="O1692" s="21">
        <f t="shared" si="1111"/>
        <v>0</v>
      </c>
      <c r="P1692" s="21">
        <f t="shared" si="1111"/>
        <v>0</v>
      </c>
      <c r="Q1692" s="21">
        <f t="shared" si="1111"/>
        <v>0</v>
      </c>
      <c r="R1692" s="21">
        <f t="shared" si="1111"/>
        <v>0</v>
      </c>
      <c r="S1692" s="21">
        <f t="shared" si="1111"/>
        <v>0</v>
      </c>
      <c r="T1692" s="21">
        <f t="shared" si="1111"/>
        <v>0</v>
      </c>
      <c r="U1692" s="21">
        <f t="shared" si="1111"/>
        <v>0</v>
      </c>
      <c r="V1692" s="21">
        <f t="shared" si="1111"/>
        <v>0</v>
      </c>
      <c r="W1692" s="21">
        <f t="shared" si="1111"/>
        <v>0</v>
      </c>
      <c r="X1692" s="21">
        <f t="shared" si="1111"/>
        <v>0</v>
      </c>
      <c r="Y1692" s="21">
        <f t="shared" si="1110"/>
        <v>0</v>
      </c>
      <c r="Z1692" s="21">
        <f t="shared" si="1110"/>
        <v>0</v>
      </c>
      <c r="AA1692" s="21">
        <f t="shared" si="1110"/>
        <v>0</v>
      </c>
      <c r="AB1692" s="21">
        <f t="shared" si="1110"/>
        <v>0</v>
      </c>
      <c r="AC1692" s="21">
        <f t="shared" si="1110"/>
        <v>0</v>
      </c>
      <c r="AD1692" s="21">
        <f t="shared" si="1110"/>
        <v>0</v>
      </c>
      <c r="AE1692" s="21">
        <f t="shared" si="1110"/>
        <v>0</v>
      </c>
    </row>
    <row r="1693" spans="2:31" x14ac:dyDescent="0.2">
      <c r="C1693" s="87" t="s">
        <v>45</v>
      </c>
      <c r="D1693" s="9"/>
      <c r="E1693" s="44"/>
      <c r="F1693" s="44">
        <f>SUM(F1670:F1692)</f>
        <v>0.57980024272866759</v>
      </c>
      <c r="G1693" s="9"/>
      <c r="H1693" s="9"/>
      <c r="I1693" s="44">
        <f>SUM(I1670:I1692)</f>
        <v>0</v>
      </c>
      <c r="J1693" s="44">
        <f t="shared" ref="J1693:AE1693" si="1112">SUM(J1670:J1692)</f>
        <v>0</v>
      </c>
      <c r="K1693" s="44">
        <f t="shared" si="1112"/>
        <v>7.2475030341083449E-2</v>
      </c>
      <c r="L1693" s="44">
        <f t="shared" si="1112"/>
        <v>7.2475030341083449E-2</v>
      </c>
      <c r="M1693" s="44">
        <f t="shared" si="1112"/>
        <v>7.2475030341083449E-2</v>
      </c>
      <c r="N1693" s="44">
        <f t="shared" si="1112"/>
        <v>7.2475030341083449E-2</v>
      </c>
      <c r="O1693" s="44">
        <f t="shared" si="1112"/>
        <v>7.2475030341083449E-2</v>
      </c>
      <c r="P1693" s="44">
        <f t="shared" si="1112"/>
        <v>7.2475030341083449E-2</v>
      </c>
      <c r="Q1693" s="44">
        <f t="shared" si="1112"/>
        <v>7.2475030341083449E-2</v>
      </c>
      <c r="R1693" s="44">
        <f t="shared" si="1112"/>
        <v>7.2475030341083449E-2</v>
      </c>
      <c r="S1693" s="44">
        <f t="shared" si="1112"/>
        <v>0</v>
      </c>
      <c r="T1693" s="44">
        <f t="shared" si="1112"/>
        <v>0</v>
      </c>
      <c r="U1693" s="44">
        <f t="shared" si="1112"/>
        <v>0</v>
      </c>
      <c r="V1693" s="44">
        <f t="shared" si="1112"/>
        <v>0</v>
      </c>
      <c r="W1693" s="44">
        <f t="shared" si="1112"/>
        <v>0</v>
      </c>
      <c r="X1693" s="44">
        <f t="shared" si="1112"/>
        <v>0</v>
      </c>
      <c r="Y1693" s="44">
        <f t="shared" si="1112"/>
        <v>0</v>
      </c>
      <c r="Z1693" s="44">
        <f t="shared" si="1112"/>
        <v>0</v>
      </c>
      <c r="AA1693" s="44">
        <f t="shared" si="1112"/>
        <v>0</v>
      </c>
      <c r="AB1693" s="44">
        <f t="shared" si="1112"/>
        <v>0</v>
      </c>
      <c r="AC1693" s="44">
        <f t="shared" si="1112"/>
        <v>0</v>
      </c>
      <c r="AD1693" s="44">
        <f t="shared" si="1112"/>
        <v>0</v>
      </c>
      <c r="AE1693" s="44">
        <f t="shared" si="1112"/>
        <v>0</v>
      </c>
    </row>
    <row r="1695" spans="2:31" x14ac:dyDescent="0.2">
      <c r="B1695" s="24">
        <f>B1634+0.01</f>
        <v>14.529999999999998</v>
      </c>
      <c r="C1695" s="9" t="s">
        <v>768</v>
      </c>
    </row>
    <row r="1696" spans="2:31" x14ac:dyDescent="0.2">
      <c r="C1696" s="1" t="s">
        <v>125</v>
      </c>
      <c r="F1696" s="1" t="s">
        <v>55</v>
      </c>
      <c r="I1696" s="21">
        <f>E1631</f>
        <v>0</v>
      </c>
      <c r="J1696" s="21">
        <f>I1698</f>
        <v>0</v>
      </c>
      <c r="K1696" s="21">
        <f t="shared" ref="K1696:AE1696" si="1113">J1698</f>
        <v>0</v>
      </c>
      <c r="L1696" s="21">
        <f t="shared" si="1113"/>
        <v>0</v>
      </c>
      <c r="M1696" s="21">
        <f t="shared" si="1113"/>
        <v>0</v>
      </c>
      <c r="N1696" s="21">
        <f t="shared" si="1113"/>
        <v>0</v>
      </c>
      <c r="O1696" s="21">
        <f t="shared" si="1113"/>
        <v>0</v>
      </c>
      <c r="P1696" s="21">
        <f t="shared" si="1113"/>
        <v>0</v>
      </c>
      <c r="Q1696" s="21">
        <f t="shared" si="1113"/>
        <v>0</v>
      </c>
      <c r="R1696" s="21">
        <f t="shared" si="1113"/>
        <v>0</v>
      </c>
      <c r="S1696" s="21">
        <f t="shared" si="1113"/>
        <v>0</v>
      </c>
      <c r="T1696" s="21">
        <f t="shared" si="1113"/>
        <v>0</v>
      </c>
      <c r="U1696" s="21">
        <f t="shared" si="1113"/>
        <v>0</v>
      </c>
      <c r="V1696" s="21">
        <f t="shared" si="1113"/>
        <v>0</v>
      </c>
      <c r="W1696" s="21">
        <f t="shared" si="1113"/>
        <v>0</v>
      </c>
      <c r="X1696" s="21">
        <f t="shared" si="1113"/>
        <v>0</v>
      </c>
      <c r="Y1696" s="21">
        <f t="shared" si="1113"/>
        <v>0</v>
      </c>
      <c r="Z1696" s="21">
        <f t="shared" si="1113"/>
        <v>0</v>
      </c>
      <c r="AA1696" s="21">
        <f t="shared" si="1113"/>
        <v>0</v>
      </c>
      <c r="AB1696" s="21">
        <f t="shared" si="1113"/>
        <v>0</v>
      </c>
      <c r="AC1696" s="21">
        <f t="shared" si="1113"/>
        <v>0</v>
      </c>
      <c r="AD1696" s="21">
        <f t="shared" si="1113"/>
        <v>0</v>
      </c>
      <c r="AE1696" s="21">
        <f t="shared" si="1113"/>
        <v>0</v>
      </c>
    </row>
    <row r="1697" spans="2:31" x14ac:dyDescent="0.2">
      <c r="C1697" s="1" t="s">
        <v>761</v>
      </c>
      <c r="F1697" s="1" t="s">
        <v>55</v>
      </c>
      <c r="G1697" s="21">
        <f>SUM(I1697:AE1697)</f>
        <v>0</v>
      </c>
      <c r="I1697" s="21">
        <f t="shared" ref="I1697:AE1697" si="1114">MIN(I1639-I1618,0)</f>
        <v>0</v>
      </c>
      <c r="J1697" s="21">
        <f t="shared" si="1114"/>
        <v>0</v>
      </c>
      <c r="K1697" s="21">
        <f t="shared" si="1114"/>
        <v>0</v>
      </c>
      <c r="L1697" s="21">
        <f t="shared" si="1114"/>
        <v>0</v>
      </c>
      <c r="M1697" s="21">
        <f t="shared" si="1114"/>
        <v>0</v>
      </c>
      <c r="N1697" s="21">
        <f t="shared" si="1114"/>
        <v>0</v>
      </c>
      <c r="O1697" s="21">
        <f t="shared" si="1114"/>
        <v>0</v>
      </c>
      <c r="P1697" s="21">
        <f t="shared" si="1114"/>
        <v>0</v>
      </c>
      <c r="Q1697" s="21">
        <f t="shared" si="1114"/>
        <v>0</v>
      </c>
      <c r="R1697" s="21">
        <f t="shared" si="1114"/>
        <v>0</v>
      </c>
      <c r="S1697" s="21">
        <f t="shared" si="1114"/>
        <v>0</v>
      </c>
      <c r="T1697" s="21">
        <f t="shared" si="1114"/>
        <v>0</v>
      </c>
      <c r="U1697" s="21">
        <f t="shared" si="1114"/>
        <v>0</v>
      </c>
      <c r="V1697" s="21">
        <f t="shared" si="1114"/>
        <v>0</v>
      </c>
      <c r="W1697" s="21">
        <f t="shared" si="1114"/>
        <v>0</v>
      </c>
      <c r="X1697" s="21">
        <f t="shared" si="1114"/>
        <v>0</v>
      </c>
      <c r="Y1697" s="21">
        <f t="shared" si="1114"/>
        <v>0</v>
      </c>
      <c r="Z1697" s="21">
        <f t="shared" si="1114"/>
        <v>0</v>
      </c>
      <c r="AA1697" s="21">
        <f t="shared" si="1114"/>
        <v>0</v>
      </c>
      <c r="AB1697" s="21">
        <f t="shared" si="1114"/>
        <v>0</v>
      </c>
      <c r="AC1697" s="21">
        <f t="shared" si="1114"/>
        <v>0</v>
      </c>
      <c r="AD1697" s="21">
        <f t="shared" si="1114"/>
        <v>0</v>
      </c>
      <c r="AE1697" s="21">
        <f t="shared" si="1114"/>
        <v>0</v>
      </c>
    </row>
    <row r="1698" spans="2:31" x14ac:dyDescent="0.2">
      <c r="C1698" s="1" t="s">
        <v>458</v>
      </c>
      <c r="F1698" s="1" t="s">
        <v>55</v>
      </c>
      <c r="I1698" s="21">
        <f>SUM(I1696:I1697)</f>
        <v>0</v>
      </c>
      <c r="J1698" s="21">
        <f>SUM(J1696:J1697)</f>
        <v>0</v>
      </c>
      <c r="K1698" s="21">
        <f t="shared" ref="K1698:AE1698" si="1115">SUM(K1696:K1697)</f>
        <v>0</v>
      </c>
      <c r="L1698" s="21">
        <f t="shared" si="1115"/>
        <v>0</v>
      </c>
      <c r="M1698" s="21">
        <f t="shared" si="1115"/>
        <v>0</v>
      </c>
      <c r="N1698" s="21">
        <f t="shared" si="1115"/>
        <v>0</v>
      </c>
      <c r="O1698" s="21">
        <f t="shared" si="1115"/>
        <v>0</v>
      </c>
      <c r="P1698" s="21">
        <f t="shared" si="1115"/>
        <v>0</v>
      </c>
      <c r="Q1698" s="21">
        <f t="shared" si="1115"/>
        <v>0</v>
      </c>
      <c r="R1698" s="21">
        <f t="shared" si="1115"/>
        <v>0</v>
      </c>
      <c r="S1698" s="21">
        <f t="shared" si="1115"/>
        <v>0</v>
      </c>
      <c r="T1698" s="21">
        <f t="shared" si="1115"/>
        <v>0</v>
      </c>
      <c r="U1698" s="21">
        <f t="shared" si="1115"/>
        <v>0</v>
      </c>
      <c r="V1698" s="21">
        <f t="shared" si="1115"/>
        <v>0</v>
      </c>
      <c r="W1698" s="21">
        <f t="shared" si="1115"/>
        <v>0</v>
      </c>
      <c r="X1698" s="21">
        <f t="shared" si="1115"/>
        <v>0</v>
      </c>
      <c r="Y1698" s="21">
        <f t="shared" si="1115"/>
        <v>0</v>
      </c>
      <c r="Z1698" s="21">
        <f t="shared" si="1115"/>
        <v>0</v>
      </c>
      <c r="AA1698" s="21">
        <f t="shared" si="1115"/>
        <v>0</v>
      </c>
      <c r="AB1698" s="21">
        <f t="shared" si="1115"/>
        <v>0</v>
      </c>
      <c r="AC1698" s="21">
        <f t="shared" si="1115"/>
        <v>0</v>
      </c>
      <c r="AD1698" s="21">
        <f t="shared" si="1115"/>
        <v>0</v>
      </c>
      <c r="AE1698" s="21">
        <f t="shared" si="1115"/>
        <v>0</v>
      </c>
    </row>
    <row r="1700" spans="2:31" x14ac:dyDescent="0.2">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71"/>
      <c r="AE1700" s="271"/>
    </row>
    <row r="1702" spans="2:31" x14ac:dyDescent="0.2">
      <c r="B1702" s="10">
        <f>B1614+0.1</f>
        <v>14.599999999999998</v>
      </c>
      <c r="C1702" s="9" t="s">
        <v>966</v>
      </c>
    </row>
    <row r="1703" spans="2:31" x14ac:dyDescent="0.2">
      <c r="C1703" s="1" t="s">
        <v>945</v>
      </c>
      <c r="E1703" s="257">
        <f>'Quarterly Plant Model'!E1703</f>
        <v>10</v>
      </c>
      <c r="F1703" s="1" t="s">
        <v>55</v>
      </c>
    </row>
    <row r="1704" spans="2:31" x14ac:dyDescent="0.2">
      <c r="C1704" s="1" t="s">
        <v>946</v>
      </c>
      <c r="E1704" s="257">
        <f>'Quarterly Plant Model'!E1704</f>
        <v>0</v>
      </c>
      <c r="F1704" s="1" t="s">
        <v>55</v>
      </c>
    </row>
    <row r="1705" spans="2:31" x14ac:dyDescent="0.2">
      <c r="C1705" s="1" t="s">
        <v>191</v>
      </c>
      <c r="E1705" s="257">
        <f>'Quarterly Plant Model'!E1705</f>
        <v>2</v>
      </c>
      <c r="F1705" s="1" t="s">
        <v>116</v>
      </c>
    </row>
    <row r="1706" spans="2:31" x14ac:dyDescent="0.2">
      <c r="C1706" s="1" t="s">
        <v>929</v>
      </c>
      <c r="E1706" s="538">
        <f>'Quarterly Plant Model'!E1706</f>
        <v>44591</v>
      </c>
      <c r="F1706" s="1" t="s">
        <v>922</v>
      </c>
    </row>
    <row r="1707" spans="2:31" x14ac:dyDescent="0.2">
      <c r="C1707" s="1" t="s">
        <v>205</v>
      </c>
      <c r="E1707" s="538">
        <f>'Quarterly Plant Model'!E1707</f>
        <v>45321</v>
      </c>
      <c r="F1707" s="1" t="s">
        <v>922</v>
      </c>
    </row>
    <row r="1708" spans="2:31" x14ac:dyDescent="0.2">
      <c r="C1708" s="1" t="s">
        <v>947</v>
      </c>
      <c r="E1708" s="387">
        <f>'Quarterly Plant Model'!E1708</f>
        <v>2.6447500000000002E-2</v>
      </c>
      <c r="F1708" s="1" t="s">
        <v>8</v>
      </c>
    </row>
    <row r="1709" spans="2:31" x14ac:dyDescent="0.2">
      <c r="C1709" s="1" t="s">
        <v>948</v>
      </c>
      <c r="E1709" s="387">
        <f>'Quarterly Plant Model'!E1709</f>
        <v>0.1</v>
      </c>
      <c r="F1709" s="1" t="s">
        <v>8</v>
      </c>
    </row>
    <row r="1710" spans="2:31" x14ac:dyDescent="0.2">
      <c r="C1710" s="1" t="s">
        <v>949</v>
      </c>
      <c r="E1710" s="387">
        <f>'Quarterly Plant Model'!E1710</f>
        <v>0.12644750000000002</v>
      </c>
      <c r="F1710" s="1" t="s">
        <v>8</v>
      </c>
    </row>
    <row r="1711" spans="2:31" x14ac:dyDescent="0.2">
      <c r="C1711" s="1" t="s">
        <v>950</v>
      </c>
      <c r="E1711" s="331">
        <f>E1710</f>
        <v>0.12644750000000002</v>
      </c>
      <c r="F1711" s="1" t="s">
        <v>8</v>
      </c>
    </row>
    <row r="1712" spans="2:31" x14ac:dyDescent="0.2">
      <c r="C1712" s="1" t="s">
        <v>953</v>
      </c>
      <c r="E1712" s="387">
        <f>'Quarterly Plant Model'!E1712</f>
        <v>0.03</v>
      </c>
      <c r="F1712" s="1" t="s">
        <v>8</v>
      </c>
    </row>
    <row r="1713" spans="3:31" x14ac:dyDescent="0.2">
      <c r="C1713" s="1" t="s">
        <v>952</v>
      </c>
      <c r="E1713" s="387">
        <f>'Quarterly Plant Model'!E1713</f>
        <v>5.0000000000000001E-3</v>
      </c>
      <c r="F1713" s="1" t="s">
        <v>8</v>
      </c>
    </row>
    <row r="1715" spans="3:31" x14ac:dyDescent="0.2">
      <c r="C1715" s="1" t="s">
        <v>457</v>
      </c>
      <c r="I1715" s="106">
        <v>0</v>
      </c>
      <c r="J1715" s="21">
        <f>I1718</f>
        <v>9.9999422500000001</v>
      </c>
      <c r="K1715" s="21">
        <f t="shared" ref="K1715:AE1715" si="1116">J1718</f>
        <v>9.9999422500000001</v>
      </c>
      <c r="L1715" s="21">
        <f t="shared" si="1116"/>
        <v>9.9999422500000001</v>
      </c>
      <c r="M1715" s="21">
        <f t="shared" si="1116"/>
        <v>9.9999422500000001</v>
      </c>
      <c r="N1715" s="21">
        <f t="shared" si="1116"/>
        <v>9.9999422500000001</v>
      </c>
      <c r="O1715" s="21">
        <f t="shared" si="1116"/>
        <v>9.9999422500000001</v>
      </c>
      <c r="P1715" s="21">
        <f t="shared" si="1116"/>
        <v>9.9999422500000001</v>
      </c>
      <c r="Q1715" s="21">
        <f t="shared" si="1116"/>
        <v>9.9999422500000001</v>
      </c>
      <c r="R1715" s="21">
        <f t="shared" si="1116"/>
        <v>9.9999422500000001</v>
      </c>
      <c r="S1715" s="21">
        <f t="shared" si="1116"/>
        <v>9.9999422500000001</v>
      </c>
      <c r="T1715" s="21">
        <f t="shared" si="1116"/>
        <v>9.9999422500000001</v>
      </c>
      <c r="U1715" s="21">
        <f t="shared" si="1116"/>
        <v>9.9999422500000001</v>
      </c>
      <c r="V1715" s="21">
        <f t="shared" si="1116"/>
        <v>9.9999422500000001</v>
      </c>
      <c r="W1715" s="21">
        <f t="shared" si="1116"/>
        <v>9.9999422500000001</v>
      </c>
      <c r="X1715" s="21">
        <f t="shared" si="1116"/>
        <v>9.9999422500000001</v>
      </c>
      <c r="Y1715" s="21">
        <f t="shared" si="1116"/>
        <v>9.9999422500000001</v>
      </c>
      <c r="Z1715" s="21">
        <f t="shared" si="1116"/>
        <v>9.9999422500000001</v>
      </c>
      <c r="AA1715" s="21">
        <f t="shared" si="1116"/>
        <v>9.9999422500000001</v>
      </c>
      <c r="AB1715" s="21">
        <f t="shared" si="1116"/>
        <v>9.9999422500000001</v>
      </c>
      <c r="AC1715" s="21">
        <f t="shared" si="1116"/>
        <v>9.9999422500000001</v>
      </c>
      <c r="AD1715" s="21">
        <f t="shared" si="1116"/>
        <v>9.9999422500000001</v>
      </c>
      <c r="AE1715" s="21">
        <f t="shared" si="1116"/>
        <v>9.9999422500000001</v>
      </c>
    </row>
    <row r="1716" spans="3:31" x14ac:dyDescent="0.2">
      <c r="C1716" s="1" t="s">
        <v>207</v>
      </c>
      <c r="I1716" s="41">
        <f>SUMIF('Quarterly Plant Model'!$I$2:$V$2,'Plant model'!I$2,'Quarterly Plant Model'!$I1716:$V1716)</f>
        <v>9.9999422500000001</v>
      </c>
      <c r="J1716" s="41">
        <f>SUMIF('Quarterly Plant Model'!$I$2:$V$2,'Plant model'!J$2,'Quarterly Plant Model'!$I1716:$V1716)</f>
        <v>0</v>
      </c>
      <c r="K1716" s="41">
        <f>SUMIF('Quarterly Plant Model'!$I$2:$V$2,'Plant model'!K$2,'Quarterly Plant Model'!$I1716:$V1716)</f>
        <v>0</v>
      </c>
      <c r="L1716" s="41">
        <f>SUMIF('Quarterly Plant Model'!$I$2:$V$2,'Plant model'!L$2,'Quarterly Plant Model'!$I1716:$V1716)</f>
        <v>0</v>
      </c>
      <c r="M1716" s="21">
        <f t="shared" ref="M1716:AE1716" si="1117">MIN($E$1703-L1718,M828)</f>
        <v>0</v>
      </c>
      <c r="N1716" s="21">
        <f t="shared" si="1117"/>
        <v>0</v>
      </c>
      <c r="O1716" s="21">
        <f t="shared" si="1117"/>
        <v>0</v>
      </c>
      <c r="P1716" s="21">
        <f t="shared" si="1117"/>
        <v>0</v>
      </c>
      <c r="Q1716" s="21">
        <f t="shared" si="1117"/>
        <v>0</v>
      </c>
      <c r="R1716" s="21">
        <f t="shared" si="1117"/>
        <v>0</v>
      </c>
      <c r="S1716" s="21">
        <f t="shared" si="1117"/>
        <v>0</v>
      </c>
      <c r="T1716" s="21">
        <f t="shared" si="1117"/>
        <v>0</v>
      </c>
      <c r="U1716" s="21">
        <f t="shared" si="1117"/>
        <v>0</v>
      </c>
      <c r="V1716" s="21">
        <f t="shared" si="1117"/>
        <v>0</v>
      </c>
      <c r="W1716" s="21">
        <f t="shared" si="1117"/>
        <v>0</v>
      </c>
      <c r="X1716" s="21">
        <f t="shared" si="1117"/>
        <v>0</v>
      </c>
      <c r="Y1716" s="21">
        <f t="shared" si="1117"/>
        <v>0</v>
      </c>
      <c r="Z1716" s="21">
        <f t="shared" si="1117"/>
        <v>0</v>
      </c>
      <c r="AA1716" s="21">
        <f t="shared" si="1117"/>
        <v>0</v>
      </c>
      <c r="AB1716" s="21">
        <f t="shared" si="1117"/>
        <v>0</v>
      </c>
      <c r="AC1716" s="21">
        <f t="shared" si="1117"/>
        <v>0</v>
      </c>
      <c r="AD1716" s="21">
        <f t="shared" si="1117"/>
        <v>0</v>
      </c>
      <c r="AE1716" s="21">
        <f t="shared" si="1117"/>
        <v>0</v>
      </c>
    </row>
    <row r="1717" spans="3:31" x14ac:dyDescent="0.2">
      <c r="C1717" s="1" t="s">
        <v>208</v>
      </c>
      <c r="I1717" s="41">
        <f>SUMIF('Quarterly Plant Model'!$I$2:$V$2,'Plant model'!I$2,'Quarterly Plant Model'!$I1717:$V1717)</f>
        <v>0</v>
      </c>
      <c r="J1717" s="41">
        <f>SUMIF('Quarterly Plant Model'!$I$2:$V$2,'Plant model'!J$2,'Quarterly Plant Model'!$I1717:$V1717)</f>
        <v>0</v>
      </c>
      <c r="K1717" s="41">
        <f>SUMIF('Quarterly Plant Model'!$I$2:$V$2,'Plant model'!K$2,'Quarterly Plant Model'!$I1717:$V1717)</f>
        <v>0</v>
      </c>
      <c r="L1717" s="41">
        <f>SUMIF('Quarterly Plant Model'!$I$2:$V$2,'Plant model'!L$2,'Quarterly Plant Model'!$I1717:$V1717)</f>
        <v>0</v>
      </c>
      <c r="M1717" s="21">
        <f t="shared" ref="M1717:AE1717" si="1118">-(YEAR($E$1707)=M3*1)*M1715</f>
        <v>0</v>
      </c>
      <c r="N1717" s="21">
        <f t="shared" si="1118"/>
        <v>0</v>
      </c>
      <c r="O1717" s="21">
        <f t="shared" si="1118"/>
        <v>0</v>
      </c>
      <c r="P1717" s="21">
        <f t="shared" si="1118"/>
        <v>0</v>
      </c>
      <c r="Q1717" s="21">
        <f t="shared" si="1118"/>
        <v>0</v>
      </c>
      <c r="R1717" s="21">
        <f t="shared" si="1118"/>
        <v>0</v>
      </c>
      <c r="S1717" s="21">
        <f t="shared" si="1118"/>
        <v>0</v>
      </c>
      <c r="T1717" s="21">
        <f t="shared" si="1118"/>
        <v>0</v>
      </c>
      <c r="U1717" s="21">
        <f t="shared" si="1118"/>
        <v>0</v>
      </c>
      <c r="V1717" s="21">
        <f t="shared" si="1118"/>
        <v>0</v>
      </c>
      <c r="W1717" s="21">
        <f t="shared" si="1118"/>
        <v>0</v>
      </c>
      <c r="X1717" s="21">
        <f t="shared" si="1118"/>
        <v>0</v>
      </c>
      <c r="Y1717" s="21">
        <f t="shared" si="1118"/>
        <v>0</v>
      </c>
      <c r="Z1717" s="21">
        <f t="shared" si="1118"/>
        <v>0</v>
      </c>
      <c r="AA1717" s="21">
        <f t="shared" si="1118"/>
        <v>0</v>
      </c>
      <c r="AB1717" s="21">
        <f t="shared" si="1118"/>
        <v>0</v>
      </c>
      <c r="AC1717" s="21">
        <f t="shared" si="1118"/>
        <v>0</v>
      </c>
      <c r="AD1717" s="21">
        <f t="shared" si="1118"/>
        <v>0</v>
      </c>
      <c r="AE1717" s="21">
        <f t="shared" si="1118"/>
        <v>0</v>
      </c>
    </row>
    <row r="1718" spans="3:31" x14ac:dyDescent="0.2">
      <c r="C1718" s="1" t="s">
        <v>458</v>
      </c>
      <c r="I1718" s="21">
        <f>SUM(I1715:I1717)</f>
        <v>9.9999422500000001</v>
      </c>
      <c r="J1718" s="21">
        <f t="shared" ref="J1718:AE1718" si="1119">SUM(J1715:J1717)</f>
        <v>9.9999422500000001</v>
      </c>
      <c r="K1718" s="21">
        <f t="shared" si="1119"/>
        <v>9.9999422500000001</v>
      </c>
      <c r="L1718" s="21">
        <f t="shared" si="1119"/>
        <v>9.9999422500000001</v>
      </c>
      <c r="M1718" s="21">
        <f>SUM(M1715:M1717)</f>
        <v>9.9999422500000001</v>
      </c>
      <c r="N1718" s="21">
        <f t="shared" si="1119"/>
        <v>9.9999422500000001</v>
      </c>
      <c r="O1718" s="21">
        <f t="shared" si="1119"/>
        <v>9.9999422500000001</v>
      </c>
      <c r="P1718" s="21">
        <f t="shared" si="1119"/>
        <v>9.9999422500000001</v>
      </c>
      <c r="Q1718" s="21">
        <f t="shared" si="1119"/>
        <v>9.9999422500000001</v>
      </c>
      <c r="R1718" s="21">
        <f t="shared" si="1119"/>
        <v>9.9999422500000001</v>
      </c>
      <c r="S1718" s="21">
        <f t="shared" si="1119"/>
        <v>9.9999422500000001</v>
      </c>
      <c r="T1718" s="21">
        <f t="shared" si="1119"/>
        <v>9.9999422500000001</v>
      </c>
      <c r="U1718" s="21">
        <f t="shared" si="1119"/>
        <v>9.9999422500000001</v>
      </c>
      <c r="V1718" s="21">
        <f t="shared" si="1119"/>
        <v>9.9999422500000001</v>
      </c>
      <c r="W1718" s="21">
        <f t="shared" si="1119"/>
        <v>9.9999422500000001</v>
      </c>
      <c r="X1718" s="21">
        <f t="shared" si="1119"/>
        <v>9.9999422500000001</v>
      </c>
      <c r="Y1718" s="21">
        <f t="shared" si="1119"/>
        <v>9.9999422500000001</v>
      </c>
      <c r="Z1718" s="21">
        <f t="shared" si="1119"/>
        <v>9.9999422500000001</v>
      </c>
      <c r="AA1718" s="21">
        <f t="shared" si="1119"/>
        <v>9.9999422500000001</v>
      </c>
      <c r="AB1718" s="21">
        <f t="shared" si="1119"/>
        <v>9.9999422500000001</v>
      </c>
      <c r="AC1718" s="21">
        <f t="shared" si="1119"/>
        <v>9.9999422500000001</v>
      </c>
      <c r="AD1718" s="21">
        <f t="shared" si="1119"/>
        <v>9.9999422500000001</v>
      </c>
      <c r="AE1718" s="21">
        <f t="shared" si="1119"/>
        <v>9.9999422500000001</v>
      </c>
    </row>
    <row r="1720" spans="3:31" x14ac:dyDescent="0.2">
      <c r="C1720" s="1" t="s">
        <v>145</v>
      </c>
      <c r="I1720" s="41">
        <f>SUMIF('Quarterly Plant Model'!$I$2:$V$2,'Plant model'!I$2,'Quarterly Plant Model'!$I1720:$V1720)</f>
        <v>1.0099932893521877</v>
      </c>
      <c r="J1720" s="41">
        <f>SUMIF('Quarterly Plant Model'!$I$2:$V$2,'Plant model'!J$2,'Quarterly Plant Model'!$I1720:$V1720)</f>
        <v>1.2644676976568752</v>
      </c>
      <c r="K1720" s="41">
        <f>SUMIF('Quarterly Plant Model'!$I$2:$V$2,'Plant model'!K$2,'Quarterly Plant Model'!$I1720:$V1720)</f>
        <v>1.2644676976568752</v>
      </c>
      <c r="L1720" s="41">
        <f>SUMIF('Quarterly Plant Model'!$I$2:$V$2,'Plant model'!L$2,'Quarterly Plant Model'!$I1720:$V1720)</f>
        <v>0.63223384882843758</v>
      </c>
      <c r="M1720" s="21">
        <f>MONTH($E$1707)/12*$E$1711*M1715</f>
        <v>0.10537230813807293</v>
      </c>
      <c r="N1720" s="21">
        <f t="shared" ref="N1720:AE1720" si="1120">MONTH($E$1707)/12*$E$1711*N1715</f>
        <v>0.10537230813807293</v>
      </c>
      <c r="O1720" s="21">
        <f t="shared" si="1120"/>
        <v>0.10537230813807293</v>
      </c>
      <c r="P1720" s="21">
        <f t="shared" si="1120"/>
        <v>0.10537230813807293</v>
      </c>
      <c r="Q1720" s="21">
        <f t="shared" si="1120"/>
        <v>0.10537230813807293</v>
      </c>
      <c r="R1720" s="21">
        <f t="shared" si="1120"/>
        <v>0.10537230813807293</v>
      </c>
      <c r="S1720" s="21">
        <f t="shared" si="1120"/>
        <v>0.10537230813807293</v>
      </c>
      <c r="T1720" s="21">
        <f t="shared" si="1120"/>
        <v>0.10537230813807293</v>
      </c>
      <c r="U1720" s="21">
        <f t="shared" si="1120"/>
        <v>0.10537230813807293</v>
      </c>
      <c r="V1720" s="21">
        <f t="shared" si="1120"/>
        <v>0.10537230813807293</v>
      </c>
      <c r="W1720" s="21">
        <f t="shared" si="1120"/>
        <v>0.10537230813807293</v>
      </c>
      <c r="X1720" s="21">
        <f t="shared" si="1120"/>
        <v>0.10537230813807293</v>
      </c>
      <c r="Y1720" s="21">
        <f t="shared" si="1120"/>
        <v>0.10537230813807293</v>
      </c>
      <c r="Z1720" s="21">
        <f t="shared" si="1120"/>
        <v>0.10537230813807293</v>
      </c>
      <c r="AA1720" s="21">
        <f t="shared" si="1120"/>
        <v>0.10537230813807293</v>
      </c>
      <c r="AB1720" s="21">
        <f t="shared" si="1120"/>
        <v>0.10537230813807293</v>
      </c>
      <c r="AC1720" s="21">
        <f t="shared" si="1120"/>
        <v>0.10537230813807293</v>
      </c>
      <c r="AD1720" s="21">
        <f t="shared" si="1120"/>
        <v>0.10537230813807293</v>
      </c>
      <c r="AE1720" s="21">
        <f t="shared" si="1120"/>
        <v>0.10537230813807293</v>
      </c>
    </row>
    <row r="1722" spans="3:31" x14ac:dyDescent="0.2">
      <c r="C1722" s="1" t="s">
        <v>951</v>
      </c>
      <c r="I1722" s="41">
        <f>SUMIF('Quarterly Plant Model'!$I$2:$V$2,'Plant model'!I$2,'Quarterly Plant Model'!$I1722:$V1722)</f>
        <v>0.3</v>
      </c>
      <c r="J1722" s="41">
        <f>SUMIF('Quarterly Plant Model'!$I$2:$V$2,'Plant model'!J$2,'Quarterly Plant Model'!$I1722:$V1722)</f>
        <v>0</v>
      </c>
      <c r="K1722" s="41">
        <f>SUMIF('Quarterly Plant Model'!$I$2:$V$2,'Plant model'!K$2,'Quarterly Plant Model'!$I1722:$V1722)</f>
        <v>0</v>
      </c>
      <c r="L1722" s="41">
        <f>SUMIF('Quarterly Plant Model'!$I$2:$V$2,'Plant model'!L$2,'Quarterly Plant Model'!$I1722:$V1722)</f>
        <v>0</v>
      </c>
      <c r="M1722" s="17">
        <v>0</v>
      </c>
      <c r="N1722" s="17">
        <v>0</v>
      </c>
      <c r="O1722" s="17">
        <v>0</v>
      </c>
      <c r="P1722" s="17">
        <v>0</v>
      </c>
      <c r="Q1722" s="17">
        <v>0</v>
      </c>
      <c r="R1722" s="17">
        <v>0</v>
      </c>
      <c r="S1722" s="17">
        <v>0</v>
      </c>
      <c r="T1722" s="17">
        <v>0</v>
      </c>
      <c r="U1722" s="17">
        <v>0</v>
      </c>
      <c r="V1722" s="17">
        <v>0</v>
      </c>
      <c r="W1722" s="17">
        <v>0</v>
      </c>
      <c r="X1722" s="17">
        <v>0</v>
      </c>
      <c r="Y1722" s="17">
        <v>0</v>
      </c>
      <c r="Z1722" s="17">
        <v>0</v>
      </c>
      <c r="AA1722" s="17">
        <v>0</v>
      </c>
      <c r="AB1722" s="17">
        <v>0</v>
      </c>
      <c r="AC1722" s="17">
        <v>0</v>
      </c>
      <c r="AD1722" s="17">
        <v>0</v>
      </c>
      <c r="AE1722" s="17">
        <v>0</v>
      </c>
    </row>
    <row r="1723" spans="3:31" x14ac:dyDescent="0.2">
      <c r="C1723" s="1" t="s">
        <v>952</v>
      </c>
      <c r="I1723" s="41">
        <f>SUMIF('Quarterly Plant Model'!$I$2:$V$2,'Plant model'!I$2,'Quarterly Plant Model'!$I1723:$V1723)</f>
        <v>0.05</v>
      </c>
      <c r="J1723" s="41">
        <f>SUMIF('Quarterly Plant Model'!$I$2:$V$2,'Plant model'!J$2,'Quarterly Plant Model'!$I1723:$V1723)</f>
        <v>0</v>
      </c>
      <c r="K1723" s="41">
        <f>SUMIF('Quarterly Plant Model'!$I$2:$V$2,'Plant model'!K$2,'Quarterly Plant Model'!$I1723:$V1723)</f>
        <v>0</v>
      </c>
      <c r="L1723" s="41">
        <f>SUMIF('Quarterly Plant Model'!$I$2:$V$2,'Plant model'!L$2,'Quarterly Plant Model'!$I1723:$V1723)</f>
        <v>0</v>
      </c>
      <c r="M1723" s="17">
        <v>0</v>
      </c>
      <c r="N1723" s="17">
        <v>0</v>
      </c>
      <c r="O1723" s="17">
        <v>0</v>
      </c>
      <c r="P1723" s="17">
        <v>0</v>
      </c>
      <c r="Q1723" s="17">
        <v>0</v>
      </c>
      <c r="R1723" s="17">
        <v>0</v>
      </c>
      <c r="S1723" s="17">
        <v>0</v>
      </c>
      <c r="T1723" s="17">
        <v>0</v>
      </c>
      <c r="U1723" s="17">
        <v>0</v>
      </c>
      <c r="V1723" s="17">
        <v>0</v>
      </c>
      <c r="W1723" s="17">
        <v>0</v>
      </c>
      <c r="X1723" s="17">
        <v>0</v>
      </c>
      <c r="Y1723" s="17">
        <v>0</v>
      </c>
      <c r="Z1723" s="17">
        <v>0</v>
      </c>
      <c r="AA1723" s="17">
        <v>0</v>
      </c>
      <c r="AB1723" s="17">
        <v>0</v>
      </c>
      <c r="AC1723" s="17">
        <v>0</v>
      </c>
      <c r="AD1723" s="17">
        <v>0</v>
      </c>
      <c r="AE1723" s="17">
        <v>0</v>
      </c>
    </row>
    <row r="1724" spans="3:31" x14ac:dyDescent="0.2">
      <c r="C1724" s="1" t="s">
        <v>960</v>
      </c>
      <c r="I1724" s="21">
        <f>SUM(I1722:I1723)</f>
        <v>0.35</v>
      </c>
      <c r="J1724" s="21">
        <f t="shared" ref="J1724:AE1724" si="1121">SUM(J1722:J1723)</f>
        <v>0</v>
      </c>
      <c r="K1724" s="21">
        <f t="shared" si="1121"/>
        <v>0</v>
      </c>
      <c r="L1724" s="21">
        <f t="shared" si="1121"/>
        <v>0</v>
      </c>
      <c r="M1724" s="21">
        <f t="shared" si="1121"/>
        <v>0</v>
      </c>
      <c r="N1724" s="21">
        <f t="shared" si="1121"/>
        <v>0</v>
      </c>
      <c r="O1724" s="21">
        <f t="shared" si="1121"/>
        <v>0</v>
      </c>
      <c r="P1724" s="21">
        <f t="shared" si="1121"/>
        <v>0</v>
      </c>
      <c r="Q1724" s="21">
        <f t="shared" si="1121"/>
        <v>0</v>
      </c>
      <c r="R1724" s="21">
        <f t="shared" si="1121"/>
        <v>0</v>
      </c>
      <c r="S1724" s="21">
        <f t="shared" si="1121"/>
        <v>0</v>
      </c>
      <c r="T1724" s="21">
        <f t="shared" si="1121"/>
        <v>0</v>
      </c>
      <c r="U1724" s="21">
        <f t="shared" si="1121"/>
        <v>0</v>
      </c>
      <c r="V1724" s="21">
        <f t="shared" si="1121"/>
        <v>0</v>
      </c>
      <c r="W1724" s="21">
        <f t="shared" si="1121"/>
        <v>0</v>
      </c>
      <c r="X1724" s="21">
        <f t="shared" si="1121"/>
        <v>0</v>
      </c>
      <c r="Y1724" s="21">
        <f t="shared" si="1121"/>
        <v>0</v>
      </c>
      <c r="Z1724" s="21">
        <f t="shared" si="1121"/>
        <v>0</v>
      </c>
      <c r="AA1724" s="21">
        <f t="shared" si="1121"/>
        <v>0</v>
      </c>
      <c r="AB1724" s="21">
        <f t="shared" si="1121"/>
        <v>0</v>
      </c>
      <c r="AC1724" s="21">
        <f t="shared" si="1121"/>
        <v>0</v>
      </c>
      <c r="AD1724" s="21">
        <f t="shared" si="1121"/>
        <v>0</v>
      </c>
      <c r="AE1724" s="21">
        <f t="shared" si="1121"/>
        <v>0</v>
      </c>
    </row>
    <row r="1726" spans="3:31" x14ac:dyDescent="0.2">
      <c r="C1726" s="9" t="s">
        <v>218</v>
      </c>
    </row>
    <row r="1727" spans="3:31" x14ac:dyDescent="0.2">
      <c r="C1727" s="1" t="s">
        <v>219</v>
      </c>
      <c r="I1727" s="106">
        <v>0</v>
      </c>
      <c r="J1727" s="18">
        <f>I1730</f>
        <v>0.17499999999999999</v>
      </c>
      <c r="K1727" s="18">
        <f t="shared" ref="K1727:AE1727" si="1122">J1730</f>
        <v>0</v>
      </c>
      <c r="L1727" s="18">
        <f t="shared" si="1122"/>
        <v>0</v>
      </c>
      <c r="M1727" s="18">
        <f t="shared" si="1122"/>
        <v>0</v>
      </c>
      <c r="N1727" s="18">
        <f t="shared" si="1122"/>
        <v>0</v>
      </c>
      <c r="O1727" s="18">
        <f t="shared" si="1122"/>
        <v>0</v>
      </c>
      <c r="P1727" s="18">
        <f t="shared" si="1122"/>
        <v>0</v>
      </c>
      <c r="Q1727" s="18">
        <f t="shared" si="1122"/>
        <v>0</v>
      </c>
      <c r="R1727" s="18">
        <f t="shared" si="1122"/>
        <v>0</v>
      </c>
      <c r="S1727" s="18">
        <f t="shared" si="1122"/>
        <v>0</v>
      </c>
      <c r="T1727" s="18">
        <f t="shared" si="1122"/>
        <v>0</v>
      </c>
      <c r="U1727" s="18">
        <f t="shared" si="1122"/>
        <v>0</v>
      </c>
      <c r="V1727" s="18">
        <f t="shared" si="1122"/>
        <v>0</v>
      </c>
      <c r="W1727" s="18">
        <f t="shared" si="1122"/>
        <v>0</v>
      </c>
      <c r="X1727" s="18">
        <f t="shared" si="1122"/>
        <v>0</v>
      </c>
      <c r="Y1727" s="18">
        <f t="shared" si="1122"/>
        <v>0</v>
      </c>
      <c r="Z1727" s="18">
        <f t="shared" si="1122"/>
        <v>0</v>
      </c>
      <c r="AA1727" s="18">
        <f t="shared" si="1122"/>
        <v>0</v>
      </c>
      <c r="AB1727" s="18">
        <f t="shared" si="1122"/>
        <v>0</v>
      </c>
      <c r="AC1727" s="18">
        <f t="shared" si="1122"/>
        <v>0</v>
      </c>
      <c r="AD1727" s="18">
        <f t="shared" si="1122"/>
        <v>0</v>
      </c>
      <c r="AE1727" s="18">
        <f t="shared" si="1122"/>
        <v>0</v>
      </c>
    </row>
    <row r="1728" spans="3:31" x14ac:dyDescent="0.2">
      <c r="C1728" s="1" t="s">
        <v>126</v>
      </c>
      <c r="G1728" s="21">
        <f>SUM(I1728:AE1728)</f>
        <v>0.35</v>
      </c>
      <c r="I1728" s="41">
        <f>SUMIF('Quarterly Plant Model'!$I$2:$V$2,'Plant model'!I$2,'Quarterly Plant Model'!$I1728:$V1728)</f>
        <v>0.35</v>
      </c>
      <c r="J1728" s="41">
        <f>SUMIF('Quarterly Plant Model'!$I$2:$V$2,'Plant model'!J$2,'Quarterly Plant Model'!$I1728:$V1728)</f>
        <v>0</v>
      </c>
      <c r="K1728" s="41">
        <f>SUMIF('Quarterly Plant Model'!$I$2:$V$2,'Plant model'!K$2,'Quarterly Plant Model'!$I1728:$V1728)</f>
        <v>0</v>
      </c>
      <c r="L1728" s="41">
        <f>SUMIF('Quarterly Plant Model'!$I$2:$V$2,'Plant model'!L$2,'Quarterly Plant Model'!$I1728:$V1728)</f>
        <v>0</v>
      </c>
      <c r="M1728" s="17">
        <v>0</v>
      </c>
      <c r="N1728" s="17">
        <v>0</v>
      </c>
      <c r="O1728" s="17">
        <v>0</v>
      </c>
      <c r="P1728" s="17">
        <v>0</v>
      </c>
      <c r="Q1728" s="17">
        <v>0</v>
      </c>
      <c r="R1728" s="17">
        <v>0</v>
      </c>
      <c r="S1728" s="17">
        <v>0</v>
      </c>
      <c r="T1728" s="17">
        <v>0</v>
      </c>
      <c r="U1728" s="17">
        <v>0</v>
      </c>
      <c r="V1728" s="17">
        <v>0</v>
      </c>
      <c r="W1728" s="17">
        <v>0</v>
      </c>
      <c r="X1728" s="17">
        <v>0</v>
      </c>
      <c r="Y1728" s="17">
        <v>0</v>
      </c>
      <c r="Z1728" s="17">
        <v>0</v>
      </c>
      <c r="AA1728" s="17">
        <v>0</v>
      </c>
      <c r="AB1728" s="17">
        <v>0</v>
      </c>
      <c r="AC1728" s="17">
        <v>0</v>
      </c>
      <c r="AD1728" s="17">
        <v>0</v>
      </c>
      <c r="AE1728" s="17">
        <v>0</v>
      </c>
    </row>
    <row r="1729" spans="3:31" x14ac:dyDescent="0.2">
      <c r="C1729" s="1" t="s">
        <v>220</v>
      </c>
      <c r="G1729" s="21">
        <f>SUM(I1729:AE1729)</f>
        <v>-0.35</v>
      </c>
      <c r="I1729" s="18">
        <f>-I1760</f>
        <v>-0.17499999999999999</v>
      </c>
      <c r="J1729" s="18">
        <f t="shared" ref="J1729:AE1729" si="1123">-J1760</f>
        <v>-0.17499999999999999</v>
      </c>
      <c r="K1729" s="18">
        <f t="shared" si="1123"/>
        <v>0</v>
      </c>
      <c r="L1729" s="18">
        <f t="shared" si="1123"/>
        <v>0</v>
      </c>
      <c r="M1729" s="18">
        <f t="shared" si="1123"/>
        <v>0</v>
      </c>
      <c r="N1729" s="18">
        <f t="shared" si="1123"/>
        <v>0</v>
      </c>
      <c r="O1729" s="18">
        <f t="shared" si="1123"/>
        <v>0</v>
      </c>
      <c r="P1729" s="18">
        <f t="shared" si="1123"/>
        <v>0</v>
      </c>
      <c r="Q1729" s="18">
        <f t="shared" si="1123"/>
        <v>0</v>
      </c>
      <c r="R1729" s="18">
        <f t="shared" si="1123"/>
        <v>0</v>
      </c>
      <c r="S1729" s="18">
        <f t="shared" si="1123"/>
        <v>0</v>
      </c>
      <c r="T1729" s="18">
        <f t="shared" si="1123"/>
        <v>0</v>
      </c>
      <c r="U1729" s="18">
        <f t="shared" si="1123"/>
        <v>0</v>
      </c>
      <c r="V1729" s="18">
        <f t="shared" si="1123"/>
        <v>0</v>
      </c>
      <c r="W1729" s="18">
        <f t="shared" si="1123"/>
        <v>0</v>
      </c>
      <c r="X1729" s="18">
        <f t="shared" si="1123"/>
        <v>0</v>
      </c>
      <c r="Y1729" s="18">
        <f t="shared" si="1123"/>
        <v>0</v>
      </c>
      <c r="Z1729" s="18">
        <f t="shared" si="1123"/>
        <v>0</v>
      </c>
      <c r="AA1729" s="18">
        <f t="shared" si="1123"/>
        <v>0</v>
      </c>
      <c r="AB1729" s="18">
        <f t="shared" si="1123"/>
        <v>0</v>
      </c>
      <c r="AC1729" s="18">
        <f t="shared" si="1123"/>
        <v>0</v>
      </c>
      <c r="AD1729" s="18">
        <f t="shared" si="1123"/>
        <v>0</v>
      </c>
      <c r="AE1729" s="18">
        <f t="shared" si="1123"/>
        <v>0</v>
      </c>
    </row>
    <row r="1730" spans="3:31" x14ac:dyDescent="0.2">
      <c r="C1730" s="1" t="s">
        <v>127</v>
      </c>
      <c r="I1730" s="18">
        <f>SUM(I1727:I1729)</f>
        <v>0.17499999999999999</v>
      </c>
      <c r="J1730" s="18">
        <f t="shared" ref="J1730:AE1730" si="1124">SUM(J1727:J1729)</f>
        <v>0</v>
      </c>
      <c r="K1730" s="18">
        <f t="shared" si="1124"/>
        <v>0</v>
      </c>
      <c r="L1730" s="18">
        <f t="shared" si="1124"/>
        <v>0</v>
      </c>
      <c r="M1730" s="18">
        <f t="shared" si="1124"/>
        <v>0</v>
      </c>
      <c r="N1730" s="18">
        <f t="shared" si="1124"/>
        <v>0</v>
      </c>
      <c r="O1730" s="18">
        <f t="shared" si="1124"/>
        <v>0</v>
      </c>
      <c r="P1730" s="18">
        <f t="shared" si="1124"/>
        <v>0</v>
      </c>
      <c r="Q1730" s="18">
        <f t="shared" si="1124"/>
        <v>0</v>
      </c>
      <c r="R1730" s="18">
        <f t="shared" si="1124"/>
        <v>0</v>
      </c>
      <c r="S1730" s="18">
        <f t="shared" si="1124"/>
        <v>0</v>
      </c>
      <c r="T1730" s="18">
        <f t="shared" si="1124"/>
        <v>0</v>
      </c>
      <c r="U1730" s="18">
        <f t="shared" si="1124"/>
        <v>0</v>
      </c>
      <c r="V1730" s="18">
        <f t="shared" si="1124"/>
        <v>0</v>
      </c>
      <c r="W1730" s="18">
        <f t="shared" si="1124"/>
        <v>0</v>
      </c>
      <c r="X1730" s="18">
        <f t="shared" si="1124"/>
        <v>0</v>
      </c>
      <c r="Y1730" s="18">
        <f t="shared" si="1124"/>
        <v>0</v>
      </c>
      <c r="Z1730" s="18">
        <f t="shared" si="1124"/>
        <v>0</v>
      </c>
      <c r="AA1730" s="18">
        <f t="shared" si="1124"/>
        <v>0</v>
      </c>
      <c r="AB1730" s="18">
        <f t="shared" si="1124"/>
        <v>0</v>
      </c>
      <c r="AC1730" s="18">
        <f t="shared" si="1124"/>
        <v>0</v>
      </c>
      <c r="AD1730" s="18">
        <f t="shared" si="1124"/>
        <v>0</v>
      </c>
      <c r="AE1730" s="18">
        <f t="shared" si="1124"/>
        <v>0</v>
      </c>
    </row>
    <row r="1733" spans="3:31" x14ac:dyDescent="0.2">
      <c r="C1733" s="1" t="s">
        <v>378</v>
      </c>
      <c r="E1733" s="429">
        <f>E1705</f>
        <v>2</v>
      </c>
      <c r="F1733" s="465" t="s">
        <v>192</v>
      </c>
      <c r="I1733" s="21"/>
    </row>
    <row r="1735" spans="3:31" x14ac:dyDescent="0.2">
      <c r="C1735" s="86" t="s">
        <v>123</v>
      </c>
      <c r="E1735" s="86" t="s">
        <v>222</v>
      </c>
      <c r="G1735" s="86" t="s">
        <v>224</v>
      </c>
    </row>
    <row r="1737" spans="3:31" x14ac:dyDescent="0.2">
      <c r="C1737" s="60">
        <f t="array" ref="C1737:C1759">TRANSPOSE(I2:AE2)</f>
        <v>-2</v>
      </c>
      <c r="E1737" s="21">
        <f t="array" ref="E1737:E1759">TRANSPOSE(I1724:AE1724)</f>
        <v>0.35</v>
      </c>
      <c r="G1737" s="1">
        <f t="array" ref="G1737:G1759">TRANSPOSE(I1:AE1)</f>
        <v>1</v>
      </c>
      <c r="I1737" s="21">
        <f t="shared" ref="I1737:R1746" si="1125">$E1737/$E$1733*(I$1&lt;=($E$1733+$G1737-1))*(I$1&gt;=$G1737)</f>
        <v>0.17499999999999999</v>
      </c>
      <c r="J1737" s="21">
        <f t="shared" si="1125"/>
        <v>0.17499999999999999</v>
      </c>
      <c r="K1737" s="21">
        <f t="shared" si="1125"/>
        <v>0</v>
      </c>
      <c r="L1737" s="21">
        <f t="shared" si="1125"/>
        <v>0</v>
      </c>
      <c r="M1737" s="21">
        <f t="shared" si="1125"/>
        <v>0</v>
      </c>
      <c r="N1737" s="21">
        <f t="shared" si="1125"/>
        <v>0</v>
      </c>
      <c r="O1737" s="21">
        <f t="shared" si="1125"/>
        <v>0</v>
      </c>
      <c r="P1737" s="21">
        <f t="shared" si="1125"/>
        <v>0</v>
      </c>
      <c r="Q1737" s="21">
        <f t="shared" si="1125"/>
        <v>0</v>
      </c>
      <c r="R1737" s="21">
        <f t="shared" si="1125"/>
        <v>0</v>
      </c>
      <c r="S1737" s="21">
        <f t="shared" ref="S1737:AE1746" si="1126">$E1737/$E$1733*(S$1&lt;=($E$1733+$G1737-1))*(S$1&gt;=$G1737)</f>
        <v>0</v>
      </c>
      <c r="T1737" s="21">
        <f t="shared" si="1126"/>
        <v>0</v>
      </c>
      <c r="U1737" s="21">
        <f t="shared" si="1126"/>
        <v>0</v>
      </c>
      <c r="V1737" s="21">
        <f t="shared" si="1126"/>
        <v>0</v>
      </c>
      <c r="W1737" s="21">
        <f t="shared" si="1126"/>
        <v>0</v>
      </c>
      <c r="X1737" s="21">
        <f t="shared" si="1126"/>
        <v>0</v>
      </c>
      <c r="Y1737" s="21">
        <f t="shared" si="1126"/>
        <v>0</v>
      </c>
      <c r="Z1737" s="21">
        <f t="shared" si="1126"/>
        <v>0</v>
      </c>
      <c r="AA1737" s="21">
        <f t="shared" si="1126"/>
        <v>0</v>
      </c>
      <c r="AB1737" s="21">
        <f t="shared" si="1126"/>
        <v>0</v>
      </c>
      <c r="AC1737" s="21">
        <f t="shared" si="1126"/>
        <v>0</v>
      </c>
      <c r="AD1737" s="21">
        <f t="shared" si="1126"/>
        <v>0</v>
      </c>
      <c r="AE1737" s="21">
        <f t="shared" si="1126"/>
        <v>0</v>
      </c>
    </row>
    <row r="1738" spans="3:31" x14ac:dyDescent="0.2">
      <c r="C1738" s="60">
        <v>-1</v>
      </c>
      <c r="E1738" s="21">
        <v>0</v>
      </c>
      <c r="G1738" s="1">
        <v>2</v>
      </c>
      <c r="I1738" s="21">
        <f t="shared" si="1125"/>
        <v>0</v>
      </c>
      <c r="J1738" s="21">
        <f t="shared" si="1125"/>
        <v>0</v>
      </c>
      <c r="K1738" s="21">
        <f t="shared" si="1125"/>
        <v>0</v>
      </c>
      <c r="L1738" s="21">
        <f t="shared" si="1125"/>
        <v>0</v>
      </c>
      <c r="M1738" s="21">
        <f t="shared" si="1125"/>
        <v>0</v>
      </c>
      <c r="N1738" s="21">
        <f t="shared" si="1125"/>
        <v>0</v>
      </c>
      <c r="O1738" s="21">
        <f t="shared" si="1125"/>
        <v>0</v>
      </c>
      <c r="P1738" s="21">
        <f t="shared" si="1125"/>
        <v>0</v>
      </c>
      <c r="Q1738" s="21">
        <f t="shared" si="1125"/>
        <v>0</v>
      </c>
      <c r="R1738" s="21">
        <f t="shared" si="1125"/>
        <v>0</v>
      </c>
      <c r="S1738" s="21">
        <f t="shared" si="1126"/>
        <v>0</v>
      </c>
      <c r="T1738" s="21">
        <f t="shared" si="1126"/>
        <v>0</v>
      </c>
      <c r="U1738" s="21">
        <f t="shared" si="1126"/>
        <v>0</v>
      </c>
      <c r="V1738" s="21">
        <f t="shared" si="1126"/>
        <v>0</v>
      </c>
      <c r="W1738" s="21">
        <f t="shared" si="1126"/>
        <v>0</v>
      </c>
      <c r="X1738" s="21">
        <f t="shared" si="1126"/>
        <v>0</v>
      </c>
      <c r="Y1738" s="21">
        <f t="shared" si="1126"/>
        <v>0</v>
      </c>
      <c r="Z1738" s="21">
        <f t="shared" si="1126"/>
        <v>0</v>
      </c>
      <c r="AA1738" s="21">
        <f t="shared" si="1126"/>
        <v>0</v>
      </c>
      <c r="AB1738" s="21">
        <f t="shared" si="1126"/>
        <v>0</v>
      </c>
      <c r="AC1738" s="21">
        <f t="shared" si="1126"/>
        <v>0</v>
      </c>
      <c r="AD1738" s="21">
        <f t="shared" si="1126"/>
        <v>0</v>
      </c>
      <c r="AE1738" s="21">
        <f t="shared" si="1126"/>
        <v>0</v>
      </c>
    </row>
    <row r="1739" spans="3:31" x14ac:dyDescent="0.2">
      <c r="C1739" s="60">
        <v>0</v>
      </c>
      <c r="E1739" s="21">
        <v>0</v>
      </c>
      <c r="G1739" s="1">
        <v>3</v>
      </c>
      <c r="I1739" s="21">
        <f t="shared" si="1125"/>
        <v>0</v>
      </c>
      <c r="J1739" s="21">
        <f t="shared" si="1125"/>
        <v>0</v>
      </c>
      <c r="K1739" s="21">
        <f t="shared" si="1125"/>
        <v>0</v>
      </c>
      <c r="L1739" s="21">
        <f t="shared" si="1125"/>
        <v>0</v>
      </c>
      <c r="M1739" s="21">
        <f t="shared" si="1125"/>
        <v>0</v>
      </c>
      <c r="N1739" s="21">
        <f t="shared" si="1125"/>
        <v>0</v>
      </c>
      <c r="O1739" s="21">
        <f t="shared" si="1125"/>
        <v>0</v>
      </c>
      <c r="P1739" s="21">
        <f t="shared" si="1125"/>
        <v>0</v>
      </c>
      <c r="Q1739" s="21">
        <f t="shared" si="1125"/>
        <v>0</v>
      </c>
      <c r="R1739" s="21">
        <f t="shared" si="1125"/>
        <v>0</v>
      </c>
      <c r="S1739" s="21">
        <f t="shared" si="1126"/>
        <v>0</v>
      </c>
      <c r="T1739" s="21">
        <f t="shared" si="1126"/>
        <v>0</v>
      </c>
      <c r="U1739" s="21">
        <f t="shared" si="1126"/>
        <v>0</v>
      </c>
      <c r="V1739" s="21">
        <f t="shared" si="1126"/>
        <v>0</v>
      </c>
      <c r="W1739" s="21">
        <f t="shared" si="1126"/>
        <v>0</v>
      </c>
      <c r="X1739" s="21">
        <f t="shared" si="1126"/>
        <v>0</v>
      </c>
      <c r="Y1739" s="21">
        <f t="shared" si="1126"/>
        <v>0</v>
      </c>
      <c r="Z1739" s="21">
        <f t="shared" si="1126"/>
        <v>0</v>
      </c>
      <c r="AA1739" s="21">
        <f t="shared" si="1126"/>
        <v>0</v>
      </c>
      <c r="AB1739" s="21">
        <f t="shared" si="1126"/>
        <v>0</v>
      </c>
      <c r="AC1739" s="21">
        <f t="shared" si="1126"/>
        <v>0</v>
      </c>
      <c r="AD1739" s="21">
        <f t="shared" si="1126"/>
        <v>0</v>
      </c>
      <c r="AE1739" s="21">
        <f t="shared" si="1126"/>
        <v>0</v>
      </c>
    </row>
    <row r="1740" spans="3:31" x14ac:dyDescent="0.2">
      <c r="C1740" s="60">
        <v>1</v>
      </c>
      <c r="E1740" s="21">
        <v>0</v>
      </c>
      <c r="G1740" s="1">
        <v>4</v>
      </c>
      <c r="I1740" s="21">
        <f t="shared" si="1125"/>
        <v>0</v>
      </c>
      <c r="J1740" s="21">
        <f t="shared" si="1125"/>
        <v>0</v>
      </c>
      <c r="K1740" s="21">
        <f t="shared" si="1125"/>
        <v>0</v>
      </c>
      <c r="L1740" s="21">
        <f t="shared" si="1125"/>
        <v>0</v>
      </c>
      <c r="M1740" s="21">
        <f t="shared" si="1125"/>
        <v>0</v>
      </c>
      <c r="N1740" s="21">
        <f t="shared" si="1125"/>
        <v>0</v>
      </c>
      <c r="O1740" s="21">
        <f t="shared" si="1125"/>
        <v>0</v>
      </c>
      <c r="P1740" s="21">
        <f t="shared" si="1125"/>
        <v>0</v>
      </c>
      <c r="Q1740" s="21">
        <f t="shared" si="1125"/>
        <v>0</v>
      </c>
      <c r="R1740" s="21">
        <f t="shared" si="1125"/>
        <v>0</v>
      </c>
      <c r="S1740" s="21">
        <f t="shared" si="1126"/>
        <v>0</v>
      </c>
      <c r="T1740" s="21">
        <f t="shared" si="1126"/>
        <v>0</v>
      </c>
      <c r="U1740" s="21">
        <f t="shared" si="1126"/>
        <v>0</v>
      </c>
      <c r="V1740" s="21">
        <f t="shared" si="1126"/>
        <v>0</v>
      </c>
      <c r="W1740" s="21">
        <f t="shared" si="1126"/>
        <v>0</v>
      </c>
      <c r="X1740" s="21">
        <f t="shared" si="1126"/>
        <v>0</v>
      </c>
      <c r="Y1740" s="21">
        <f t="shared" si="1126"/>
        <v>0</v>
      </c>
      <c r="Z1740" s="21">
        <f t="shared" si="1126"/>
        <v>0</v>
      </c>
      <c r="AA1740" s="21">
        <f t="shared" si="1126"/>
        <v>0</v>
      </c>
      <c r="AB1740" s="21">
        <f t="shared" si="1126"/>
        <v>0</v>
      </c>
      <c r="AC1740" s="21">
        <f t="shared" si="1126"/>
        <v>0</v>
      </c>
      <c r="AD1740" s="21">
        <f t="shared" si="1126"/>
        <v>0</v>
      </c>
      <c r="AE1740" s="21">
        <f t="shared" si="1126"/>
        <v>0</v>
      </c>
    </row>
    <row r="1741" spans="3:31" x14ac:dyDescent="0.2">
      <c r="C1741" s="60">
        <v>2</v>
      </c>
      <c r="E1741" s="21">
        <v>0</v>
      </c>
      <c r="G1741" s="1">
        <v>5</v>
      </c>
      <c r="I1741" s="21">
        <f t="shared" si="1125"/>
        <v>0</v>
      </c>
      <c r="J1741" s="21">
        <f t="shared" si="1125"/>
        <v>0</v>
      </c>
      <c r="K1741" s="21">
        <f t="shared" si="1125"/>
        <v>0</v>
      </c>
      <c r="L1741" s="21">
        <f t="shared" si="1125"/>
        <v>0</v>
      </c>
      <c r="M1741" s="21">
        <f t="shared" si="1125"/>
        <v>0</v>
      </c>
      <c r="N1741" s="21">
        <f t="shared" si="1125"/>
        <v>0</v>
      </c>
      <c r="O1741" s="21">
        <f t="shared" si="1125"/>
        <v>0</v>
      </c>
      <c r="P1741" s="21">
        <f t="shared" si="1125"/>
        <v>0</v>
      </c>
      <c r="Q1741" s="21">
        <f t="shared" si="1125"/>
        <v>0</v>
      </c>
      <c r="R1741" s="21">
        <f t="shared" si="1125"/>
        <v>0</v>
      </c>
      <c r="S1741" s="21">
        <f t="shared" si="1126"/>
        <v>0</v>
      </c>
      <c r="T1741" s="21">
        <f t="shared" si="1126"/>
        <v>0</v>
      </c>
      <c r="U1741" s="21">
        <f t="shared" si="1126"/>
        <v>0</v>
      </c>
      <c r="V1741" s="21">
        <f t="shared" si="1126"/>
        <v>0</v>
      </c>
      <c r="W1741" s="21">
        <f t="shared" si="1126"/>
        <v>0</v>
      </c>
      <c r="X1741" s="21">
        <f t="shared" si="1126"/>
        <v>0</v>
      </c>
      <c r="Y1741" s="21">
        <f t="shared" si="1126"/>
        <v>0</v>
      </c>
      <c r="Z1741" s="21">
        <f t="shared" si="1126"/>
        <v>0</v>
      </c>
      <c r="AA1741" s="21">
        <f t="shared" si="1126"/>
        <v>0</v>
      </c>
      <c r="AB1741" s="21">
        <f t="shared" si="1126"/>
        <v>0</v>
      </c>
      <c r="AC1741" s="21">
        <f t="shared" si="1126"/>
        <v>0</v>
      </c>
      <c r="AD1741" s="21">
        <f t="shared" si="1126"/>
        <v>0</v>
      </c>
      <c r="AE1741" s="21">
        <f t="shared" si="1126"/>
        <v>0</v>
      </c>
    </row>
    <row r="1742" spans="3:31" x14ac:dyDescent="0.2">
      <c r="C1742" s="60">
        <v>3</v>
      </c>
      <c r="E1742" s="21">
        <v>0</v>
      </c>
      <c r="G1742" s="1">
        <v>6</v>
      </c>
      <c r="I1742" s="21">
        <f t="shared" si="1125"/>
        <v>0</v>
      </c>
      <c r="J1742" s="21">
        <f t="shared" si="1125"/>
        <v>0</v>
      </c>
      <c r="K1742" s="21">
        <f t="shared" si="1125"/>
        <v>0</v>
      </c>
      <c r="L1742" s="21">
        <f t="shared" si="1125"/>
        <v>0</v>
      </c>
      <c r="M1742" s="21">
        <f t="shared" si="1125"/>
        <v>0</v>
      </c>
      <c r="N1742" s="21">
        <f t="shared" si="1125"/>
        <v>0</v>
      </c>
      <c r="O1742" s="21">
        <f t="shared" si="1125"/>
        <v>0</v>
      </c>
      <c r="P1742" s="21">
        <f t="shared" si="1125"/>
        <v>0</v>
      </c>
      <c r="Q1742" s="21">
        <f t="shared" si="1125"/>
        <v>0</v>
      </c>
      <c r="R1742" s="21">
        <f t="shared" si="1125"/>
        <v>0</v>
      </c>
      <c r="S1742" s="21">
        <f t="shared" si="1126"/>
        <v>0</v>
      </c>
      <c r="T1742" s="21">
        <f t="shared" si="1126"/>
        <v>0</v>
      </c>
      <c r="U1742" s="21">
        <f t="shared" si="1126"/>
        <v>0</v>
      </c>
      <c r="V1742" s="21">
        <f t="shared" si="1126"/>
        <v>0</v>
      </c>
      <c r="W1742" s="21">
        <f t="shared" si="1126"/>
        <v>0</v>
      </c>
      <c r="X1742" s="21">
        <f t="shared" si="1126"/>
        <v>0</v>
      </c>
      <c r="Y1742" s="21">
        <f t="shared" si="1126"/>
        <v>0</v>
      </c>
      <c r="Z1742" s="21">
        <f t="shared" si="1126"/>
        <v>0</v>
      </c>
      <c r="AA1742" s="21">
        <f t="shared" si="1126"/>
        <v>0</v>
      </c>
      <c r="AB1742" s="21">
        <f t="shared" si="1126"/>
        <v>0</v>
      </c>
      <c r="AC1742" s="21">
        <f t="shared" si="1126"/>
        <v>0</v>
      </c>
      <c r="AD1742" s="21">
        <f t="shared" si="1126"/>
        <v>0</v>
      </c>
      <c r="AE1742" s="21">
        <f t="shared" si="1126"/>
        <v>0</v>
      </c>
    </row>
    <row r="1743" spans="3:31" x14ac:dyDescent="0.2">
      <c r="C1743" s="60">
        <v>4</v>
      </c>
      <c r="E1743" s="21">
        <v>0</v>
      </c>
      <c r="G1743" s="1">
        <v>7</v>
      </c>
      <c r="I1743" s="21">
        <f t="shared" si="1125"/>
        <v>0</v>
      </c>
      <c r="J1743" s="21">
        <f t="shared" si="1125"/>
        <v>0</v>
      </c>
      <c r="K1743" s="21">
        <f t="shared" si="1125"/>
        <v>0</v>
      </c>
      <c r="L1743" s="21">
        <f t="shared" si="1125"/>
        <v>0</v>
      </c>
      <c r="M1743" s="21">
        <f t="shared" si="1125"/>
        <v>0</v>
      </c>
      <c r="N1743" s="21">
        <f t="shared" si="1125"/>
        <v>0</v>
      </c>
      <c r="O1743" s="21">
        <f t="shared" si="1125"/>
        <v>0</v>
      </c>
      <c r="P1743" s="21">
        <f t="shared" si="1125"/>
        <v>0</v>
      </c>
      <c r="Q1743" s="21">
        <f t="shared" si="1125"/>
        <v>0</v>
      </c>
      <c r="R1743" s="21">
        <f t="shared" si="1125"/>
        <v>0</v>
      </c>
      <c r="S1743" s="21">
        <f t="shared" si="1126"/>
        <v>0</v>
      </c>
      <c r="T1743" s="21">
        <f t="shared" si="1126"/>
        <v>0</v>
      </c>
      <c r="U1743" s="21">
        <f t="shared" si="1126"/>
        <v>0</v>
      </c>
      <c r="V1743" s="21">
        <f t="shared" si="1126"/>
        <v>0</v>
      </c>
      <c r="W1743" s="21">
        <f t="shared" si="1126"/>
        <v>0</v>
      </c>
      <c r="X1743" s="21">
        <f t="shared" si="1126"/>
        <v>0</v>
      </c>
      <c r="Y1743" s="21">
        <f t="shared" si="1126"/>
        <v>0</v>
      </c>
      <c r="Z1743" s="21">
        <f t="shared" si="1126"/>
        <v>0</v>
      </c>
      <c r="AA1743" s="21">
        <f t="shared" si="1126"/>
        <v>0</v>
      </c>
      <c r="AB1743" s="21">
        <f t="shared" si="1126"/>
        <v>0</v>
      </c>
      <c r="AC1743" s="21">
        <f t="shared" si="1126"/>
        <v>0</v>
      </c>
      <c r="AD1743" s="21">
        <f t="shared" si="1126"/>
        <v>0</v>
      </c>
      <c r="AE1743" s="21">
        <f t="shared" si="1126"/>
        <v>0</v>
      </c>
    </row>
    <row r="1744" spans="3:31" x14ac:dyDescent="0.2">
      <c r="C1744" s="60">
        <v>5</v>
      </c>
      <c r="E1744" s="21">
        <v>0</v>
      </c>
      <c r="G1744" s="1">
        <v>8</v>
      </c>
      <c r="I1744" s="21">
        <f t="shared" si="1125"/>
        <v>0</v>
      </c>
      <c r="J1744" s="21">
        <f t="shared" si="1125"/>
        <v>0</v>
      </c>
      <c r="K1744" s="21">
        <f t="shared" si="1125"/>
        <v>0</v>
      </c>
      <c r="L1744" s="21">
        <f t="shared" si="1125"/>
        <v>0</v>
      </c>
      <c r="M1744" s="21">
        <f t="shared" si="1125"/>
        <v>0</v>
      </c>
      <c r="N1744" s="21">
        <f t="shared" si="1125"/>
        <v>0</v>
      </c>
      <c r="O1744" s="21">
        <f t="shared" si="1125"/>
        <v>0</v>
      </c>
      <c r="P1744" s="21">
        <f t="shared" si="1125"/>
        <v>0</v>
      </c>
      <c r="Q1744" s="21">
        <f t="shared" si="1125"/>
        <v>0</v>
      </c>
      <c r="R1744" s="21">
        <f t="shared" si="1125"/>
        <v>0</v>
      </c>
      <c r="S1744" s="21">
        <f t="shared" si="1126"/>
        <v>0</v>
      </c>
      <c r="T1744" s="21">
        <f t="shared" si="1126"/>
        <v>0</v>
      </c>
      <c r="U1744" s="21">
        <f t="shared" si="1126"/>
        <v>0</v>
      </c>
      <c r="V1744" s="21">
        <f t="shared" si="1126"/>
        <v>0</v>
      </c>
      <c r="W1744" s="21">
        <f t="shared" si="1126"/>
        <v>0</v>
      </c>
      <c r="X1744" s="21">
        <f t="shared" si="1126"/>
        <v>0</v>
      </c>
      <c r="Y1744" s="21">
        <f t="shared" si="1126"/>
        <v>0</v>
      </c>
      <c r="Z1744" s="21">
        <f t="shared" si="1126"/>
        <v>0</v>
      </c>
      <c r="AA1744" s="21">
        <f t="shared" si="1126"/>
        <v>0</v>
      </c>
      <c r="AB1744" s="21">
        <f t="shared" si="1126"/>
        <v>0</v>
      </c>
      <c r="AC1744" s="21">
        <f t="shared" si="1126"/>
        <v>0</v>
      </c>
      <c r="AD1744" s="21">
        <f t="shared" si="1126"/>
        <v>0</v>
      </c>
      <c r="AE1744" s="21">
        <f t="shared" si="1126"/>
        <v>0</v>
      </c>
    </row>
    <row r="1745" spans="3:31" x14ac:dyDescent="0.2">
      <c r="C1745" s="60">
        <v>6</v>
      </c>
      <c r="E1745" s="21">
        <v>0</v>
      </c>
      <c r="G1745" s="1">
        <v>9</v>
      </c>
      <c r="I1745" s="21">
        <f t="shared" si="1125"/>
        <v>0</v>
      </c>
      <c r="J1745" s="21">
        <f t="shared" si="1125"/>
        <v>0</v>
      </c>
      <c r="K1745" s="21">
        <f t="shared" si="1125"/>
        <v>0</v>
      </c>
      <c r="L1745" s="21">
        <f t="shared" si="1125"/>
        <v>0</v>
      </c>
      <c r="M1745" s="21">
        <f t="shared" si="1125"/>
        <v>0</v>
      </c>
      <c r="N1745" s="21">
        <f t="shared" si="1125"/>
        <v>0</v>
      </c>
      <c r="O1745" s="21">
        <f t="shared" si="1125"/>
        <v>0</v>
      </c>
      <c r="P1745" s="21">
        <f t="shared" si="1125"/>
        <v>0</v>
      </c>
      <c r="Q1745" s="21">
        <f t="shared" si="1125"/>
        <v>0</v>
      </c>
      <c r="R1745" s="21">
        <f t="shared" si="1125"/>
        <v>0</v>
      </c>
      <c r="S1745" s="21">
        <f t="shared" si="1126"/>
        <v>0</v>
      </c>
      <c r="T1745" s="21">
        <f t="shared" si="1126"/>
        <v>0</v>
      </c>
      <c r="U1745" s="21">
        <f t="shared" si="1126"/>
        <v>0</v>
      </c>
      <c r="V1745" s="21">
        <f t="shared" si="1126"/>
        <v>0</v>
      </c>
      <c r="W1745" s="21">
        <f t="shared" si="1126"/>
        <v>0</v>
      </c>
      <c r="X1745" s="21">
        <f t="shared" si="1126"/>
        <v>0</v>
      </c>
      <c r="Y1745" s="21">
        <f t="shared" si="1126"/>
        <v>0</v>
      </c>
      <c r="Z1745" s="21">
        <f t="shared" si="1126"/>
        <v>0</v>
      </c>
      <c r="AA1745" s="21">
        <f t="shared" si="1126"/>
        <v>0</v>
      </c>
      <c r="AB1745" s="21">
        <f t="shared" si="1126"/>
        <v>0</v>
      </c>
      <c r="AC1745" s="21">
        <f t="shared" si="1126"/>
        <v>0</v>
      </c>
      <c r="AD1745" s="21">
        <f t="shared" si="1126"/>
        <v>0</v>
      </c>
      <c r="AE1745" s="21">
        <f t="shared" si="1126"/>
        <v>0</v>
      </c>
    </row>
    <row r="1746" spans="3:31" x14ac:dyDescent="0.2">
      <c r="C1746" s="60">
        <v>7</v>
      </c>
      <c r="E1746" s="21">
        <v>0</v>
      </c>
      <c r="G1746" s="1">
        <v>10</v>
      </c>
      <c r="I1746" s="21">
        <f t="shared" si="1125"/>
        <v>0</v>
      </c>
      <c r="J1746" s="21">
        <f t="shared" si="1125"/>
        <v>0</v>
      </c>
      <c r="K1746" s="21">
        <f t="shared" si="1125"/>
        <v>0</v>
      </c>
      <c r="L1746" s="21">
        <f t="shared" si="1125"/>
        <v>0</v>
      </c>
      <c r="M1746" s="21">
        <f t="shared" si="1125"/>
        <v>0</v>
      </c>
      <c r="N1746" s="21">
        <f t="shared" si="1125"/>
        <v>0</v>
      </c>
      <c r="O1746" s="21">
        <f t="shared" si="1125"/>
        <v>0</v>
      </c>
      <c r="P1746" s="21">
        <f t="shared" si="1125"/>
        <v>0</v>
      </c>
      <c r="Q1746" s="21">
        <f t="shared" si="1125"/>
        <v>0</v>
      </c>
      <c r="R1746" s="21">
        <f t="shared" si="1125"/>
        <v>0</v>
      </c>
      <c r="S1746" s="21">
        <f t="shared" si="1126"/>
        <v>0</v>
      </c>
      <c r="T1746" s="21">
        <f t="shared" si="1126"/>
        <v>0</v>
      </c>
      <c r="U1746" s="21">
        <f t="shared" si="1126"/>
        <v>0</v>
      </c>
      <c r="V1746" s="21">
        <f t="shared" si="1126"/>
        <v>0</v>
      </c>
      <c r="W1746" s="21">
        <f t="shared" si="1126"/>
        <v>0</v>
      </c>
      <c r="X1746" s="21">
        <f t="shared" si="1126"/>
        <v>0</v>
      </c>
      <c r="Y1746" s="21">
        <f t="shared" si="1126"/>
        <v>0</v>
      </c>
      <c r="Z1746" s="21">
        <f t="shared" si="1126"/>
        <v>0</v>
      </c>
      <c r="AA1746" s="21">
        <f t="shared" si="1126"/>
        <v>0</v>
      </c>
      <c r="AB1746" s="21">
        <f t="shared" si="1126"/>
        <v>0</v>
      </c>
      <c r="AC1746" s="21">
        <f t="shared" si="1126"/>
        <v>0</v>
      </c>
      <c r="AD1746" s="21">
        <f t="shared" si="1126"/>
        <v>0</v>
      </c>
      <c r="AE1746" s="21">
        <f t="shared" si="1126"/>
        <v>0</v>
      </c>
    </row>
    <row r="1747" spans="3:31" x14ac:dyDescent="0.2">
      <c r="C1747" s="60">
        <v>8</v>
      </c>
      <c r="E1747" s="21">
        <v>0</v>
      </c>
      <c r="G1747" s="1">
        <v>11</v>
      </c>
      <c r="I1747" s="21">
        <f t="shared" ref="I1747:R1759" si="1127">$E1747/$E$1733*(I$1&lt;=($E$1733+$G1747-1))*(I$1&gt;=$G1747)</f>
        <v>0</v>
      </c>
      <c r="J1747" s="21">
        <f t="shared" si="1127"/>
        <v>0</v>
      </c>
      <c r="K1747" s="21">
        <f t="shared" si="1127"/>
        <v>0</v>
      </c>
      <c r="L1747" s="21">
        <f t="shared" si="1127"/>
        <v>0</v>
      </c>
      <c r="M1747" s="21">
        <f t="shared" si="1127"/>
        <v>0</v>
      </c>
      <c r="N1747" s="21">
        <f t="shared" si="1127"/>
        <v>0</v>
      </c>
      <c r="O1747" s="21">
        <f t="shared" si="1127"/>
        <v>0</v>
      </c>
      <c r="P1747" s="21">
        <f t="shared" si="1127"/>
        <v>0</v>
      </c>
      <c r="Q1747" s="21">
        <f t="shared" si="1127"/>
        <v>0</v>
      </c>
      <c r="R1747" s="21">
        <f t="shared" si="1127"/>
        <v>0</v>
      </c>
      <c r="S1747" s="21">
        <f t="shared" ref="S1747:AE1759" si="1128">$E1747/$E$1733*(S$1&lt;=($E$1733+$G1747-1))*(S$1&gt;=$G1747)</f>
        <v>0</v>
      </c>
      <c r="T1747" s="21">
        <f t="shared" si="1128"/>
        <v>0</v>
      </c>
      <c r="U1747" s="21">
        <f t="shared" si="1128"/>
        <v>0</v>
      </c>
      <c r="V1747" s="21">
        <f t="shared" si="1128"/>
        <v>0</v>
      </c>
      <c r="W1747" s="21">
        <f t="shared" si="1128"/>
        <v>0</v>
      </c>
      <c r="X1747" s="21">
        <f t="shared" si="1128"/>
        <v>0</v>
      </c>
      <c r="Y1747" s="21">
        <f t="shared" si="1128"/>
        <v>0</v>
      </c>
      <c r="Z1747" s="21">
        <f t="shared" si="1128"/>
        <v>0</v>
      </c>
      <c r="AA1747" s="21">
        <f t="shared" si="1128"/>
        <v>0</v>
      </c>
      <c r="AB1747" s="21">
        <f t="shared" si="1128"/>
        <v>0</v>
      </c>
      <c r="AC1747" s="21">
        <f t="shared" si="1128"/>
        <v>0</v>
      </c>
      <c r="AD1747" s="21">
        <f t="shared" si="1128"/>
        <v>0</v>
      </c>
      <c r="AE1747" s="21">
        <f t="shared" si="1128"/>
        <v>0</v>
      </c>
    </row>
    <row r="1748" spans="3:31" x14ac:dyDescent="0.2">
      <c r="C1748" s="60">
        <v>9</v>
      </c>
      <c r="E1748" s="21">
        <v>0</v>
      </c>
      <c r="G1748" s="1">
        <v>12</v>
      </c>
      <c r="I1748" s="21">
        <f t="shared" si="1127"/>
        <v>0</v>
      </c>
      <c r="J1748" s="21">
        <f t="shared" si="1127"/>
        <v>0</v>
      </c>
      <c r="K1748" s="21">
        <f t="shared" si="1127"/>
        <v>0</v>
      </c>
      <c r="L1748" s="21">
        <f t="shared" si="1127"/>
        <v>0</v>
      </c>
      <c r="M1748" s="21">
        <f t="shared" si="1127"/>
        <v>0</v>
      </c>
      <c r="N1748" s="21">
        <f t="shared" si="1127"/>
        <v>0</v>
      </c>
      <c r="O1748" s="21">
        <f t="shared" si="1127"/>
        <v>0</v>
      </c>
      <c r="P1748" s="21">
        <f t="shared" si="1127"/>
        <v>0</v>
      </c>
      <c r="Q1748" s="21">
        <f t="shared" si="1127"/>
        <v>0</v>
      </c>
      <c r="R1748" s="21">
        <f t="shared" si="1127"/>
        <v>0</v>
      </c>
      <c r="S1748" s="21">
        <f t="shared" si="1128"/>
        <v>0</v>
      </c>
      <c r="T1748" s="21">
        <f t="shared" si="1128"/>
        <v>0</v>
      </c>
      <c r="U1748" s="21">
        <f t="shared" si="1128"/>
        <v>0</v>
      </c>
      <c r="V1748" s="21">
        <f t="shared" si="1128"/>
        <v>0</v>
      </c>
      <c r="W1748" s="21">
        <f t="shared" si="1128"/>
        <v>0</v>
      </c>
      <c r="X1748" s="21">
        <f t="shared" si="1128"/>
        <v>0</v>
      </c>
      <c r="Y1748" s="21">
        <f t="shared" si="1128"/>
        <v>0</v>
      </c>
      <c r="Z1748" s="21">
        <f t="shared" si="1128"/>
        <v>0</v>
      </c>
      <c r="AA1748" s="21">
        <f t="shared" si="1128"/>
        <v>0</v>
      </c>
      <c r="AB1748" s="21">
        <f t="shared" si="1128"/>
        <v>0</v>
      </c>
      <c r="AC1748" s="21">
        <f t="shared" si="1128"/>
        <v>0</v>
      </c>
      <c r="AD1748" s="21">
        <f t="shared" si="1128"/>
        <v>0</v>
      </c>
      <c r="AE1748" s="21">
        <f t="shared" si="1128"/>
        <v>0</v>
      </c>
    </row>
    <row r="1749" spans="3:31" x14ac:dyDescent="0.2">
      <c r="C1749" s="60">
        <v>10</v>
      </c>
      <c r="E1749" s="21">
        <v>0</v>
      </c>
      <c r="G1749" s="1">
        <v>13</v>
      </c>
      <c r="I1749" s="21">
        <f t="shared" si="1127"/>
        <v>0</v>
      </c>
      <c r="J1749" s="21">
        <f t="shared" si="1127"/>
        <v>0</v>
      </c>
      <c r="K1749" s="21">
        <f t="shared" si="1127"/>
        <v>0</v>
      </c>
      <c r="L1749" s="21">
        <f t="shared" si="1127"/>
        <v>0</v>
      </c>
      <c r="M1749" s="21">
        <f t="shared" si="1127"/>
        <v>0</v>
      </c>
      <c r="N1749" s="21">
        <f t="shared" si="1127"/>
        <v>0</v>
      </c>
      <c r="O1749" s="21">
        <f t="shared" si="1127"/>
        <v>0</v>
      </c>
      <c r="P1749" s="21">
        <f t="shared" si="1127"/>
        <v>0</v>
      </c>
      <c r="Q1749" s="21">
        <f t="shared" si="1127"/>
        <v>0</v>
      </c>
      <c r="R1749" s="21">
        <f t="shared" si="1127"/>
        <v>0</v>
      </c>
      <c r="S1749" s="21">
        <f t="shared" si="1128"/>
        <v>0</v>
      </c>
      <c r="T1749" s="21">
        <f t="shared" si="1128"/>
        <v>0</v>
      </c>
      <c r="U1749" s="21">
        <f t="shared" si="1128"/>
        <v>0</v>
      </c>
      <c r="V1749" s="21">
        <f t="shared" si="1128"/>
        <v>0</v>
      </c>
      <c r="W1749" s="21">
        <f t="shared" si="1128"/>
        <v>0</v>
      </c>
      <c r="X1749" s="21">
        <f t="shared" si="1128"/>
        <v>0</v>
      </c>
      <c r="Y1749" s="21">
        <f t="shared" si="1128"/>
        <v>0</v>
      </c>
      <c r="Z1749" s="21">
        <f t="shared" si="1128"/>
        <v>0</v>
      </c>
      <c r="AA1749" s="21">
        <f t="shared" si="1128"/>
        <v>0</v>
      </c>
      <c r="AB1749" s="21">
        <f t="shared" si="1128"/>
        <v>0</v>
      </c>
      <c r="AC1749" s="21">
        <f t="shared" si="1128"/>
        <v>0</v>
      </c>
      <c r="AD1749" s="21">
        <f t="shared" si="1128"/>
        <v>0</v>
      </c>
      <c r="AE1749" s="21">
        <f t="shared" si="1128"/>
        <v>0</v>
      </c>
    </row>
    <row r="1750" spans="3:31" x14ac:dyDescent="0.2">
      <c r="C1750" s="60">
        <v>11</v>
      </c>
      <c r="E1750" s="21">
        <v>0</v>
      </c>
      <c r="G1750" s="1">
        <v>14</v>
      </c>
      <c r="I1750" s="21">
        <f t="shared" si="1127"/>
        <v>0</v>
      </c>
      <c r="J1750" s="21">
        <f t="shared" si="1127"/>
        <v>0</v>
      </c>
      <c r="K1750" s="21">
        <f t="shared" si="1127"/>
        <v>0</v>
      </c>
      <c r="L1750" s="21">
        <f t="shared" si="1127"/>
        <v>0</v>
      </c>
      <c r="M1750" s="21">
        <f t="shared" si="1127"/>
        <v>0</v>
      </c>
      <c r="N1750" s="21">
        <f t="shared" si="1127"/>
        <v>0</v>
      </c>
      <c r="O1750" s="21">
        <f t="shared" si="1127"/>
        <v>0</v>
      </c>
      <c r="P1750" s="21">
        <f t="shared" si="1127"/>
        <v>0</v>
      </c>
      <c r="Q1750" s="21">
        <f t="shared" si="1127"/>
        <v>0</v>
      </c>
      <c r="R1750" s="21">
        <f t="shared" si="1127"/>
        <v>0</v>
      </c>
      <c r="S1750" s="21">
        <f t="shared" si="1128"/>
        <v>0</v>
      </c>
      <c r="T1750" s="21">
        <f t="shared" si="1128"/>
        <v>0</v>
      </c>
      <c r="U1750" s="21">
        <f t="shared" si="1128"/>
        <v>0</v>
      </c>
      <c r="V1750" s="21">
        <f t="shared" si="1128"/>
        <v>0</v>
      </c>
      <c r="W1750" s="21">
        <f t="shared" si="1128"/>
        <v>0</v>
      </c>
      <c r="X1750" s="21">
        <f t="shared" si="1128"/>
        <v>0</v>
      </c>
      <c r="Y1750" s="21">
        <f t="shared" si="1128"/>
        <v>0</v>
      </c>
      <c r="Z1750" s="21">
        <f t="shared" si="1128"/>
        <v>0</v>
      </c>
      <c r="AA1750" s="21">
        <f t="shared" si="1128"/>
        <v>0</v>
      </c>
      <c r="AB1750" s="21">
        <f t="shared" si="1128"/>
        <v>0</v>
      </c>
      <c r="AC1750" s="21">
        <f t="shared" si="1128"/>
        <v>0</v>
      </c>
      <c r="AD1750" s="21">
        <f t="shared" si="1128"/>
        <v>0</v>
      </c>
      <c r="AE1750" s="21">
        <f t="shared" si="1128"/>
        <v>0</v>
      </c>
    </row>
    <row r="1751" spans="3:31" x14ac:dyDescent="0.2">
      <c r="C1751" s="60">
        <v>12</v>
      </c>
      <c r="E1751" s="21">
        <v>0</v>
      </c>
      <c r="G1751" s="1">
        <v>15</v>
      </c>
      <c r="I1751" s="21">
        <f t="shared" si="1127"/>
        <v>0</v>
      </c>
      <c r="J1751" s="21">
        <f t="shared" si="1127"/>
        <v>0</v>
      </c>
      <c r="K1751" s="21">
        <f t="shared" si="1127"/>
        <v>0</v>
      </c>
      <c r="L1751" s="21">
        <f t="shared" si="1127"/>
        <v>0</v>
      </c>
      <c r="M1751" s="21">
        <f t="shared" si="1127"/>
        <v>0</v>
      </c>
      <c r="N1751" s="21">
        <f t="shared" si="1127"/>
        <v>0</v>
      </c>
      <c r="O1751" s="21">
        <f t="shared" si="1127"/>
        <v>0</v>
      </c>
      <c r="P1751" s="21">
        <f t="shared" si="1127"/>
        <v>0</v>
      </c>
      <c r="Q1751" s="21">
        <f t="shared" si="1127"/>
        <v>0</v>
      </c>
      <c r="R1751" s="21">
        <f t="shared" si="1127"/>
        <v>0</v>
      </c>
      <c r="S1751" s="21">
        <f t="shared" si="1128"/>
        <v>0</v>
      </c>
      <c r="T1751" s="21">
        <f t="shared" si="1128"/>
        <v>0</v>
      </c>
      <c r="U1751" s="21">
        <f t="shared" si="1128"/>
        <v>0</v>
      </c>
      <c r="V1751" s="21">
        <f t="shared" si="1128"/>
        <v>0</v>
      </c>
      <c r="W1751" s="21">
        <f t="shared" si="1128"/>
        <v>0</v>
      </c>
      <c r="X1751" s="21">
        <f t="shared" si="1128"/>
        <v>0</v>
      </c>
      <c r="Y1751" s="21">
        <f t="shared" si="1128"/>
        <v>0</v>
      </c>
      <c r="Z1751" s="21">
        <f t="shared" si="1128"/>
        <v>0</v>
      </c>
      <c r="AA1751" s="21">
        <f t="shared" si="1128"/>
        <v>0</v>
      </c>
      <c r="AB1751" s="21">
        <f t="shared" si="1128"/>
        <v>0</v>
      </c>
      <c r="AC1751" s="21">
        <f t="shared" si="1128"/>
        <v>0</v>
      </c>
      <c r="AD1751" s="21">
        <f t="shared" si="1128"/>
        <v>0</v>
      </c>
      <c r="AE1751" s="21">
        <f t="shared" si="1128"/>
        <v>0</v>
      </c>
    </row>
    <row r="1752" spans="3:31" x14ac:dyDescent="0.2">
      <c r="C1752" s="60">
        <v>13</v>
      </c>
      <c r="E1752" s="21">
        <v>0</v>
      </c>
      <c r="G1752" s="1">
        <v>16</v>
      </c>
      <c r="I1752" s="21">
        <f t="shared" si="1127"/>
        <v>0</v>
      </c>
      <c r="J1752" s="21">
        <f t="shared" si="1127"/>
        <v>0</v>
      </c>
      <c r="K1752" s="21">
        <f t="shared" si="1127"/>
        <v>0</v>
      </c>
      <c r="L1752" s="21">
        <f t="shared" si="1127"/>
        <v>0</v>
      </c>
      <c r="M1752" s="21">
        <f t="shared" si="1127"/>
        <v>0</v>
      </c>
      <c r="N1752" s="21">
        <f t="shared" si="1127"/>
        <v>0</v>
      </c>
      <c r="O1752" s="21">
        <f t="shared" si="1127"/>
        <v>0</v>
      </c>
      <c r="P1752" s="21">
        <f t="shared" si="1127"/>
        <v>0</v>
      </c>
      <c r="Q1752" s="21">
        <f t="shared" si="1127"/>
        <v>0</v>
      </c>
      <c r="R1752" s="21">
        <f t="shared" si="1127"/>
        <v>0</v>
      </c>
      <c r="S1752" s="21">
        <f t="shared" si="1128"/>
        <v>0</v>
      </c>
      <c r="T1752" s="21">
        <f t="shared" si="1128"/>
        <v>0</v>
      </c>
      <c r="U1752" s="21">
        <f t="shared" si="1128"/>
        <v>0</v>
      </c>
      <c r="V1752" s="21">
        <f t="shared" si="1128"/>
        <v>0</v>
      </c>
      <c r="W1752" s="21">
        <f t="shared" si="1128"/>
        <v>0</v>
      </c>
      <c r="X1752" s="21">
        <f t="shared" si="1128"/>
        <v>0</v>
      </c>
      <c r="Y1752" s="21">
        <f t="shared" si="1128"/>
        <v>0</v>
      </c>
      <c r="Z1752" s="21">
        <f t="shared" si="1128"/>
        <v>0</v>
      </c>
      <c r="AA1752" s="21">
        <f t="shared" si="1128"/>
        <v>0</v>
      </c>
      <c r="AB1752" s="21">
        <f t="shared" si="1128"/>
        <v>0</v>
      </c>
      <c r="AC1752" s="21">
        <f t="shared" si="1128"/>
        <v>0</v>
      </c>
      <c r="AD1752" s="21">
        <f t="shared" si="1128"/>
        <v>0</v>
      </c>
      <c r="AE1752" s="21">
        <f t="shared" si="1128"/>
        <v>0</v>
      </c>
    </row>
    <row r="1753" spans="3:31" x14ac:dyDescent="0.2">
      <c r="C1753" s="60">
        <v>14</v>
      </c>
      <c r="E1753" s="21">
        <v>0</v>
      </c>
      <c r="G1753" s="1">
        <v>17</v>
      </c>
      <c r="I1753" s="21">
        <f t="shared" si="1127"/>
        <v>0</v>
      </c>
      <c r="J1753" s="21">
        <f t="shared" si="1127"/>
        <v>0</v>
      </c>
      <c r="K1753" s="21">
        <f t="shared" si="1127"/>
        <v>0</v>
      </c>
      <c r="L1753" s="21">
        <f t="shared" si="1127"/>
        <v>0</v>
      </c>
      <c r="M1753" s="21">
        <f t="shared" si="1127"/>
        <v>0</v>
      </c>
      <c r="N1753" s="21">
        <f t="shared" si="1127"/>
        <v>0</v>
      </c>
      <c r="O1753" s="21">
        <f t="shared" si="1127"/>
        <v>0</v>
      </c>
      <c r="P1753" s="21">
        <f t="shared" si="1127"/>
        <v>0</v>
      </c>
      <c r="Q1753" s="21">
        <f t="shared" si="1127"/>
        <v>0</v>
      </c>
      <c r="R1753" s="21">
        <f t="shared" si="1127"/>
        <v>0</v>
      </c>
      <c r="S1753" s="21">
        <f t="shared" si="1128"/>
        <v>0</v>
      </c>
      <c r="T1753" s="21">
        <f t="shared" si="1128"/>
        <v>0</v>
      </c>
      <c r="U1753" s="21">
        <f t="shared" si="1128"/>
        <v>0</v>
      </c>
      <c r="V1753" s="21">
        <f t="shared" si="1128"/>
        <v>0</v>
      </c>
      <c r="W1753" s="21">
        <f t="shared" si="1128"/>
        <v>0</v>
      </c>
      <c r="X1753" s="21">
        <f t="shared" si="1128"/>
        <v>0</v>
      </c>
      <c r="Y1753" s="21">
        <f t="shared" si="1128"/>
        <v>0</v>
      </c>
      <c r="Z1753" s="21">
        <f t="shared" si="1128"/>
        <v>0</v>
      </c>
      <c r="AA1753" s="21">
        <f t="shared" si="1128"/>
        <v>0</v>
      </c>
      <c r="AB1753" s="21">
        <f t="shared" si="1128"/>
        <v>0</v>
      </c>
      <c r="AC1753" s="21">
        <f t="shared" si="1128"/>
        <v>0</v>
      </c>
      <c r="AD1753" s="21">
        <f t="shared" si="1128"/>
        <v>0</v>
      </c>
      <c r="AE1753" s="21">
        <f t="shared" si="1128"/>
        <v>0</v>
      </c>
    </row>
    <row r="1754" spans="3:31" x14ac:dyDescent="0.2">
      <c r="C1754" s="60">
        <v>15</v>
      </c>
      <c r="E1754" s="21">
        <v>0</v>
      </c>
      <c r="G1754" s="1">
        <v>18</v>
      </c>
      <c r="I1754" s="21">
        <f t="shared" si="1127"/>
        <v>0</v>
      </c>
      <c r="J1754" s="21">
        <f t="shared" si="1127"/>
        <v>0</v>
      </c>
      <c r="K1754" s="21">
        <f t="shared" si="1127"/>
        <v>0</v>
      </c>
      <c r="L1754" s="21">
        <f t="shared" si="1127"/>
        <v>0</v>
      </c>
      <c r="M1754" s="21">
        <f t="shared" si="1127"/>
        <v>0</v>
      </c>
      <c r="N1754" s="21">
        <f t="shared" si="1127"/>
        <v>0</v>
      </c>
      <c r="O1754" s="21">
        <f t="shared" si="1127"/>
        <v>0</v>
      </c>
      <c r="P1754" s="21">
        <f t="shared" si="1127"/>
        <v>0</v>
      </c>
      <c r="Q1754" s="21">
        <f t="shared" si="1127"/>
        <v>0</v>
      </c>
      <c r="R1754" s="21">
        <f t="shared" si="1127"/>
        <v>0</v>
      </c>
      <c r="S1754" s="21">
        <f t="shared" si="1128"/>
        <v>0</v>
      </c>
      <c r="T1754" s="21">
        <f t="shared" si="1128"/>
        <v>0</v>
      </c>
      <c r="U1754" s="21">
        <f t="shared" si="1128"/>
        <v>0</v>
      </c>
      <c r="V1754" s="21">
        <f t="shared" si="1128"/>
        <v>0</v>
      </c>
      <c r="W1754" s="21">
        <f t="shared" si="1128"/>
        <v>0</v>
      </c>
      <c r="X1754" s="21">
        <f t="shared" si="1128"/>
        <v>0</v>
      </c>
      <c r="Y1754" s="21">
        <f t="shared" si="1128"/>
        <v>0</v>
      </c>
      <c r="Z1754" s="21">
        <f t="shared" si="1128"/>
        <v>0</v>
      </c>
      <c r="AA1754" s="21">
        <f t="shared" si="1128"/>
        <v>0</v>
      </c>
      <c r="AB1754" s="21">
        <f t="shared" si="1128"/>
        <v>0</v>
      </c>
      <c r="AC1754" s="21">
        <f t="shared" si="1128"/>
        <v>0</v>
      </c>
      <c r="AD1754" s="21">
        <f t="shared" si="1128"/>
        <v>0</v>
      </c>
      <c r="AE1754" s="21">
        <f t="shared" si="1128"/>
        <v>0</v>
      </c>
    </row>
    <row r="1755" spans="3:31" x14ac:dyDescent="0.2">
      <c r="C1755" s="60">
        <v>16</v>
      </c>
      <c r="E1755" s="21">
        <v>0</v>
      </c>
      <c r="G1755" s="1">
        <v>19</v>
      </c>
      <c r="I1755" s="21">
        <f t="shared" si="1127"/>
        <v>0</v>
      </c>
      <c r="J1755" s="21">
        <f t="shared" si="1127"/>
        <v>0</v>
      </c>
      <c r="K1755" s="21">
        <f t="shared" si="1127"/>
        <v>0</v>
      </c>
      <c r="L1755" s="21">
        <f t="shared" si="1127"/>
        <v>0</v>
      </c>
      <c r="M1755" s="21">
        <f t="shared" si="1127"/>
        <v>0</v>
      </c>
      <c r="N1755" s="21">
        <f t="shared" si="1127"/>
        <v>0</v>
      </c>
      <c r="O1755" s="21">
        <f t="shared" si="1127"/>
        <v>0</v>
      </c>
      <c r="P1755" s="21">
        <f t="shared" si="1127"/>
        <v>0</v>
      </c>
      <c r="Q1755" s="21">
        <f t="shared" si="1127"/>
        <v>0</v>
      </c>
      <c r="R1755" s="21">
        <f t="shared" si="1127"/>
        <v>0</v>
      </c>
      <c r="S1755" s="21">
        <f t="shared" si="1128"/>
        <v>0</v>
      </c>
      <c r="T1755" s="21">
        <f t="shared" si="1128"/>
        <v>0</v>
      </c>
      <c r="U1755" s="21">
        <f t="shared" si="1128"/>
        <v>0</v>
      </c>
      <c r="V1755" s="21">
        <f t="shared" si="1128"/>
        <v>0</v>
      </c>
      <c r="W1755" s="21">
        <f t="shared" si="1128"/>
        <v>0</v>
      </c>
      <c r="X1755" s="21">
        <f t="shared" si="1128"/>
        <v>0</v>
      </c>
      <c r="Y1755" s="21">
        <f t="shared" si="1128"/>
        <v>0</v>
      </c>
      <c r="Z1755" s="21">
        <f t="shared" si="1128"/>
        <v>0</v>
      </c>
      <c r="AA1755" s="21">
        <f t="shared" si="1128"/>
        <v>0</v>
      </c>
      <c r="AB1755" s="21">
        <f t="shared" si="1128"/>
        <v>0</v>
      </c>
      <c r="AC1755" s="21">
        <f t="shared" si="1128"/>
        <v>0</v>
      </c>
      <c r="AD1755" s="21">
        <f t="shared" si="1128"/>
        <v>0</v>
      </c>
      <c r="AE1755" s="21">
        <f t="shared" si="1128"/>
        <v>0</v>
      </c>
    </row>
    <row r="1756" spans="3:31" x14ac:dyDescent="0.2">
      <c r="C1756" s="60">
        <v>17</v>
      </c>
      <c r="E1756" s="21">
        <v>0</v>
      </c>
      <c r="G1756" s="1">
        <v>20</v>
      </c>
      <c r="I1756" s="21">
        <f t="shared" si="1127"/>
        <v>0</v>
      </c>
      <c r="J1756" s="21">
        <f t="shared" si="1127"/>
        <v>0</v>
      </c>
      <c r="K1756" s="21">
        <f t="shared" si="1127"/>
        <v>0</v>
      </c>
      <c r="L1756" s="21">
        <f t="shared" si="1127"/>
        <v>0</v>
      </c>
      <c r="M1756" s="21">
        <f t="shared" si="1127"/>
        <v>0</v>
      </c>
      <c r="N1756" s="21">
        <f t="shared" si="1127"/>
        <v>0</v>
      </c>
      <c r="O1756" s="21">
        <f t="shared" si="1127"/>
        <v>0</v>
      </c>
      <c r="P1756" s="21">
        <f t="shared" si="1127"/>
        <v>0</v>
      </c>
      <c r="Q1756" s="21">
        <f t="shared" si="1127"/>
        <v>0</v>
      </c>
      <c r="R1756" s="21">
        <f t="shared" si="1127"/>
        <v>0</v>
      </c>
      <c r="S1756" s="21">
        <f t="shared" si="1128"/>
        <v>0</v>
      </c>
      <c r="T1756" s="21">
        <f t="shared" si="1128"/>
        <v>0</v>
      </c>
      <c r="U1756" s="21">
        <f t="shared" si="1128"/>
        <v>0</v>
      </c>
      <c r="V1756" s="21">
        <f t="shared" si="1128"/>
        <v>0</v>
      </c>
      <c r="W1756" s="21">
        <f t="shared" si="1128"/>
        <v>0</v>
      </c>
      <c r="X1756" s="21">
        <f t="shared" si="1128"/>
        <v>0</v>
      </c>
      <c r="Y1756" s="21">
        <f t="shared" si="1128"/>
        <v>0</v>
      </c>
      <c r="Z1756" s="21">
        <f t="shared" si="1128"/>
        <v>0</v>
      </c>
      <c r="AA1756" s="21">
        <f t="shared" si="1128"/>
        <v>0</v>
      </c>
      <c r="AB1756" s="21">
        <f t="shared" si="1128"/>
        <v>0</v>
      </c>
      <c r="AC1756" s="21">
        <f t="shared" si="1128"/>
        <v>0</v>
      </c>
      <c r="AD1756" s="21">
        <f t="shared" si="1128"/>
        <v>0</v>
      </c>
      <c r="AE1756" s="21">
        <f t="shared" si="1128"/>
        <v>0</v>
      </c>
    </row>
    <row r="1757" spans="3:31" x14ac:dyDescent="0.2">
      <c r="C1757" s="60">
        <v>18</v>
      </c>
      <c r="E1757" s="21">
        <v>0</v>
      </c>
      <c r="G1757" s="1">
        <v>21</v>
      </c>
      <c r="I1757" s="21">
        <f t="shared" si="1127"/>
        <v>0</v>
      </c>
      <c r="J1757" s="21">
        <f t="shared" si="1127"/>
        <v>0</v>
      </c>
      <c r="K1757" s="21">
        <f t="shared" si="1127"/>
        <v>0</v>
      </c>
      <c r="L1757" s="21">
        <f t="shared" si="1127"/>
        <v>0</v>
      </c>
      <c r="M1757" s="21">
        <f t="shared" si="1127"/>
        <v>0</v>
      </c>
      <c r="N1757" s="21">
        <f t="shared" si="1127"/>
        <v>0</v>
      </c>
      <c r="O1757" s="21">
        <f t="shared" si="1127"/>
        <v>0</v>
      </c>
      <c r="P1757" s="21">
        <f t="shared" si="1127"/>
        <v>0</v>
      </c>
      <c r="Q1757" s="21">
        <f t="shared" si="1127"/>
        <v>0</v>
      </c>
      <c r="R1757" s="21">
        <f t="shared" si="1127"/>
        <v>0</v>
      </c>
      <c r="S1757" s="21">
        <f t="shared" si="1128"/>
        <v>0</v>
      </c>
      <c r="T1757" s="21">
        <f t="shared" si="1128"/>
        <v>0</v>
      </c>
      <c r="U1757" s="21">
        <f t="shared" si="1128"/>
        <v>0</v>
      </c>
      <c r="V1757" s="21">
        <f t="shared" si="1128"/>
        <v>0</v>
      </c>
      <c r="W1757" s="21">
        <f t="shared" si="1128"/>
        <v>0</v>
      </c>
      <c r="X1757" s="21">
        <f t="shared" si="1128"/>
        <v>0</v>
      </c>
      <c r="Y1757" s="21">
        <f t="shared" si="1128"/>
        <v>0</v>
      </c>
      <c r="Z1757" s="21">
        <f t="shared" si="1128"/>
        <v>0</v>
      </c>
      <c r="AA1757" s="21">
        <f t="shared" si="1128"/>
        <v>0</v>
      </c>
      <c r="AB1757" s="21">
        <f t="shared" si="1128"/>
        <v>0</v>
      </c>
      <c r="AC1757" s="21">
        <f t="shared" si="1128"/>
        <v>0</v>
      </c>
      <c r="AD1757" s="21">
        <f t="shared" si="1128"/>
        <v>0</v>
      </c>
      <c r="AE1757" s="21">
        <f t="shared" si="1128"/>
        <v>0</v>
      </c>
    </row>
    <row r="1758" spans="3:31" x14ac:dyDescent="0.2">
      <c r="C1758" s="60">
        <v>19</v>
      </c>
      <c r="E1758" s="21">
        <v>0</v>
      </c>
      <c r="G1758" s="1">
        <v>22</v>
      </c>
      <c r="I1758" s="21">
        <f t="shared" si="1127"/>
        <v>0</v>
      </c>
      <c r="J1758" s="21">
        <f t="shared" si="1127"/>
        <v>0</v>
      </c>
      <c r="K1758" s="21">
        <f t="shared" si="1127"/>
        <v>0</v>
      </c>
      <c r="L1758" s="21">
        <f t="shared" si="1127"/>
        <v>0</v>
      </c>
      <c r="M1758" s="21">
        <f t="shared" si="1127"/>
        <v>0</v>
      </c>
      <c r="N1758" s="21">
        <f t="shared" si="1127"/>
        <v>0</v>
      </c>
      <c r="O1758" s="21">
        <f t="shared" si="1127"/>
        <v>0</v>
      </c>
      <c r="P1758" s="21">
        <f t="shared" si="1127"/>
        <v>0</v>
      </c>
      <c r="Q1758" s="21">
        <f t="shared" si="1127"/>
        <v>0</v>
      </c>
      <c r="R1758" s="21">
        <f t="shared" si="1127"/>
        <v>0</v>
      </c>
      <c r="S1758" s="21">
        <f t="shared" si="1128"/>
        <v>0</v>
      </c>
      <c r="T1758" s="21">
        <f t="shared" si="1128"/>
        <v>0</v>
      </c>
      <c r="U1758" s="21">
        <f t="shared" si="1128"/>
        <v>0</v>
      </c>
      <c r="V1758" s="21">
        <f t="shared" si="1128"/>
        <v>0</v>
      </c>
      <c r="W1758" s="21">
        <f t="shared" si="1128"/>
        <v>0</v>
      </c>
      <c r="X1758" s="21">
        <f t="shared" si="1128"/>
        <v>0</v>
      </c>
      <c r="Y1758" s="21">
        <f t="shared" si="1128"/>
        <v>0</v>
      </c>
      <c r="Z1758" s="21">
        <f t="shared" si="1128"/>
        <v>0</v>
      </c>
      <c r="AA1758" s="21">
        <f t="shared" si="1128"/>
        <v>0</v>
      </c>
      <c r="AB1758" s="21">
        <f t="shared" si="1128"/>
        <v>0</v>
      </c>
      <c r="AC1758" s="21">
        <f t="shared" si="1128"/>
        <v>0</v>
      </c>
      <c r="AD1758" s="21">
        <f t="shared" si="1128"/>
        <v>0</v>
      </c>
      <c r="AE1758" s="21">
        <f t="shared" si="1128"/>
        <v>0</v>
      </c>
    </row>
    <row r="1759" spans="3:31" x14ac:dyDescent="0.2">
      <c r="C1759" s="60">
        <v>20</v>
      </c>
      <c r="E1759" s="21">
        <v>0</v>
      </c>
      <c r="G1759" s="1">
        <v>23</v>
      </c>
      <c r="I1759" s="21">
        <f t="shared" si="1127"/>
        <v>0</v>
      </c>
      <c r="J1759" s="21">
        <f t="shared" si="1127"/>
        <v>0</v>
      </c>
      <c r="K1759" s="21">
        <f t="shared" si="1127"/>
        <v>0</v>
      </c>
      <c r="L1759" s="21">
        <f t="shared" si="1127"/>
        <v>0</v>
      </c>
      <c r="M1759" s="21">
        <f t="shared" si="1127"/>
        <v>0</v>
      </c>
      <c r="N1759" s="21">
        <f t="shared" si="1127"/>
        <v>0</v>
      </c>
      <c r="O1759" s="21">
        <f t="shared" si="1127"/>
        <v>0</v>
      </c>
      <c r="P1759" s="21">
        <f t="shared" si="1127"/>
        <v>0</v>
      </c>
      <c r="Q1759" s="21">
        <f t="shared" si="1127"/>
        <v>0</v>
      </c>
      <c r="R1759" s="21">
        <f t="shared" si="1127"/>
        <v>0</v>
      </c>
      <c r="S1759" s="21">
        <f t="shared" si="1128"/>
        <v>0</v>
      </c>
      <c r="T1759" s="21">
        <f t="shared" si="1128"/>
        <v>0</v>
      </c>
      <c r="U1759" s="21">
        <f t="shared" si="1128"/>
        <v>0</v>
      </c>
      <c r="V1759" s="21">
        <f t="shared" si="1128"/>
        <v>0</v>
      </c>
      <c r="W1759" s="21">
        <f t="shared" si="1128"/>
        <v>0</v>
      </c>
      <c r="X1759" s="21">
        <f t="shared" si="1128"/>
        <v>0</v>
      </c>
      <c r="Y1759" s="21">
        <f t="shared" si="1128"/>
        <v>0</v>
      </c>
      <c r="Z1759" s="21">
        <f t="shared" si="1128"/>
        <v>0</v>
      </c>
      <c r="AA1759" s="21">
        <f t="shared" si="1128"/>
        <v>0</v>
      </c>
      <c r="AB1759" s="21">
        <f t="shared" si="1128"/>
        <v>0</v>
      </c>
      <c r="AC1759" s="21">
        <f t="shared" si="1128"/>
        <v>0</v>
      </c>
      <c r="AD1759" s="21">
        <f t="shared" si="1128"/>
        <v>0</v>
      </c>
      <c r="AE1759" s="21">
        <f t="shared" si="1128"/>
        <v>0</v>
      </c>
    </row>
    <row r="1760" spans="3:31" x14ac:dyDescent="0.2">
      <c r="C1760" s="87" t="s">
        <v>45</v>
      </c>
      <c r="D1760" s="9"/>
      <c r="E1760" s="44"/>
      <c r="I1760" s="44">
        <f>SUM(I1737:I1759)</f>
        <v>0.17499999999999999</v>
      </c>
      <c r="J1760" s="44">
        <f t="shared" ref="J1760:AE1760" si="1129">SUM(J1737:J1759)</f>
        <v>0.17499999999999999</v>
      </c>
      <c r="K1760" s="44">
        <f t="shared" si="1129"/>
        <v>0</v>
      </c>
      <c r="L1760" s="44">
        <f t="shared" si="1129"/>
        <v>0</v>
      </c>
      <c r="M1760" s="44">
        <f t="shared" si="1129"/>
        <v>0</v>
      </c>
      <c r="N1760" s="44">
        <f t="shared" si="1129"/>
        <v>0</v>
      </c>
      <c r="O1760" s="44">
        <f t="shared" si="1129"/>
        <v>0</v>
      </c>
      <c r="P1760" s="44">
        <f t="shared" si="1129"/>
        <v>0</v>
      </c>
      <c r="Q1760" s="44">
        <f t="shared" si="1129"/>
        <v>0</v>
      </c>
      <c r="R1760" s="44">
        <f t="shared" si="1129"/>
        <v>0</v>
      </c>
      <c r="S1760" s="44">
        <f t="shared" si="1129"/>
        <v>0</v>
      </c>
      <c r="T1760" s="44">
        <f t="shared" si="1129"/>
        <v>0</v>
      </c>
      <c r="U1760" s="44">
        <f t="shared" si="1129"/>
        <v>0</v>
      </c>
      <c r="V1760" s="44">
        <f t="shared" si="1129"/>
        <v>0</v>
      </c>
      <c r="W1760" s="44">
        <f t="shared" si="1129"/>
        <v>0</v>
      </c>
      <c r="X1760" s="44">
        <f t="shared" si="1129"/>
        <v>0</v>
      </c>
      <c r="Y1760" s="44">
        <f t="shared" si="1129"/>
        <v>0</v>
      </c>
      <c r="Z1760" s="44">
        <f t="shared" si="1129"/>
        <v>0</v>
      </c>
      <c r="AA1760" s="44">
        <f t="shared" si="1129"/>
        <v>0</v>
      </c>
      <c r="AB1760" s="44">
        <f t="shared" si="1129"/>
        <v>0</v>
      </c>
      <c r="AC1760" s="44">
        <f t="shared" si="1129"/>
        <v>0</v>
      </c>
      <c r="AD1760" s="44">
        <f t="shared" si="1129"/>
        <v>0</v>
      </c>
      <c r="AE1760" s="44">
        <f t="shared" si="1129"/>
        <v>0</v>
      </c>
    </row>
    <row r="1762" spans="2:32" x14ac:dyDescent="0.2">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row>
    <row r="1763" spans="2:32" s="5" customFormat="1" x14ac:dyDescent="0.2"/>
    <row r="1764" spans="2:32" x14ac:dyDescent="0.2">
      <c r="B1764" s="10">
        <f>B1614+0.1</f>
        <v>14.599999999999998</v>
      </c>
      <c r="C1764" s="9" t="s">
        <v>225</v>
      </c>
      <c r="D1764" s="9"/>
      <c r="AF1764" s="1"/>
    </row>
    <row r="1766" spans="2:32" x14ac:dyDescent="0.2">
      <c r="B1766" s="24">
        <f>B1764+0.01</f>
        <v>14.609999999999998</v>
      </c>
      <c r="C1766" s="9" t="s">
        <v>226</v>
      </c>
      <c r="D1766" s="9"/>
      <c r="AF1766" s="1"/>
    </row>
    <row r="1768" spans="2:32" x14ac:dyDescent="0.2">
      <c r="C1768" s="1" t="s">
        <v>962</v>
      </c>
      <c r="E1768" s="43">
        <f>'Quarterly Plant Model'!E1768</f>
        <v>9.9999422500000001</v>
      </c>
      <c r="F1768" s="1" t="s">
        <v>55</v>
      </c>
      <c r="G1768" s="88">
        <f t="shared" ref="G1768:G1770" si="1130">E1768/$E$1777</f>
        <v>2.0478956260545148E-2</v>
      </c>
    </row>
    <row r="1769" spans="2:32" x14ac:dyDescent="0.2">
      <c r="C1769" s="1" t="s">
        <v>954</v>
      </c>
      <c r="E1769" s="43">
        <f>'Quarterly Plant Model'!E1769</f>
        <v>0.35</v>
      </c>
      <c r="F1769" s="1" t="s">
        <v>55</v>
      </c>
      <c r="G1769" s="88">
        <f t="shared" si="1130"/>
        <v>7.1676760845201901E-4</v>
      </c>
    </row>
    <row r="1770" spans="2:32" x14ac:dyDescent="0.2">
      <c r="C1770" s="1" t="s">
        <v>961</v>
      </c>
      <c r="E1770" s="43">
        <f>'Quarterly Plant Model'!E1770</f>
        <v>3.2228117602517194</v>
      </c>
      <c r="F1770" s="1" t="s">
        <v>55</v>
      </c>
      <c r="G1770" s="88">
        <f t="shared" si="1130"/>
        <v>6.6000202225333328E-3</v>
      </c>
    </row>
    <row r="1771" spans="2:32" x14ac:dyDescent="0.2">
      <c r="C1771" s="1" t="s">
        <v>963</v>
      </c>
      <c r="E1771" s="43">
        <f>'Quarterly Plant Model'!E1771</f>
        <v>465.57598916478941</v>
      </c>
      <c r="F1771" s="1" t="s">
        <v>55</v>
      </c>
      <c r="G1771" s="88">
        <f t="shared" ref="G1771:G1777" si="1131">E1771/$E$1777</f>
        <v>0.9534565380180835</v>
      </c>
      <c r="H1771" s="21"/>
      <c r="I1771" s="52"/>
      <c r="AF1771" s="1"/>
    </row>
    <row r="1772" spans="2:32" x14ac:dyDescent="0.2">
      <c r="C1772" s="1" t="s">
        <v>227</v>
      </c>
      <c r="E1772" s="43">
        <f>'Quarterly Plant Model'!E1772</f>
        <v>9.1545728130854211</v>
      </c>
      <c r="F1772" s="1" t="s">
        <v>55</v>
      </c>
      <c r="G1772" s="88">
        <f t="shared" si="1131"/>
        <v>1.8747717890386026E-2</v>
      </c>
      <c r="I1772" s="52"/>
      <c r="AF1772" s="1"/>
    </row>
    <row r="1773" spans="2:32" x14ac:dyDescent="0.2">
      <c r="C1773" s="1" t="s">
        <v>184</v>
      </c>
      <c r="D1773" s="43"/>
      <c r="E1773" s="43">
        <f>'Quarterly Plant Model'!E1773</f>
        <v>0</v>
      </c>
      <c r="F1773" s="1" t="s">
        <v>55</v>
      </c>
      <c r="G1773" s="88">
        <f t="shared" si="1131"/>
        <v>0</v>
      </c>
      <c r="I1773" s="52"/>
      <c r="AF1773" s="1"/>
    </row>
    <row r="1774" spans="2:32" x14ac:dyDescent="0.2">
      <c r="C1774" s="1" t="s">
        <v>941</v>
      </c>
      <c r="D1774" s="43"/>
      <c r="E1774" s="43">
        <f>'Quarterly Plant Model'!E1774</f>
        <v>0</v>
      </c>
      <c r="F1774" s="1" t="s">
        <v>55</v>
      </c>
      <c r="G1774" s="88">
        <f t="shared" si="1131"/>
        <v>0</v>
      </c>
      <c r="I1774" s="52"/>
      <c r="AF1774" s="1"/>
    </row>
    <row r="1775" spans="2:32" x14ac:dyDescent="0.2">
      <c r="C1775" s="9" t="s">
        <v>228</v>
      </c>
      <c r="D1775" s="9"/>
      <c r="E1775" s="53">
        <f>SUM(E1768:E1774)</f>
        <v>488.30331598812654</v>
      </c>
      <c r="F1775" s="1" t="s">
        <v>55</v>
      </c>
      <c r="G1775" s="73">
        <f t="shared" si="1131"/>
        <v>1</v>
      </c>
      <c r="I1775" s="53"/>
      <c r="AF1775" s="1"/>
    </row>
    <row r="1776" spans="2:32" x14ac:dyDescent="0.2">
      <c r="B1776" s="103"/>
      <c r="C1776" s="1" t="s">
        <v>773</v>
      </c>
      <c r="D1776" s="43"/>
      <c r="E1776" s="43">
        <f>'Quarterly Plant Model'!E1776</f>
        <v>0</v>
      </c>
      <c r="F1776" s="1" t="s">
        <v>55</v>
      </c>
      <c r="G1776" s="88">
        <f t="shared" si="1131"/>
        <v>0</v>
      </c>
      <c r="I1776" s="52"/>
      <c r="AF1776" s="1"/>
    </row>
    <row r="1777" spans="2:32" x14ac:dyDescent="0.2">
      <c r="C1777" s="9" t="s">
        <v>45</v>
      </c>
      <c r="D1777" s="9"/>
      <c r="E1777" s="53">
        <f>E1775+E1776</f>
        <v>488.30331598812654</v>
      </c>
      <c r="F1777" s="9" t="s">
        <v>55</v>
      </c>
      <c r="G1777" s="73">
        <f t="shared" si="1131"/>
        <v>1</v>
      </c>
      <c r="I1777" s="53"/>
      <c r="AF1777" s="1"/>
    </row>
    <row r="1778" spans="2:32" x14ac:dyDescent="0.2">
      <c r="E1778" s="5"/>
      <c r="AF1778" s="1"/>
    </row>
    <row r="1779" spans="2:32" x14ac:dyDescent="0.2">
      <c r="B1779" s="24">
        <f>B1766+0.01</f>
        <v>14.619999999999997</v>
      </c>
      <c r="C1779" s="9" t="s">
        <v>229</v>
      </c>
      <c r="D1779" s="9"/>
      <c r="E1779" s="5"/>
      <c r="AF1779" s="1"/>
    </row>
    <row r="1780" spans="2:32" x14ac:dyDescent="0.2">
      <c r="E1780" s="5"/>
      <c r="AF1780" s="1"/>
    </row>
    <row r="1781" spans="2:32" x14ac:dyDescent="0.2">
      <c r="C1781" s="1" t="s">
        <v>944</v>
      </c>
      <c r="E1781" s="43">
        <f>'Quarterly Plant Model'!E1781</f>
        <v>10</v>
      </c>
      <c r="F1781" s="1" t="s">
        <v>55</v>
      </c>
      <c r="G1781" s="88">
        <f>E1781/$E$1785</f>
        <v>2.0479074527200544E-2</v>
      </c>
      <c r="AF1781" s="1"/>
    </row>
    <row r="1782" spans="2:32" x14ac:dyDescent="0.2">
      <c r="C1782" s="1" t="s">
        <v>161</v>
      </c>
      <c r="E1782" s="43">
        <f>'Quarterly Plant Model'!E1782</f>
        <v>330</v>
      </c>
      <c r="F1782" s="1" t="s">
        <v>55</v>
      </c>
      <c r="G1782" s="88">
        <f>E1782/$E$1785</f>
        <v>0.67580945939761794</v>
      </c>
      <c r="I1782" s="52"/>
      <c r="AF1782" s="1"/>
    </row>
    <row r="1783" spans="2:32" x14ac:dyDescent="0.2">
      <c r="C1783" s="1" t="s">
        <v>470</v>
      </c>
      <c r="E1783" s="43">
        <f>'Quarterly Plant Model'!E1783</f>
        <v>11.714318548527149</v>
      </c>
      <c r="F1783" s="1" t="s">
        <v>55</v>
      </c>
      <c r="G1783" s="88">
        <f>E1783/$E$1785</f>
        <v>2.3989840259065517E-2</v>
      </c>
      <c r="I1783" s="52"/>
      <c r="AF1783" s="1"/>
    </row>
    <row r="1784" spans="2:32" x14ac:dyDescent="0.2">
      <c r="C1784" s="1" t="s">
        <v>231</v>
      </c>
      <c r="D1784" s="43"/>
      <c r="E1784" s="43">
        <f>'Quarterly Plant Model'!E1784</f>
        <v>136.58899743959938</v>
      </c>
      <c r="F1784" s="1" t="s">
        <v>55</v>
      </c>
      <c r="G1784" s="88">
        <f>E1784/$E$1785</f>
        <v>0.27972162581611598</v>
      </c>
      <c r="I1784" s="52"/>
    </row>
    <row r="1785" spans="2:32" x14ac:dyDescent="0.2">
      <c r="C1785" s="9" t="s">
        <v>228</v>
      </c>
      <c r="D1785" s="9"/>
      <c r="E1785" s="53">
        <f>SUM(E1781:E1784)</f>
        <v>488.30331598812654</v>
      </c>
      <c r="F1785" s="9" t="s">
        <v>55</v>
      </c>
      <c r="G1785" s="73">
        <f>SUM(G1781:G1784)</f>
        <v>1</v>
      </c>
      <c r="I1785" s="53"/>
    </row>
    <row r="1786" spans="2:32" x14ac:dyDescent="0.2">
      <c r="C1786" s="9"/>
      <c r="D1786" s="9"/>
      <c r="E1786" s="53"/>
      <c r="F1786" s="9"/>
      <c r="G1786" s="88"/>
      <c r="I1786" s="53"/>
    </row>
    <row r="1787" spans="2:32" x14ac:dyDescent="0.2">
      <c r="C1787" s="1" t="s">
        <v>783</v>
      </c>
      <c r="E1787" s="43">
        <f>'Quarterly Plant Model'!E1787</f>
        <v>0</v>
      </c>
      <c r="F1787" s="1" t="s">
        <v>55</v>
      </c>
      <c r="G1787" s="88" t="e">
        <f>SUM(G1788:G1789)</f>
        <v>#DIV/0!</v>
      </c>
      <c r="I1787" s="52"/>
    </row>
    <row r="1788" spans="2:32" x14ac:dyDescent="0.2">
      <c r="C1788" s="16" t="s">
        <v>230</v>
      </c>
      <c r="D1788" s="43"/>
      <c r="E1788" s="43">
        <f>'Quarterly Plant Model'!E1788</f>
        <v>0</v>
      </c>
      <c r="F1788" s="1" t="s">
        <v>55</v>
      </c>
      <c r="G1788" s="88" t="e">
        <f>E1788/E1787</f>
        <v>#DIV/0!</v>
      </c>
      <c r="I1788" s="52"/>
    </row>
    <row r="1789" spans="2:32" x14ac:dyDescent="0.2">
      <c r="C1789" s="16" t="s">
        <v>295</v>
      </c>
      <c r="D1789" s="43"/>
      <c r="E1789" s="43">
        <f>'Quarterly Plant Model'!E1789</f>
        <v>0</v>
      </c>
      <c r="F1789" s="1" t="s">
        <v>55</v>
      </c>
      <c r="G1789" s="88" t="e">
        <f>E1789/E1787</f>
        <v>#DIV/0!</v>
      </c>
      <c r="I1789" s="52"/>
    </row>
    <row r="1790" spans="2:32" x14ac:dyDescent="0.2">
      <c r="E1790" s="52"/>
      <c r="G1790" s="88"/>
      <c r="I1790" s="52"/>
    </row>
    <row r="1791" spans="2:32" x14ac:dyDescent="0.2">
      <c r="C1791" s="1" t="s">
        <v>296</v>
      </c>
      <c r="D1791" s="43"/>
      <c r="E1791" s="43">
        <f>'Quarterly Plant Model'!E1791</f>
        <v>340</v>
      </c>
      <c r="F1791" s="1" t="s">
        <v>55</v>
      </c>
      <c r="G1791" s="88">
        <f>E1791/E1794</f>
        <v>0.69628853392481849</v>
      </c>
      <c r="I1791" s="52"/>
    </row>
    <row r="1792" spans="2:32" x14ac:dyDescent="0.2">
      <c r="C1792" s="1" t="s">
        <v>470</v>
      </c>
      <c r="E1792" s="43">
        <f>'Quarterly Plant Model'!E1792</f>
        <v>11.714318548527149</v>
      </c>
      <c r="F1792" s="1" t="s">
        <v>55</v>
      </c>
      <c r="G1792" s="88">
        <f>E1792/E1794</f>
        <v>2.3989840259065517E-2</v>
      </c>
      <c r="I1792" s="52"/>
    </row>
    <row r="1793" spans="2:37" x14ac:dyDescent="0.2">
      <c r="C1793" s="1" t="s">
        <v>232</v>
      </c>
      <c r="D1793" s="43"/>
      <c r="E1793" s="43">
        <f>'Quarterly Plant Model'!E1793</f>
        <v>136.58899743959938</v>
      </c>
      <c r="F1793" s="1" t="s">
        <v>55</v>
      </c>
      <c r="G1793" s="88">
        <f>E1793/E1794</f>
        <v>0.27972162581611598</v>
      </c>
      <c r="I1793" s="52"/>
    </row>
    <row r="1794" spans="2:37" x14ac:dyDescent="0.2">
      <c r="C1794" s="9" t="s">
        <v>233</v>
      </c>
      <c r="D1794" s="9"/>
      <c r="E1794" s="53">
        <f>SUM(E1791:E1793)</f>
        <v>488.30331598812654</v>
      </c>
      <c r="F1794" s="9" t="s">
        <v>55</v>
      </c>
      <c r="G1794" s="73">
        <f>SUM(G1791:G1793)</f>
        <v>1</v>
      </c>
      <c r="I1794" s="53"/>
    </row>
    <row r="1795" spans="2:37" x14ac:dyDescent="0.2">
      <c r="C1795" s="5"/>
      <c r="D1795" s="5"/>
    </row>
    <row r="1796" spans="2:37" x14ac:dyDescent="0.2">
      <c r="B1796" s="6"/>
      <c r="C1796" s="6"/>
      <c r="D1796" s="6"/>
      <c r="E1796" s="7"/>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G1796" s="6"/>
      <c r="AH1796" s="6"/>
      <c r="AI1796" s="6"/>
      <c r="AJ1796" s="6"/>
    </row>
    <row r="1797" spans="2:37" x14ac:dyDescent="0.2">
      <c r="C1797" s="5"/>
      <c r="D1797" s="5"/>
      <c r="AK1797" s="5"/>
    </row>
    <row r="1798" spans="2:37" x14ac:dyDescent="0.2">
      <c r="B1798" s="8">
        <f>B1440+1</f>
        <v>15</v>
      </c>
      <c r="C1798" s="20" t="s">
        <v>297</v>
      </c>
      <c r="D1798" s="5"/>
    </row>
    <row r="1799" spans="2:37" x14ac:dyDescent="0.2">
      <c r="C1799" s="5"/>
      <c r="D1799" s="5"/>
    </row>
    <row r="1800" spans="2:37" x14ac:dyDescent="0.2">
      <c r="C1800" s="20" t="s">
        <v>451</v>
      </c>
      <c r="D1800" s="5"/>
    </row>
    <row r="1801" spans="2:37" x14ac:dyDescent="0.2">
      <c r="B1801" s="1">
        <v>1</v>
      </c>
      <c r="C1801" s="21" t="str">
        <f t="shared" ref="C1801:C1814" si="1132">C672</f>
        <v>Labor - ex SGA</v>
      </c>
      <c r="D1801" s="20"/>
      <c r="G1801" s="21">
        <f t="shared" ref="G1801:G1814" si="1133">G672</f>
        <v>14.735451318106477</v>
      </c>
      <c r="J1801" s="21"/>
      <c r="AF1801" s="1"/>
    </row>
    <row r="1802" spans="2:37" x14ac:dyDescent="0.2">
      <c r="B1802" s="1">
        <f>B1801+1</f>
        <v>2</v>
      </c>
      <c r="C1802" s="21" t="str">
        <f t="shared" si="1132"/>
        <v>Iron Ore Pellets</v>
      </c>
      <c r="D1802" s="5"/>
      <c r="G1802" s="21">
        <f t="shared" si="1133"/>
        <v>188.39710433486593</v>
      </c>
      <c r="J1802" s="21"/>
      <c r="AF1802" s="1"/>
    </row>
    <row r="1803" spans="2:37" x14ac:dyDescent="0.2">
      <c r="B1803" s="1">
        <f t="shared" ref="B1803:B1814" si="1134">B1802+1</f>
        <v>3</v>
      </c>
      <c r="C1803" s="21" t="str">
        <f t="shared" si="1132"/>
        <v>Lime</v>
      </c>
      <c r="D1803" s="5"/>
      <c r="G1803" s="21">
        <f t="shared" si="1133"/>
        <v>7.9920000000000035</v>
      </c>
      <c r="J1803" s="21"/>
      <c r="AF1803" s="1"/>
    </row>
    <row r="1804" spans="2:37" x14ac:dyDescent="0.2">
      <c r="B1804" s="1">
        <f t="shared" si="1134"/>
        <v>4</v>
      </c>
      <c r="C1804" s="21" t="str">
        <f t="shared" si="1132"/>
        <v>Briquettes</v>
      </c>
      <c r="D1804" s="5"/>
      <c r="G1804" s="21">
        <f t="shared" si="1133"/>
        <v>0.29976503033391516</v>
      </c>
      <c r="J1804" s="21"/>
      <c r="AF1804" s="1"/>
    </row>
    <row r="1805" spans="2:37" x14ac:dyDescent="0.2">
      <c r="B1805" s="1">
        <f t="shared" si="1134"/>
        <v>5</v>
      </c>
      <c r="C1805" s="21" t="str">
        <f t="shared" si="1132"/>
        <v>Electricity</v>
      </c>
      <c r="D1805" s="5"/>
      <c r="G1805" s="21">
        <f t="shared" si="1133"/>
        <v>21.314798988478366</v>
      </c>
      <c r="AF1805" s="1"/>
    </row>
    <row r="1806" spans="2:37" x14ac:dyDescent="0.2">
      <c r="B1806" s="1">
        <f t="shared" si="1134"/>
        <v>6</v>
      </c>
      <c r="C1806" s="21" t="str">
        <f t="shared" si="1132"/>
        <v>Natural Gas</v>
      </c>
      <c r="D1806" s="5"/>
      <c r="G1806" s="21">
        <f t="shared" si="1133"/>
        <v>46.466849101803838</v>
      </c>
      <c r="I1806" s="21"/>
      <c r="J1806" s="21"/>
      <c r="AF1806" s="1"/>
    </row>
    <row r="1807" spans="2:37" x14ac:dyDescent="0.2">
      <c r="B1807" s="1">
        <f t="shared" si="1134"/>
        <v>7</v>
      </c>
      <c r="C1807" s="21" t="str">
        <f t="shared" si="1132"/>
        <v>Maintenance</v>
      </c>
      <c r="D1807" s="5"/>
      <c r="G1807" s="21">
        <f t="shared" si="1133"/>
        <v>5.6763465409155911</v>
      </c>
      <c r="J1807" s="21"/>
      <c r="AF1807" s="1"/>
    </row>
    <row r="1808" spans="2:37" x14ac:dyDescent="0.2">
      <c r="B1808" s="1">
        <f t="shared" si="1134"/>
        <v>8</v>
      </c>
      <c r="C1808" s="21" t="str">
        <f t="shared" si="1132"/>
        <v>Electrodes</v>
      </c>
      <c r="D1808" s="5"/>
      <c r="G1808" s="21">
        <f t="shared" si="1133"/>
        <v>24.000000000000007</v>
      </c>
      <c r="J1808" s="21"/>
      <c r="AF1808" s="1"/>
    </row>
    <row r="1809" spans="2:32" x14ac:dyDescent="0.2">
      <c r="B1809" s="1">
        <f t="shared" si="1134"/>
        <v>9</v>
      </c>
      <c r="C1809" s="21" t="str">
        <f t="shared" si="1132"/>
        <v>Refractories</v>
      </c>
      <c r="D1809" s="5"/>
      <c r="G1809" s="21">
        <f t="shared" si="1133"/>
        <v>10.004081473640616</v>
      </c>
      <c r="AF1809" s="1"/>
    </row>
    <row r="1810" spans="2:32" x14ac:dyDescent="0.2">
      <c r="B1810" s="1">
        <f t="shared" si="1134"/>
        <v>10</v>
      </c>
      <c r="C1810" s="21" t="str">
        <f t="shared" si="1132"/>
        <v>Slag processing</v>
      </c>
      <c r="D1810" s="5"/>
      <c r="G1810" s="21">
        <f t="shared" si="1133"/>
        <v>3.1750616470588251</v>
      </c>
      <c r="H1810" s="21"/>
      <c r="J1810" s="21"/>
      <c r="AF1810" s="1"/>
    </row>
    <row r="1811" spans="2:32" x14ac:dyDescent="0.2">
      <c r="B1811" s="1">
        <f t="shared" si="1134"/>
        <v>11</v>
      </c>
      <c r="C1811" s="21" t="str">
        <f t="shared" si="1132"/>
        <v>Other gases and supplies</v>
      </c>
      <c r="D1811" s="5"/>
      <c r="G1811" s="21">
        <f t="shared" si="1133"/>
        <v>0.18621656822490251</v>
      </c>
      <c r="AF1811" s="1"/>
    </row>
    <row r="1812" spans="2:32" x14ac:dyDescent="0.2">
      <c r="B1812" s="1">
        <f t="shared" si="1134"/>
        <v>12</v>
      </c>
      <c r="C1812" s="21" t="str">
        <f t="shared" si="1132"/>
        <v>General services and mobile equipment</v>
      </c>
      <c r="D1812" s="5"/>
      <c r="G1812" s="21">
        <f t="shared" si="1133"/>
        <v>1.7500000000000002</v>
      </c>
      <c r="AF1812" s="1"/>
    </row>
    <row r="1813" spans="2:32" x14ac:dyDescent="0.2">
      <c r="B1813" s="1">
        <f t="shared" si="1134"/>
        <v>13</v>
      </c>
      <c r="C1813" s="21" t="str">
        <f t="shared" si="1132"/>
        <v>Industrial Water</v>
      </c>
      <c r="D1813" s="5"/>
      <c r="G1813" s="21">
        <f t="shared" si="1133"/>
        <v>0.44252771362586624</v>
      </c>
      <c r="AF1813" s="1"/>
    </row>
    <row r="1814" spans="2:32" x14ac:dyDescent="0.2">
      <c r="B1814" s="1">
        <f t="shared" si="1134"/>
        <v>14</v>
      </c>
      <c r="C1814" s="21" t="str">
        <f t="shared" si="1132"/>
        <v>O2, N2, others</v>
      </c>
      <c r="D1814" s="5"/>
      <c r="G1814" s="21">
        <f t="shared" si="1133"/>
        <v>5.0500000000000034</v>
      </c>
      <c r="AF1814" s="1"/>
    </row>
    <row r="1815" spans="2:32" x14ac:dyDescent="0.2">
      <c r="C1815" s="44" t="s">
        <v>510</v>
      </c>
      <c r="D1815" s="20"/>
      <c r="E1815" s="9"/>
      <c r="F1815" s="9"/>
      <c r="G1815" s="44">
        <f>SUM(G1801:G1814)</f>
        <v>329.49020271705427</v>
      </c>
      <c r="I1815" s="44"/>
      <c r="J1815" s="21"/>
      <c r="AF1815" s="1"/>
    </row>
    <row r="1816" spans="2:32" x14ac:dyDescent="0.2">
      <c r="C1816" s="5"/>
      <c r="D1816" s="5"/>
      <c r="G1816" s="21"/>
      <c r="AF1816" s="1"/>
    </row>
    <row r="1817" spans="2:32" x14ac:dyDescent="0.2">
      <c r="C1817" s="5"/>
      <c r="D1817" s="5"/>
      <c r="J1817" s="5"/>
      <c r="AF1817" s="1"/>
    </row>
    <row r="1818" spans="2:32" x14ac:dyDescent="0.2">
      <c r="C1818" s="5" t="str">
        <f t="shared" ref="C1818:C1831" si="1135">INDEX($C$1801:$C$1814,(MATCH(G1818,$G$1801:$G$1814,0)))</f>
        <v>Iron Ore Pellets</v>
      </c>
      <c r="D1818" s="5"/>
      <c r="F1818" s="1" t="s">
        <v>3</v>
      </c>
      <c r="G1818" s="21">
        <f t="shared" ref="G1818:G1831" si="1136">LARGE($G$1801:$G$1814,B1801)</f>
        <v>188.39710433486593</v>
      </c>
      <c r="H1818" s="36">
        <f t="shared" ref="H1818:H1831" si="1137">G1818/$G$1832</f>
        <v>0.57178363053377235</v>
      </c>
      <c r="J1818" s="5"/>
      <c r="AF1818" s="1"/>
    </row>
    <row r="1819" spans="2:32" x14ac:dyDescent="0.2">
      <c r="C1819" s="5" t="str">
        <f t="shared" si="1135"/>
        <v>Natural Gas</v>
      </c>
      <c r="D1819" s="5"/>
      <c r="F1819" s="1" t="s">
        <v>3</v>
      </c>
      <c r="G1819" s="21">
        <f t="shared" si="1136"/>
        <v>46.466849101803838</v>
      </c>
      <c r="H1819" s="36">
        <f t="shared" si="1137"/>
        <v>0.14102649705098116</v>
      </c>
      <c r="J1819" s="5"/>
      <c r="AF1819" s="1"/>
    </row>
    <row r="1820" spans="2:32" x14ac:dyDescent="0.2">
      <c r="C1820" s="5" t="str">
        <f t="shared" si="1135"/>
        <v>Electrodes</v>
      </c>
      <c r="D1820" s="20"/>
      <c r="F1820" s="1" t="s">
        <v>3</v>
      </c>
      <c r="G1820" s="21">
        <f t="shared" si="1136"/>
        <v>24.000000000000007</v>
      </c>
      <c r="H1820" s="36">
        <f t="shared" si="1137"/>
        <v>7.2839798580019433E-2</v>
      </c>
      <c r="J1820" s="5"/>
      <c r="AF1820" s="1"/>
    </row>
    <row r="1821" spans="2:32" x14ac:dyDescent="0.2">
      <c r="C1821" s="5" t="str">
        <f t="shared" si="1135"/>
        <v>Electricity</v>
      </c>
      <c r="F1821" s="1" t="s">
        <v>3</v>
      </c>
      <c r="G1821" s="21">
        <f t="shared" si="1136"/>
        <v>21.314798988478366</v>
      </c>
      <c r="H1821" s="36">
        <f t="shared" si="1137"/>
        <v>6.4690236045598579E-2</v>
      </c>
      <c r="J1821" s="5"/>
      <c r="AF1821" s="1"/>
    </row>
    <row r="1822" spans="2:32" x14ac:dyDescent="0.2">
      <c r="C1822" s="5" t="str">
        <f t="shared" si="1135"/>
        <v>Labor - ex SGA</v>
      </c>
      <c r="F1822" s="1" t="s">
        <v>3</v>
      </c>
      <c r="G1822" s="21">
        <f t="shared" si="1136"/>
        <v>14.735451318106477</v>
      </c>
      <c r="H1822" s="36">
        <f t="shared" si="1137"/>
        <v>4.4721971083189892E-2</v>
      </c>
      <c r="J1822" s="5"/>
      <c r="AF1822" s="1"/>
    </row>
    <row r="1823" spans="2:32" x14ac:dyDescent="0.2">
      <c r="C1823" s="5" t="str">
        <f t="shared" si="1135"/>
        <v>Refractories</v>
      </c>
      <c r="F1823" s="1" t="s">
        <v>3</v>
      </c>
      <c r="G1823" s="21">
        <f t="shared" si="1136"/>
        <v>10.004081473640616</v>
      </c>
      <c r="H1823" s="36">
        <f t="shared" si="1137"/>
        <v>3.0362303313253597E-2</v>
      </c>
      <c r="J1823" s="5"/>
      <c r="AF1823" s="1"/>
    </row>
    <row r="1824" spans="2:32" x14ac:dyDescent="0.2">
      <c r="C1824" s="5" t="str">
        <f t="shared" si="1135"/>
        <v>Lime</v>
      </c>
      <c r="F1824" s="1" t="s">
        <v>3</v>
      </c>
      <c r="G1824" s="21">
        <f t="shared" si="1136"/>
        <v>7.9920000000000035</v>
      </c>
      <c r="H1824" s="36">
        <f t="shared" si="1137"/>
        <v>2.4255652927146477E-2</v>
      </c>
      <c r="J1824" s="5"/>
      <c r="AF1824" s="1"/>
    </row>
    <row r="1825" spans="2:32" x14ac:dyDescent="0.2">
      <c r="C1825" s="5" t="str">
        <f t="shared" si="1135"/>
        <v>Maintenance</v>
      </c>
      <c r="F1825" s="1" t="s">
        <v>3</v>
      </c>
      <c r="G1825" s="21">
        <f t="shared" si="1136"/>
        <v>5.6763465409155911</v>
      </c>
      <c r="H1825" s="36">
        <f t="shared" si="1137"/>
        <v>1.7227664112945067E-2</v>
      </c>
      <c r="J1825" s="5"/>
      <c r="AF1825" s="1"/>
    </row>
    <row r="1826" spans="2:32" x14ac:dyDescent="0.2">
      <c r="C1826" s="5" t="str">
        <f t="shared" si="1135"/>
        <v>O2, N2, others</v>
      </c>
      <c r="F1826" s="1" t="s">
        <v>3</v>
      </c>
      <c r="G1826" s="21">
        <f t="shared" si="1136"/>
        <v>5.0500000000000034</v>
      </c>
      <c r="H1826" s="36">
        <f t="shared" si="1137"/>
        <v>1.5326707617879095E-2</v>
      </c>
      <c r="AF1826" s="1"/>
    </row>
    <row r="1827" spans="2:32" x14ac:dyDescent="0.2">
      <c r="C1827" s="5" t="str">
        <f t="shared" si="1135"/>
        <v>Slag processing</v>
      </c>
      <c r="F1827" s="1" t="s">
        <v>3</v>
      </c>
      <c r="G1827" s="21">
        <f t="shared" si="1136"/>
        <v>3.1750616470588251</v>
      </c>
      <c r="H1827" s="36">
        <f t="shared" si="1137"/>
        <v>9.6362854521212307E-3</v>
      </c>
      <c r="AF1827" s="1"/>
    </row>
    <row r="1828" spans="2:32" x14ac:dyDescent="0.2">
      <c r="C1828" s="5" t="str">
        <f t="shared" si="1135"/>
        <v>General services and mobile equipment</v>
      </c>
      <c r="F1828" s="1" t="s">
        <v>3</v>
      </c>
      <c r="G1828" s="21">
        <f t="shared" si="1136"/>
        <v>1.7500000000000002</v>
      </c>
      <c r="H1828" s="36">
        <f t="shared" si="1137"/>
        <v>5.3112353131264164E-3</v>
      </c>
      <c r="AF1828" s="1"/>
    </row>
    <row r="1829" spans="2:32" x14ac:dyDescent="0.2">
      <c r="C1829" s="5" t="str">
        <f t="shared" si="1135"/>
        <v>Industrial Water</v>
      </c>
      <c r="F1829" s="1" t="s">
        <v>3</v>
      </c>
      <c r="G1829" s="21">
        <f t="shared" si="1136"/>
        <v>0.44252771362586624</v>
      </c>
      <c r="H1829" s="36">
        <f t="shared" si="1137"/>
        <v>1.3430678969410254E-3</v>
      </c>
      <c r="AF1829" s="1"/>
    </row>
    <row r="1830" spans="2:32" x14ac:dyDescent="0.2">
      <c r="C1830" s="5" t="str">
        <f t="shared" si="1135"/>
        <v>Briquettes</v>
      </c>
      <c r="F1830" s="1" t="s">
        <v>3</v>
      </c>
      <c r="G1830" s="21">
        <f t="shared" si="1136"/>
        <v>0.29976503033391516</v>
      </c>
      <c r="H1830" s="36">
        <f t="shared" si="1137"/>
        <v>9.0978435128565797E-4</v>
      </c>
      <c r="AF1830" s="1"/>
    </row>
    <row r="1831" spans="2:32" x14ac:dyDescent="0.2">
      <c r="C1831" s="5" t="str">
        <f t="shared" si="1135"/>
        <v>Other gases and supplies</v>
      </c>
      <c r="F1831" s="1" t="s">
        <v>3</v>
      </c>
      <c r="G1831" s="21">
        <f t="shared" si="1136"/>
        <v>0.18621656822490251</v>
      </c>
      <c r="H1831" s="36">
        <f t="shared" si="1137"/>
        <v>5.6516572174018093E-4</v>
      </c>
      <c r="AF1831" s="1"/>
    </row>
    <row r="1832" spans="2:32" x14ac:dyDescent="0.2">
      <c r="C1832" s="44" t="s">
        <v>510</v>
      </c>
      <c r="F1832" s="9" t="s">
        <v>3</v>
      </c>
      <c r="G1832" s="44">
        <f>SUM(G1818:G1831)</f>
        <v>329.49020271705427</v>
      </c>
      <c r="H1832" s="84">
        <f>SUM(H1818:H1831)</f>
        <v>1.0000000000000002</v>
      </c>
    </row>
    <row r="1835" spans="2:32" x14ac:dyDescent="0.2">
      <c r="C1835" s="20"/>
    </row>
    <row r="1836" spans="2:32" x14ac:dyDescent="0.2">
      <c r="B1836" s="1">
        <v>1</v>
      </c>
      <c r="C1836" s="1" t="str">
        <f t="shared" ref="C1836:C1841" si="1138">C696</f>
        <v>Labor</v>
      </c>
      <c r="G1836" s="21">
        <f t="shared" ref="G1836:G1841" si="1139">G696</f>
        <v>14.735451318106477</v>
      </c>
      <c r="H1836" s="1" t="s">
        <v>969</v>
      </c>
    </row>
    <row r="1837" spans="2:32" x14ac:dyDescent="0.2">
      <c r="B1837" s="1">
        <f>B1836+1</f>
        <v>2</v>
      </c>
      <c r="C1837" s="1" t="str">
        <f t="shared" si="1138"/>
        <v>Raw Material Costs</v>
      </c>
      <c r="G1837" s="21">
        <f t="shared" si="1139"/>
        <v>196.68886936519988</v>
      </c>
    </row>
    <row r="1838" spans="2:32" x14ac:dyDescent="0.2">
      <c r="B1838" s="1">
        <f t="shared" ref="B1838:B1844" si="1140">B1837+1</f>
        <v>3</v>
      </c>
      <c r="C1838" s="1" t="str">
        <f t="shared" si="1138"/>
        <v>Storage &amp; Cold Processing</v>
      </c>
      <c r="G1838" s="21">
        <f t="shared" si="1139"/>
        <v>0.3980637475502059</v>
      </c>
    </row>
    <row r="1839" spans="2:32" x14ac:dyDescent="0.2">
      <c r="B1839" s="1">
        <f t="shared" si="1140"/>
        <v>4</v>
      </c>
      <c r="C1839" s="1" t="str">
        <f t="shared" si="1138"/>
        <v>Shaft Furnace</v>
      </c>
      <c r="G1839" s="21">
        <f t="shared" si="1139"/>
        <v>57.372283091854655</v>
      </c>
    </row>
    <row r="1840" spans="2:32" x14ac:dyDescent="0.2">
      <c r="B1840" s="1">
        <f t="shared" si="1140"/>
        <v>5</v>
      </c>
      <c r="C1840" s="1" t="str">
        <f t="shared" si="1138"/>
        <v>EAF</v>
      </c>
      <c r="G1840" s="21">
        <f t="shared" si="1139"/>
        <v>53.190657026484601</v>
      </c>
    </row>
    <row r="1841" spans="2:8" x14ac:dyDescent="0.2">
      <c r="B1841" s="1">
        <f t="shared" si="1140"/>
        <v>6</v>
      </c>
      <c r="C1841" s="1" t="str">
        <f t="shared" si="1138"/>
        <v>Auxiliaries</v>
      </c>
      <c r="G1841" s="21">
        <f t="shared" si="1139"/>
        <v>7.1048781678586135</v>
      </c>
    </row>
    <row r="1842" spans="2:8" x14ac:dyDescent="0.2">
      <c r="B1842" s="1">
        <f t="shared" si="1140"/>
        <v>7</v>
      </c>
      <c r="C1842" s="1" t="s">
        <v>444</v>
      </c>
      <c r="G1842" s="21">
        <f>G805</f>
        <v>14.415285887281431</v>
      </c>
    </row>
    <row r="1843" spans="2:8" x14ac:dyDescent="0.2">
      <c r="B1843" s="1">
        <f t="shared" si="1140"/>
        <v>8</v>
      </c>
      <c r="C1843" s="1" t="s">
        <v>508</v>
      </c>
      <c r="G1843" s="52">
        <f>-('Plant model'!$G$1259+'Plant model'!$G$1260)/'Plant model'!$G$104</f>
        <v>55.408227618756499</v>
      </c>
    </row>
    <row r="1844" spans="2:8" x14ac:dyDescent="0.2">
      <c r="B1844" s="1">
        <f t="shared" si="1140"/>
        <v>9</v>
      </c>
      <c r="C1844" s="1" t="s">
        <v>145</v>
      </c>
      <c r="G1844" s="52">
        <f>-(G1263+G1264)/G104</f>
        <v>8.3259219364533799</v>
      </c>
    </row>
    <row r="1845" spans="2:8" x14ac:dyDescent="0.2">
      <c r="C1845" s="44" t="str">
        <f>C1815</f>
        <v>Total Pig Iron Production Costs</v>
      </c>
      <c r="G1845" s="44">
        <f>SUM(G1836:G1844)</f>
        <v>407.63963815954565</v>
      </c>
      <c r="H1845" s="21"/>
    </row>
    <row r="1848" spans="2:8" x14ac:dyDescent="0.2">
      <c r="C1848" s="5" t="str">
        <f>INDEX($C$1836:$C$1844,(MATCH(G1848,$G$1836:$G$1844,0)))</f>
        <v>Raw Material Costs</v>
      </c>
      <c r="G1848" s="21">
        <f t="shared" ref="G1848:G1856" si="1141">LARGE($G$1836:$G$1844,B1836)</f>
        <v>196.68886936519988</v>
      </c>
      <c r="H1848" s="36">
        <f t="shared" ref="H1848:H1856" si="1142">G1848/$G$1857</f>
        <v>0.48250673132090749</v>
      </c>
    </row>
    <row r="1849" spans="2:8" x14ac:dyDescent="0.2">
      <c r="C1849" s="5" t="str">
        <f t="shared" ref="C1849:C1856" si="1143">INDEX($C$1836:$C$1844,(MATCH(G1849,$G$1836:$G$1844,0)))</f>
        <v>Shaft Furnace</v>
      </c>
      <c r="G1849" s="21">
        <f t="shared" si="1141"/>
        <v>57.372283091854655</v>
      </c>
      <c r="H1849" s="36">
        <f t="shared" si="1142"/>
        <v>0.14074265042252776</v>
      </c>
    </row>
    <row r="1850" spans="2:8" x14ac:dyDescent="0.2">
      <c r="C1850" s="5" t="str">
        <f>INDEX($C$1836:$C$1844,(MATCH(G1850,$G$1836:$G$1844,0)))</f>
        <v>D&amp;A</v>
      </c>
      <c r="G1850" s="21">
        <f t="shared" si="1141"/>
        <v>55.408227618756499</v>
      </c>
      <c r="H1850" s="36">
        <f t="shared" si="1142"/>
        <v>0.13592453341613045</v>
      </c>
    </row>
    <row r="1851" spans="2:8" x14ac:dyDescent="0.2">
      <c r="C1851" s="5" t="str">
        <f t="shared" si="1143"/>
        <v>EAF</v>
      </c>
      <c r="G1851" s="21">
        <f t="shared" si="1141"/>
        <v>53.190657026484601</v>
      </c>
      <c r="H1851" s="36">
        <f t="shared" si="1142"/>
        <v>0.13048450652796026</v>
      </c>
    </row>
    <row r="1852" spans="2:8" x14ac:dyDescent="0.2">
      <c r="C1852" s="5" t="str">
        <f t="shared" si="1143"/>
        <v>Labor</v>
      </c>
      <c r="G1852" s="21">
        <f t="shared" si="1141"/>
        <v>14.735451318106477</v>
      </c>
      <c r="H1852" s="36">
        <f t="shared" si="1142"/>
        <v>3.6148229805706929E-2</v>
      </c>
    </row>
    <row r="1853" spans="2:8" x14ac:dyDescent="0.2">
      <c r="C1853" s="5" t="str">
        <f>INDEX($C$1836:$C$1844,(MATCH(G1853,$G$1836:$G$1844,0)))</f>
        <v>SG&amp;A</v>
      </c>
      <c r="G1853" s="21">
        <f t="shared" si="1141"/>
        <v>14.415285887281431</v>
      </c>
      <c r="H1853" s="36">
        <f t="shared" si="1142"/>
        <v>3.5362816904570611E-2</v>
      </c>
    </row>
    <row r="1854" spans="2:8" x14ac:dyDescent="0.2">
      <c r="C1854" s="5" t="str">
        <f t="shared" si="1143"/>
        <v>Interest</v>
      </c>
      <c r="G1854" s="21">
        <f t="shared" si="1141"/>
        <v>8.3259219364533799</v>
      </c>
      <c r="H1854" s="36">
        <f t="shared" si="1142"/>
        <v>2.0424711330929757E-2</v>
      </c>
    </row>
    <row r="1855" spans="2:8" x14ac:dyDescent="0.2">
      <c r="C1855" s="5" t="str">
        <f t="shared" si="1143"/>
        <v>Auxiliaries</v>
      </c>
      <c r="G1855" s="21">
        <f t="shared" si="1141"/>
        <v>7.1048781678586135</v>
      </c>
      <c r="H1855" s="36">
        <f t="shared" si="1142"/>
        <v>1.7429311339634351E-2</v>
      </c>
    </row>
    <row r="1856" spans="2:8" x14ac:dyDescent="0.2">
      <c r="C1856" s="5" t="str">
        <f t="shared" si="1143"/>
        <v>Storage &amp; Cold Processing</v>
      </c>
      <c r="G1856" s="21">
        <f t="shared" si="1141"/>
        <v>0.3980637475502059</v>
      </c>
      <c r="H1856" s="36">
        <f t="shared" si="1142"/>
        <v>9.7650893163242405E-4</v>
      </c>
    </row>
    <row r="1857" spans="2:37" x14ac:dyDescent="0.2">
      <c r="C1857" s="44" t="str">
        <f>C1832</f>
        <v>Total Pig Iron Production Costs</v>
      </c>
      <c r="G1857" s="44">
        <f>SUM(G1848:G1856)</f>
        <v>407.63963815954571</v>
      </c>
      <c r="H1857" s="84">
        <f>SUM(H1848:H1856)</f>
        <v>1</v>
      </c>
    </row>
    <row r="1859" spans="2:37" x14ac:dyDescent="0.2">
      <c r="B1859" s="6"/>
      <c r="C1859" s="6"/>
      <c r="D1859" s="6"/>
      <c r="E1859" s="7"/>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G1859" s="6"/>
      <c r="AH1859" s="6"/>
      <c r="AI1859" s="6"/>
      <c r="AJ1859" s="6"/>
    </row>
    <row r="1860" spans="2:37" x14ac:dyDescent="0.2">
      <c r="AK1860" s="5"/>
    </row>
    <row r="1861" spans="2:37" x14ac:dyDescent="0.2">
      <c r="B1861" s="8">
        <f>B1798+1</f>
        <v>16</v>
      </c>
      <c r="C1861" s="9" t="s">
        <v>298</v>
      </c>
    </row>
    <row r="1862" spans="2:37" x14ac:dyDescent="0.2">
      <c r="E1862" s="21"/>
    </row>
    <row r="1863" spans="2:37" x14ac:dyDescent="0.2">
      <c r="B1863" s="10">
        <f>B1861+0.1</f>
        <v>16.100000000000001</v>
      </c>
      <c r="C1863" s="9" t="s">
        <v>299</v>
      </c>
    </row>
    <row r="1864" spans="2:37" x14ac:dyDescent="0.2">
      <c r="B1864" s="110"/>
      <c r="AF1864" s="1"/>
    </row>
    <row r="1865" spans="2:37" x14ac:dyDescent="0.2">
      <c r="B1865" s="110"/>
      <c r="C1865" s="1" t="s">
        <v>300</v>
      </c>
      <c r="E1865" s="49"/>
      <c r="F1865" s="1" t="s">
        <v>55</v>
      </c>
      <c r="G1865" s="21">
        <f>SUM(I1865:AE1865)</f>
        <v>475.57593141478935</v>
      </c>
      <c r="H1865" s="21"/>
      <c r="I1865" s="21">
        <f t="shared" ref="I1865:AE1865" si="1144">-I1450</f>
        <v>56.557541166478941</v>
      </c>
      <c r="J1865" s="21">
        <f t="shared" si="1144"/>
        <v>267.7061937697539</v>
      </c>
      <c r="K1865" s="21">
        <f t="shared" si="1144"/>
        <v>151.31219647855653</v>
      </c>
      <c r="L1865" s="21">
        <f t="shared" si="1144"/>
        <v>0</v>
      </c>
      <c r="M1865" s="21">
        <f t="shared" si="1144"/>
        <v>0</v>
      </c>
      <c r="N1865" s="21">
        <f t="shared" si="1144"/>
        <v>0</v>
      </c>
      <c r="O1865" s="21">
        <f t="shared" si="1144"/>
        <v>0</v>
      </c>
      <c r="P1865" s="21">
        <f t="shared" si="1144"/>
        <v>0</v>
      </c>
      <c r="Q1865" s="21">
        <f t="shared" si="1144"/>
        <v>0</v>
      </c>
      <c r="R1865" s="21">
        <f t="shared" si="1144"/>
        <v>0</v>
      </c>
      <c r="S1865" s="21">
        <f t="shared" si="1144"/>
        <v>0</v>
      </c>
      <c r="T1865" s="21">
        <f t="shared" si="1144"/>
        <v>0</v>
      </c>
      <c r="U1865" s="21">
        <f t="shared" si="1144"/>
        <v>0</v>
      </c>
      <c r="V1865" s="21">
        <f t="shared" si="1144"/>
        <v>0</v>
      </c>
      <c r="W1865" s="21">
        <f t="shared" si="1144"/>
        <v>0</v>
      </c>
      <c r="X1865" s="21">
        <f t="shared" si="1144"/>
        <v>0</v>
      </c>
      <c r="Y1865" s="21">
        <f t="shared" si="1144"/>
        <v>0</v>
      </c>
      <c r="Z1865" s="21">
        <f t="shared" si="1144"/>
        <v>0</v>
      </c>
      <c r="AA1865" s="21">
        <f t="shared" si="1144"/>
        <v>0</v>
      </c>
      <c r="AB1865" s="21">
        <f t="shared" si="1144"/>
        <v>0</v>
      </c>
      <c r="AC1865" s="21">
        <f t="shared" si="1144"/>
        <v>0</v>
      </c>
      <c r="AD1865" s="21">
        <f t="shared" si="1144"/>
        <v>0</v>
      </c>
      <c r="AE1865" s="21">
        <f t="shared" si="1144"/>
        <v>0</v>
      </c>
      <c r="AF1865" s="1"/>
    </row>
    <row r="1866" spans="2:37" x14ac:dyDescent="0.2">
      <c r="B1866" s="110"/>
      <c r="C1866" s="1" t="s">
        <v>301</v>
      </c>
      <c r="E1866" s="49"/>
      <c r="F1866" s="1" t="s">
        <v>55</v>
      </c>
      <c r="G1866" s="21">
        <f>SUM(I1866:AE1866)</f>
        <v>0</v>
      </c>
      <c r="H1866" s="21"/>
      <c r="I1866" s="21">
        <f t="shared" ref="I1866:AE1866" si="1145">-I1380*(I1865=0)</f>
        <v>0</v>
      </c>
      <c r="J1866" s="21">
        <f t="shared" si="1145"/>
        <v>0</v>
      </c>
      <c r="K1866" s="21">
        <f t="shared" si="1145"/>
        <v>0</v>
      </c>
      <c r="L1866" s="21">
        <f t="shared" si="1145"/>
        <v>0</v>
      </c>
      <c r="M1866" s="21">
        <f t="shared" si="1145"/>
        <v>0</v>
      </c>
      <c r="N1866" s="21">
        <f t="shared" si="1145"/>
        <v>0</v>
      </c>
      <c r="O1866" s="21">
        <f t="shared" si="1145"/>
        <v>0</v>
      </c>
      <c r="P1866" s="21">
        <f t="shared" si="1145"/>
        <v>0</v>
      </c>
      <c r="Q1866" s="21">
        <f t="shared" si="1145"/>
        <v>0</v>
      </c>
      <c r="R1866" s="21">
        <f t="shared" si="1145"/>
        <v>0</v>
      </c>
      <c r="S1866" s="21">
        <f t="shared" si="1145"/>
        <v>0</v>
      </c>
      <c r="T1866" s="21">
        <f t="shared" si="1145"/>
        <v>0</v>
      </c>
      <c r="U1866" s="21">
        <f t="shared" si="1145"/>
        <v>0</v>
      </c>
      <c r="V1866" s="21">
        <f t="shared" si="1145"/>
        <v>0</v>
      </c>
      <c r="W1866" s="21">
        <f t="shared" si="1145"/>
        <v>0</v>
      </c>
      <c r="X1866" s="21">
        <f t="shared" si="1145"/>
        <v>0</v>
      </c>
      <c r="Y1866" s="21">
        <f t="shared" si="1145"/>
        <v>0</v>
      </c>
      <c r="Z1866" s="21">
        <f t="shared" si="1145"/>
        <v>0</v>
      </c>
      <c r="AA1866" s="21">
        <f t="shared" si="1145"/>
        <v>0</v>
      </c>
      <c r="AB1866" s="21">
        <f t="shared" si="1145"/>
        <v>0</v>
      </c>
      <c r="AC1866" s="21">
        <f t="shared" si="1145"/>
        <v>0</v>
      </c>
      <c r="AD1866" s="21">
        <f t="shared" si="1145"/>
        <v>0</v>
      </c>
      <c r="AE1866" s="21">
        <f t="shared" si="1145"/>
        <v>0</v>
      </c>
      <c r="AF1866" s="1"/>
    </row>
    <row r="1867" spans="2:37" x14ac:dyDescent="0.2">
      <c r="B1867" s="110"/>
      <c r="C1867" s="9" t="s">
        <v>302</v>
      </c>
      <c r="D1867" s="9"/>
      <c r="E1867" s="145"/>
      <c r="F1867" s="9" t="s">
        <v>55</v>
      </c>
      <c r="G1867" s="44">
        <f>SUM(I1867:AE1867)</f>
        <v>475.57593141478935</v>
      </c>
      <c r="H1867" s="44"/>
      <c r="I1867" s="44">
        <f>SUM(I1865:I1866)</f>
        <v>56.557541166478941</v>
      </c>
      <c r="J1867" s="44">
        <f t="shared" ref="J1867:AE1867" si="1146">SUM(J1865:J1866)</f>
        <v>267.7061937697539</v>
      </c>
      <c r="K1867" s="44">
        <f>SUM(K1865:K1866)</f>
        <v>151.31219647855653</v>
      </c>
      <c r="L1867" s="44">
        <f t="shared" si="1146"/>
        <v>0</v>
      </c>
      <c r="M1867" s="44">
        <f t="shared" si="1146"/>
        <v>0</v>
      </c>
      <c r="N1867" s="44">
        <f t="shared" si="1146"/>
        <v>0</v>
      </c>
      <c r="O1867" s="44">
        <f t="shared" si="1146"/>
        <v>0</v>
      </c>
      <c r="P1867" s="44">
        <f t="shared" si="1146"/>
        <v>0</v>
      </c>
      <c r="Q1867" s="44">
        <f t="shared" si="1146"/>
        <v>0</v>
      </c>
      <c r="R1867" s="44">
        <f t="shared" si="1146"/>
        <v>0</v>
      </c>
      <c r="S1867" s="44">
        <f t="shared" si="1146"/>
        <v>0</v>
      </c>
      <c r="T1867" s="44">
        <f t="shared" si="1146"/>
        <v>0</v>
      </c>
      <c r="U1867" s="44">
        <f t="shared" si="1146"/>
        <v>0</v>
      </c>
      <c r="V1867" s="44">
        <f t="shared" si="1146"/>
        <v>0</v>
      </c>
      <c r="W1867" s="44">
        <f t="shared" si="1146"/>
        <v>0</v>
      </c>
      <c r="X1867" s="44">
        <f t="shared" si="1146"/>
        <v>0</v>
      </c>
      <c r="Y1867" s="44">
        <f t="shared" si="1146"/>
        <v>0</v>
      </c>
      <c r="Z1867" s="44">
        <f t="shared" si="1146"/>
        <v>0</v>
      </c>
      <c r="AA1867" s="44">
        <f t="shared" si="1146"/>
        <v>0</v>
      </c>
      <c r="AB1867" s="44">
        <f t="shared" si="1146"/>
        <v>0</v>
      </c>
      <c r="AC1867" s="44">
        <f t="shared" si="1146"/>
        <v>0</v>
      </c>
      <c r="AD1867" s="44">
        <f t="shared" si="1146"/>
        <v>0</v>
      </c>
      <c r="AE1867" s="44">
        <f t="shared" si="1146"/>
        <v>0</v>
      </c>
      <c r="AF1867" s="1"/>
    </row>
    <row r="1868" spans="2:37" x14ac:dyDescent="0.2">
      <c r="B1868" s="110"/>
      <c r="E1868" s="49"/>
      <c r="G1868" s="21"/>
      <c r="H1868" s="21"/>
      <c r="I1868" s="21"/>
      <c r="J1868" s="21"/>
      <c r="K1868" s="21"/>
      <c r="L1868" s="21"/>
      <c r="M1868" s="21"/>
      <c r="N1868" s="21"/>
      <c r="O1868" s="21"/>
      <c r="P1868" s="21"/>
      <c r="Q1868" s="21"/>
      <c r="R1868" s="21"/>
      <c r="S1868" s="21"/>
      <c r="T1868" s="21"/>
      <c r="U1868" s="21"/>
      <c r="V1868" s="21"/>
      <c r="W1868" s="21"/>
      <c r="X1868" s="21"/>
      <c r="Y1868" s="21"/>
      <c r="Z1868" s="21"/>
      <c r="AA1868" s="21"/>
      <c r="AB1868" s="21"/>
      <c r="AC1868" s="21"/>
      <c r="AD1868" s="21"/>
      <c r="AE1868" s="21"/>
      <c r="AF1868" s="1"/>
    </row>
    <row r="1869" spans="2:37" x14ac:dyDescent="0.2">
      <c r="B1869" s="110"/>
      <c r="C1869" s="1" t="s">
        <v>19</v>
      </c>
      <c r="E1869" s="49"/>
      <c r="F1869" s="1" t="s">
        <v>55</v>
      </c>
      <c r="G1869" s="21">
        <f t="shared" ref="G1869:G1874" si="1147">SUM(I1869:AE1869)</f>
        <v>1618.7354852964954</v>
      </c>
      <c r="H1869" s="21"/>
      <c r="I1869" s="21">
        <f t="shared" ref="I1869:AE1869" si="1148">I657</f>
        <v>0</v>
      </c>
      <c r="J1869" s="21">
        <f t="shared" si="1148"/>
        <v>0</v>
      </c>
      <c r="K1869" s="21">
        <f t="shared" si="1148"/>
        <v>25.532105446316962</v>
      </c>
      <c r="L1869" s="21">
        <f t="shared" si="1148"/>
        <v>40.851368714107139</v>
      </c>
      <c r="M1869" s="21">
        <f t="shared" si="1148"/>
        <v>81.702737428214277</v>
      </c>
      <c r="N1869" s="21">
        <f t="shared" si="1148"/>
        <v>81.702737428214277</v>
      </c>
      <c r="O1869" s="21">
        <f t="shared" si="1148"/>
        <v>81.702737428214277</v>
      </c>
      <c r="P1869" s="21">
        <f t="shared" si="1148"/>
        <v>81.702737428214277</v>
      </c>
      <c r="Q1869" s="21">
        <f t="shared" si="1148"/>
        <v>81.702737428214277</v>
      </c>
      <c r="R1869" s="21">
        <f t="shared" si="1148"/>
        <v>81.702737428214277</v>
      </c>
      <c r="S1869" s="21">
        <f t="shared" si="1148"/>
        <v>81.702737428214277</v>
      </c>
      <c r="T1869" s="21">
        <f t="shared" si="1148"/>
        <v>81.702737428214277</v>
      </c>
      <c r="U1869" s="21">
        <f t="shared" si="1148"/>
        <v>81.702737428214277</v>
      </c>
      <c r="V1869" s="21">
        <f t="shared" si="1148"/>
        <v>81.702737428214277</v>
      </c>
      <c r="W1869" s="21">
        <f t="shared" si="1148"/>
        <v>81.702737428214277</v>
      </c>
      <c r="X1869" s="21">
        <f t="shared" si="1148"/>
        <v>81.702737428214277</v>
      </c>
      <c r="Y1869" s="21">
        <f t="shared" si="1148"/>
        <v>81.702737428214277</v>
      </c>
      <c r="Z1869" s="21">
        <f t="shared" si="1148"/>
        <v>81.702737428214277</v>
      </c>
      <c r="AA1869" s="21">
        <f t="shared" si="1148"/>
        <v>81.702737428214277</v>
      </c>
      <c r="AB1869" s="21">
        <f t="shared" si="1148"/>
        <v>81.702737428214277</v>
      </c>
      <c r="AC1869" s="21">
        <f t="shared" si="1148"/>
        <v>81.702737428214277</v>
      </c>
      <c r="AD1869" s="21">
        <f t="shared" si="1148"/>
        <v>81.702737428214277</v>
      </c>
      <c r="AE1869" s="21">
        <f t="shared" si="1148"/>
        <v>81.702737428214277</v>
      </c>
      <c r="AF1869" s="1"/>
    </row>
    <row r="1870" spans="2:37" x14ac:dyDescent="0.2">
      <c r="B1870" s="110"/>
      <c r="C1870" s="1" t="s">
        <v>21</v>
      </c>
      <c r="E1870" s="49"/>
      <c r="F1870" s="1" t="s">
        <v>55</v>
      </c>
      <c r="G1870" s="21">
        <f t="shared" si="1147"/>
        <v>183.13987153053304</v>
      </c>
      <c r="H1870" s="21"/>
      <c r="I1870" s="21">
        <f t="shared" ref="I1870:AE1870" si="1149">I660</f>
        <v>0</v>
      </c>
      <c r="J1870" s="21">
        <f t="shared" si="1149"/>
        <v>0</v>
      </c>
      <c r="K1870" s="21">
        <f t="shared" si="1149"/>
        <v>2.4681923386864311</v>
      </c>
      <c r="L1870" s="21">
        <f t="shared" si="1149"/>
        <v>3.9491077418982892</v>
      </c>
      <c r="M1870" s="21">
        <f t="shared" si="1149"/>
        <v>7.8982154837965783</v>
      </c>
      <c r="N1870" s="21">
        <f t="shared" si="1149"/>
        <v>7.8982154837965783</v>
      </c>
      <c r="O1870" s="21">
        <f t="shared" si="1149"/>
        <v>7.8982154837965783</v>
      </c>
      <c r="P1870" s="21">
        <f t="shared" si="1149"/>
        <v>7.8982154837965783</v>
      </c>
      <c r="Q1870" s="21">
        <f t="shared" si="1149"/>
        <v>8.3918539515338626</v>
      </c>
      <c r="R1870" s="21">
        <f t="shared" si="1149"/>
        <v>8.8854924192711504</v>
      </c>
      <c r="S1870" s="21">
        <f t="shared" si="1149"/>
        <v>9.3791308870084347</v>
      </c>
      <c r="T1870" s="21">
        <f t="shared" si="1149"/>
        <v>9.8727693547457207</v>
      </c>
      <c r="U1870" s="21">
        <f t="shared" si="1149"/>
        <v>9.8727693547457207</v>
      </c>
      <c r="V1870" s="21">
        <f t="shared" si="1149"/>
        <v>9.8727693547457207</v>
      </c>
      <c r="W1870" s="21">
        <f t="shared" si="1149"/>
        <v>9.8727693547457207</v>
      </c>
      <c r="X1870" s="21">
        <f t="shared" si="1149"/>
        <v>9.8727693547457207</v>
      </c>
      <c r="Y1870" s="21">
        <f t="shared" si="1149"/>
        <v>9.8727693547457207</v>
      </c>
      <c r="Z1870" s="21">
        <f t="shared" si="1149"/>
        <v>9.8727693547457207</v>
      </c>
      <c r="AA1870" s="21">
        <f t="shared" si="1149"/>
        <v>9.8727693547457207</v>
      </c>
      <c r="AB1870" s="21">
        <f t="shared" si="1149"/>
        <v>9.8727693547457207</v>
      </c>
      <c r="AC1870" s="21">
        <f t="shared" si="1149"/>
        <v>9.8727693547457207</v>
      </c>
      <c r="AD1870" s="21">
        <f t="shared" si="1149"/>
        <v>9.8727693547457207</v>
      </c>
      <c r="AE1870" s="21">
        <f t="shared" si="1149"/>
        <v>9.8727693547457207</v>
      </c>
      <c r="AF1870" s="1"/>
    </row>
    <row r="1871" spans="2:37" x14ac:dyDescent="0.2">
      <c r="B1871" s="110"/>
      <c r="C1871" s="1" t="s">
        <v>23</v>
      </c>
      <c r="E1871" s="49"/>
      <c r="F1871" s="1" t="s">
        <v>55</v>
      </c>
      <c r="G1871" s="21">
        <f t="shared" si="1147"/>
        <v>399.24996616355764</v>
      </c>
      <c r="H1871" s="21"/>
      <c r="I1871" s="21">
        <f t="shared" ref="I1871:AE1871" si="1150">I661</f>
        <v>0</v>
      </c>
      <c r="J1871" s="21">
        <f t="shared" si="1150"/>
        <v>0</v>
      </c>
      <c r="K1871" s="21">
        <f t="shared" si="1150"/>
        <v>5.4357485703492952</v>
      </c>
      <c r="L1871" s="21">
        <f t="shared" si="1150"/>
        <v>8.4730893402500982</v>
      </c>
      <c r="M1871" s="21">
        <f t="shared" si="1150"/>
        <v>20.281112013313603</v>
      </c>
      <c r="N1871" s="21">
        <f t="shared" si="1150"/>
        <v>20.281112013313603</v>
      </c>
      <c r="O1871" s="21">
        <f t="shared" si="1150"/>
        <v>20.281112013313603</v>
      </c>
      <c r="P1871" s="21">
        <f t="shared" si="1150"/>
        <v>20.281112013313603</v>
      </c>
      <c r="Q1871" s="21">
        <f t="shared" si="1150"/>
        <v>20.281112013313603</v>
      </c>
      <c r="R1871" s="21">
        <f t="shared" si="1150"/>
        <v>20.281112013313603</v>
      </c>
      <c r="S1871" s="21">
        <f t="shared" si="1150"/>
        <v>20.281112013313603</v>
      </c>
      <c r="T1871" s="21">
        <f t="shared" si="1150"/>
        <v>20.281112013313603</v>
      </c>
      <c r="U1871" s="21">
        <f t="shared" si="1150"/>
        <v>20.281112013313603</v>
      </c>
      <c r="V1871" s="21">
        <f t="shared" si="1150"/>
        <v>20.281112013313603</v>
      </c>
      <c r="W1871" s="21">
        <f t="shared" si="1150"/>
        <v>20.281112013313603</v>
      </c>
      <c r="X1871" s="21">
        <f t="shared" si="1150"/>
        <v>20.281112013313603</v>
      </c>
      <c r="Y1871" s="21">
        <f t="shared" si="1150"/>
        <v>20.281112013313603</v>
      </c>
      <c r="Z1871" s="21">
        <f t="shared" si="1150"/>
        <v>20.281112013313603</v>
      </c>
      <c r="AA1871" s="21">
        <f t="shared" si="1150"/>
        <v>20.281112013313603</v>
      </c>
      <c r="AB1871" s="21">
        <f t="shared" si="1150"/>
        <v>20.281112013313603</v>
      </c>
      <c r="AC1871" s="21">
        <f t="shared" si="1150"/>
        <v>20.281112013313603</v>
      </c>
      <c r="AD1871" s="21">
        <f t="shared" si="1150"/>
        <v>20.281112013313603</v>
      </c>
      <c r="AE1871" s="21">
        <f t="shared" si="1150"/>
        <v>20.281112013313603</v>
      </c>
      <c r="AF1871" s="1"/>
    </row>
    <row r="1872" spans="2:37" x14ac:dyDescent="0.2">
      <c r="B1872" s="110"/>
      <c r="C1872" s="1" t="s">
        <v>47</v>
      </c>
      <c r="E1872" s="49"/>
      <c r="F1872" s="1" t="s">
        <v>55</v>
      </c>
      <c r="G1872" s="21">
        <f t="shared" si="1147"/>
        <v>126.60915370589179</v>
      </c>
      <c r="H1872" s="21"/>
      <c r="I1872" s="21">
        <f t="shared" ref="I1872:AE1872" si="1151">I656</f>
        <v>0</v>
      </c>
      <c r="J1872" s="21">
        <f t="shared" si="1151"/>
        <v>0</v>
      </c>
      <c r="K1872" s="21">
        <f t="shared" si="1151"/>
        <v>3.1652288426472945</v>
      </c>
      <c r="L1872" s="21">
        <f t="shared" si="1151"/>
        <v>3.1652288426472945</v>
      </c>
      <c r="M1872" s="21">
        <f t="shared" si="1151"/>
        <v>6.3304576852945891</v>
      </c>
      <c r="N1872" s="21">
        <f t="shared" si="1151"/>
        <v>6.3304576852945891</v>
      </c>
      <c r="O1872" s="21">
        <f t="shared" si="1151"/>
        <v>6.3304576852945891</v>
      </c>
      <c r="P1872" s="21">
        <f t="shared" si="1151"/>
        <v>6.3304576852945891</v>
      </c>
      <c r="Q1872" s="21">
        <f t="shared" si="1151"/>
        <v>6.3304576852945891</v>
      </c>
      <c r="R1872" s="21">
        <f t="shared" si="1151"/>
        <v>6.3304576852945891</v>
      </c>
      <c r="S1872" s="21">
        <f t="shared" si="1151"/>
        <v>6.3304576852945891</v>
      </c>
      <c r="T1872" s="21">
        <f t="shared" si="1151"/>
        <v>6.3304576852945891</v>
      </c>
      <c r="U1872" s="21">
        <f t="shared" si="1151"/>
        <v>6.3304576852945891</v>
      </c>
      <c r="V1872" s="21">
        <f t="shared" si="1151"/>
        <v>6.3304576852945891</v>
      </c>
      <c r="W1872" s="21">
        <f t="shared" si="1151"/>
        <v>6.3304576852945891</v>
      </c>
      <c r="X1872" s="21">
        <f t="shared" si="1151"/>
        <v>6.3304576852945891</v>
      </c>
      <c r="Y1872" s="21">
        <f t="shared" si="1151"/>
        <v>6.3304576852945891</v>
      </c>
      <c r="Z1872" s="21">
        <f t="shared" si="1151"/>
        <v>6.3304576852945891</v>
      </c>
      <c r="AA1872" s="21">
        <f t="shared" si="1151"/>
        <v>6.3304576852945891</v>
      </c>
      <c r="AB1872" s="21">
        <f t="shared" si="1151"/>
        <v>6.3304576852945891</v>
      </c>
      <c r="AC1872" s="21">
        <f t="shared" si="1151"/>
        <v>6.3304576852945891</v>
      </c>
      <c r="AD1872" s="21">
        <f t="shared" si="1151"/>
        <v>6.3304576852945891</v>
      </c>
      <c r="AE1872" s="21">
        <f t="shared" si="1151"/>
        <v>6.3304576852945891</v>
      </c>
      <c r="AF1872" s="1"/>
    </row>
    <row r="1873" spans="2:32" x14ac:dyDescent="0.2">
      <c r="B1873" s="110"/>
      <c r="C1873" s="1" t="s">
        <v>444</v>
      </c>
      <c r="E1873" s="49"/>
      <c r="F1873" s="1" t="s">
        <v>55</v>
      </c>
      <c r="G1873" s="21">
        <f>SUM(I1873:AE1873)</f>
        <v>123.85824548003839</v>
      </c>
      <c r="H1873" s="21"/>
      <c r="I1873" s="21">
        <f t="shared" ref="I1873:AE1873" si="1152">I804</f>
        <v>0</v>
      </c>
      <c r="J1873" s="21">
        <f t="shared" si="1152"/>
        <v>0</v>
      </c>
      <c r="K1873" s="21">
        <f t="shared" si="1152"/>
        <v>2.2925483655322108</v>
      </c>
      <c r="L1873" s="21">
        <f t="shared" si="1152"/>
        <v>3.1170691567822111</v>
      </c>
      <c r="M1873" s="21">
        <f t="shared" si="1152"/>
        <v>6.2341383135644222</v>
      </c>
      <c r="N1873" s="21">
        <f t="shared" si="1152"/>
        <v>6.2341383135644222</v>
      </c>
      <c r="O1873" s="21">
        <f t="shared" si="1152"/>
        <v>6.2341383135644222</v>
      </c>
      <c r="P1873" s="21">
        <f t="shared" si="1152"/>
        <v>6.2341383135644222</v>
      </c>
      <c r="Q1873" s="21">
        <f t="shared" si="1152"/>
        <v>6.2341383135644222</v>
      </c>
      <c r="R1873" s="21">
        <f t="shared" si="1152"/>
        <v>6.2341383135644222</v>
      </c>
      <c r="S1873" s="21">
        <f t="shared" si="1152"/>
        <v>6.2341383135644222</v>
      </c>
      <c r="T1873" s="21">
        <f t="shared" si="1152"/>
        <v>6.2341383135644222</v>
      </c>
      <c r="U1873" s="21">
        <f t="shared" si="1152"/>
        <v>6.2341383135644222</v>
      </c>
      <c r="V1873" s="21">
        <f t="shared" si="1152"/>
        <v>6.2341383135644222</v>
      </c>
      <c r="W1873" s="21">
        <f t="shared" si="1152"/>
        <v>6.2341383135644222</v>
      </c>
      <c r="X1873" s="21">
        <f t="shared" si="1152"/>
        <v>6.2341383135644222</v>
      </c>
      <c r="Y1873" s="21">
        <f t="shared" si="1152"/>
        <v>6.2341383135644222</v>
      </c>
      <c r="Z1873" s="21">
        <f t="shared" si="1152"/>
        <v>6.2341383135644222</v>
      </c>
      <c r="AA1873" s="21">
        <f t="shared" si="1152"/>
        <v>6.2341383135644222</v>
      </c>
      <c r="AB1873" s="21">
        <f t="shared" si="1152"/>
        <v>6.2341383135644222</v>
      </c>
      <c r="AC1873" s="21">
        <f t="shared" si="1152"/>
        <v>6.2341383135644222</v>
      </c>
      <c r="AD1873" s="21">
        <f t="shared" si="1152"/>
        <v>6.2341383135644222</v>
      </c>
      <c r="AE1873" s="21">
        <f t="shared" si="1152"/>
        <v>6.2341383135644222</v>
      </c>
      <c r="AF1873" s="1"/>
    </row>
    <row r="1874" spans="2:32" x14ac:dyDescent="0.2">
      <c r="B1874" s="110"/>
      <c r="C1874" s="9" t="s">
        <v>303</v>
      </c>
      <c r="D1874" s="9"/>
      <c r="E1874" s="49"/>
      <c r="F1874" s="9" t="s">
        <v>55</v>
      </c>
      <c r="G1874" s="44">
        <f t="shared" si="1147"/>
        <v>2451.5927221765155</v>
      </c>
      <c r="H1874" s="44"/>
      <c r="I1874" s="44">
        <f>SUM(I1869:I1873)</f>
        <v>0</v>
      </c>
      <c r="J1874" s="44">
        <f t="shared" ref="J1874:AE1874" si="1153">SUM(J1869:J1873)</f>
        <v>0</v>
      </c>
      <c r="K1874" s="44">
        <f t="shared" si="1153"/>
        <v>38.893823563532194</v>
      </c>
      <c r="L1874" s="44">
        <f t="shared" si="1153"/>
        <v>59.555863795685028</v>
      </c>
      <c r="M1874" s="44">
        <f t="shared" si="1153"/>
        <v>122.44666092418348</v>
      </c>
      <c r="N1874" s="44">
        <f t="shared" si="1153"/>
        <v>122.44666092418348</v>
      </c>
      <c r="O1874" s="44">
        <f t="shared" si="1153"/>
        <v>122.44666092418348</v>
      </c>
      <c r="P1874" s="44">
        <f t="shared" si="1153"/>
        <v>122.44666092418348</v>
      </c>
      <c r="Q1874" s="44">
        <f t="shared" si="1153"/>
        <v>122.94029939192075</v>
      </c>
      <c r="R1874" s="44">
        <f t="shared" si="1153"/>
        <v>123.43393785965804</v>
      </c>
      <c r="S1874" s="44">
        <f t="shared" si="1153"/>
        <v>123.92757632739531</v>
      </c>
      <c r="T1874" s="44">
        <f t="shared" si="1153"/>
        <v>124.42121479513261</v>
      </c>
      <c r="U1874" s="44">
        <f t="shared" si="1153"/>
        <v>124.42121479513261</v>
      </c>
      <c r="V1874" s="44">
        <f t="shared" si="1153"/>
        <v>124.42121479513261</v>
      </c>
      <c r="W1874" s="44">
        <f t="shared" si="1153"/>
        <v>124.42121479513261</v>
      </c>
      <c r="X1874" s="44">
        <f t="shared" si="1153"/>
        <v>124.42121479513261</v>
      </c>
      <c r="Y1874" s="44">
        <f t="shared" si="1153"/>
        <v>124.42121479513261</v>
      </c>
      <c r="Z1874" s="44">
        <f t="shared" si="1153"/>
        <v>124.42121479513261</v>
      </c>
      <c r="AA1874" s="44">
        <f t="shared" si="1153"/>
        <v>124.42121479513261</v>
      </c>
      <c r="AB1874" s="44">
        <f t="shared" si="1153"/>
        <v>124.42121479513261</v>
      </c>
      <c r="AC1874" s="44">
        <f t="shared" si="1153"/>
        <v>124.42121479513261</v>
      </c>
      <c r="AD1874" s="44">
        <f t="shared" si="1153"/>
        <v>124.42121479513261</v>
      </c>
      <c r="AE1874" s="44">
        <f t="shared" si="1153"/>
        <v>124.42121479513261</v>
      </c>
      <c r="AF1874" s="1"/>
    </row>
    <row r="1875" spans="2:32" x14ac:dyDescent="0.2">
      <c r="B1875" s="110"/>
      <c r="E1875" s="49"/>
      <c r="AF1875" s="1"/>
    </row>
    <row r="1876" spans="2:32" x14ac:dyDescent="0.2">
      <c r="B1876" s="10">
        <f>B1863+0.1</f>
        <v>16.200000000000003</v>
      </c>
      <c r="C1876" s="9" t="s">
        <v>304</v>
      </c>
      <c r="E1876" s="49"/>
      <c r="AF1876" s="1"/>
    </row>
    <row r="1877" spans="2:32" x14ac:dyDescent="0.2">
      <c r="B1877" s="110"/>
      <c r="E1877" s="49"/>
      <c r="AF1877" s="1"/>
    </row>
    <row r="1878" spans="2:32" x14ac:dyDescent="0.2">
      <c r="B1878" s="110"/>
      <c r="C1878" s="1" t="s">
        <v>114</v>
      </c>
      <c r="E1878" s="49"/>
      <c r="F1878" s="1" t="s">
        <v>55</v>
      </c>
      <c r="G1878" s="21">
        <f>SUM(I1878:AE1878)</f>
        <v>237.6571070830835</v>
      </c>
      <c r="I1878" s="21">
        <f t="shared" ref="I1878:AE1878" si="1154">I1204</f>
        <v>0</v>
      </c>
      <c r="J1878" s="21">
        <f t="shared" si="1154"/>
        <v>0</v>
      </c>
      <c r="K1878" s="21">
        <f t="shared" si="1154"/>
        <v>0</v>
      </c>
      <c r="L1878" s="21">
        <f t="shared" si="1154"/>
        <v>0</v>
      </c>
      <c r="M1878" s="21">
        <f t="shared" si="1154"/>
        <v>0</v>
      </c>
      <c r="N1878" s="21">
        <f t="shared" si="1154"/>
        <v>0</v>
      </c>
      <c r="O1878" s="21">
        <f t="shared" si="1154"/>
        <v>0</v>
      </c>
      <c r="P1878" s="21">
        <f t="shared" si="1154"/>
        <v>0</v>
      </c>
      <c r="Q1878" s="21">
        <f t="shared" si="1154"/>
        <v>5.2402369662400865</v>
      </c>
      <c r="R1878" s="21">
        <f t="shared" si="1154"/>
        <v>15.174683088265324</v>
      </c>
      <c r="S1878" s="21">
        <f t="shared" si="1154"/>
        <v>15.839643289539403</v>
      </c>
      <c r="T1878" s="21">
        <f t="shared" si="1154"/>
        <v>16.285545133377809</v>
      </c>
      <c r="U1878" s="21">
        <f t="shared" si="1154"/>
        <v>16.643340450522732</v>
      </c>
      <c r="V1878" s="21">
        <f t="shared" si="1154"/>
        <v>16.796346775175792</v>
      </c>
      <c r="W1878" s="21">
        <f t="shared" si="1154"/>
        <v>16.76642404088453</v>
      </c>
      <c r="X1878" s="21">
        <f t="shared" si="1154"/>
        <v>16.689941937316853</v>
      </c>
      <c r="Y1878" s="21">
        <f t="shared" si="1154"/>
        <v>16.775848592963349</v>
      </c>
      <c r="Z1878" s="21">
        <f t="shared" si="1154"/>
        <v>16.835983251915899</v>
      </c>
      <c r="AA1878" s="21">
        <f t="shared" si="1154"/>
        <v>16.878077513182681</v>
      </c>
      <c r="AB1878" s="21">
        <f t="shared" si="1154"/>
        <v>16.90754349606943</v>
      </c>
      <c r="AC1878" s="21">
        <f t="shared" si="1154"/>
        <v>16.928169684090154</v>
      </c>
      <c r="AD1878" s="21">
        <f t="shared" si="1154"/>
        <v>16.942608015704661</v>
      </c>
      <c r="AE1878" s="21">
        <f t="shared" si="1154"/>
        <v>16.952714847834816</v>
      </c>
      <c r="AF1878" s="1"/>
    </row>
    <row r="1879" spans="2:32" x14ac:dyDescent="0.2">
      <c r="B1879" s="110"/>
      <c r="C1879" s="1" t="s">
        <v>244</v>
      </c>
      <c r="E1879" s="49"/>
      <c r="F1879" s="1" t="s">
        <v>55</v>
      </c>
      <c r="G1879" s="21">
        <f>SUM(I1879:AE1879)</f>
        <v>225.02530259730761</v>
      </c>
      <c r="I1879" s="21">
        <f t="shared" ref="I1879:AE1879" si="1155">I1205</f>
        <v>0</v>
      </c>
      <c r="J1879" s="21">
        <f t="shared" si="1155"/>
        <v>0</v>
      </c>
      <c r="K1879" s="21">
        <f t="shared" si="1155"/>
        <v>0</v>
      </c>
      <c r="L1879" s="21">
        <f t="shared" si="1155"/>
        <v>0</v>
      </c>
      <c r="M1879" s="21">
        <f t="shared" si="1155"/>
        <v>0</v>
      </c>
      <c r="N1879" s="21">
        <f t="shared" si="1155"/>
        <v>0</v>
      </c>
      <c r="O1879" s="21">
        <f t="shared" si="1155"/>
        <v>0</v>
      </c>
      <c r="P1879" s="21">
        <f t="shared" si="1155"/>
        <v>2.9517146541198098</v>
      </c>
      <c r="Q1879" s="21">
        <f t="shared" si="1155"/>
        <v>12.784087043419555</v>
      </c>
      <c r="R1879" s="21">
        <f t="shared" si="1155"/>
        <v>13.664678679557877</v>
      </c>
      <c r="S1879" s="21">
        <f t="shared" si="1155"/>
        <v>14.263469931556479</v>
      </c>
      <c r="T1879" s="21">
        <f t="shared" si="1155"/>
        <v>14.665000914657275</v>
      </c>
      <c r="U1879" s="21">
        <f t="shared" si="1155"/>
        <v>14.987192687190351</v>
      </c>
      <c r="V1879" s="21">
        <f t="shared" si="1155"/>
        <v>15.124973637880583</v>
      </c>
      <c r="W1879" s="21">
        <f t="shared" si="1155"/>
        <v>15.098028459063631</v>
      </c>
      <c r="X1879" s="21">
        <f t="shared" si="1155"/>
        <v>15.029156946959558</v>
      </c>
      <c r="Y1879" s="21">
        <f t="shared" si="1155"/>
        <v>15.10651519154475</v>
      </c>
      <c r="Z1879" s="21">
        <f t="shared" si="1155"/>
        <v>15.160665962754384</v>
      </c>
      <c r="AA1879" s="21">
        <f t="shared" si="1155"/>
        <v>15.198571502601128</v>
      </c>
      <c r="AB1879" s="21">
        <f t="shared" si="1155"/>
        <v>15.225105380493847</v>
      </c>
      <c r="AC1879" s="21">
        <f t="shared" si="1155"/>
        <v>15.243679095018754</v>
      </c>
      <c r="AD1879" s="21">
        <f t="shared" si="1155"/>
        <v>15.256680695186185</v>
      </c>
      <c r="AE1879" s="21">
        <f t="shared" si="1155"/>
        <v>15.265781815303388</v>
      </c>
      <c r="AF1879" s="1"/>
    </row>
    <row r="1880" spans="2:32" x14ac:dyDescent="0.2">
      <c r="B1880" s="110"/>
      <c r="C1880" s="1" t="s">
        <v>118</v>
      </c>
      <c r="E1880" s="49"/>
      <c r="F1880" s="1" t="s">
        <v>55</v>
      </c>
      <c r="G1880" s="21">
        <f>SUM(I1880:AE1880)</f>
        <v>0</v>
      </c>
      <c r="I1880" s="21">
        <f t="shared" ref="I1880:AE1880" si="1156">I1206</f>
        <v>0</v>
      </c>
      <c r="J1880" s="21">
        <f t="shared" si="1156"/>
        <v>0</v>
      </c>
      <c r="K1880" s="21">
        <f t="shared" si="1156"/>
        <v>0</v>
      </c>
      <c r="L1880" s="21">
        <f t="shared" si="1156"/>
        <v>0</v>
      </c>
      <c r="M1880" s="21">
        <f t="shared" si="1156"/>
        <v>0</v>
      </c>
      <c r="N1880" s="21">
        <f t="shared" si="1156"/>
        <v>0</v>
      </c>
      <c r="O1880" s="21">
        <f t="shared" si="1156"/>
        <v>0</v>
      </c>
      <c r="P1880" s="21">
        <f t="shared" si="1156"/>
        <v>0</v>
      </c>
      <c r="Q1880" s="21">
        <f t="shared" si="1156"/>
        <v>0</v>
      </c>
      <c r="R1880" s="21">
        <f t="shared" si="1156"/>
        <v>0</v>
      </c>
      <c r="S1880" s="21">
        <f t="shared" si="1156"/>
        <v>0</v>
      </c>
      <c r="T1880" s="21">
        <f t="shared" si="1156"/>
        <v>0</v>
      </c>
      <c r="U1880" s="21">
        <f t="shared" si="1156"/>
        <v>0</v>
      </c>
      <c r="V1880" s="21">
        <f t="shared" si="1156"/>
        <v>0</v>
      </c>
      <c r="W1880" s="21">
        <f t="shared" si="1156"/>
        <v>0</v>
      </c>
      <c r="X1880" s="21">
        <f t="shared" si="1156"/>
        <v>0</v>
      </c>
      <c r="Y1880" s="21">
        <f t="shared" si="1156"/>
        <v>0</v>
      </c>
      <c r="Z1880" s="21">
        <f t="shared" si="1156"/>
        <v>0</v>
      </c>
      <c r="AA1880" s="21">
        <f t="shared" si="1156"/>
        <v>0</v>
      </c>
      <c r="AB1880" s="21">
        <f t="shared" si="1156"/>
        <v>0</v>
      </c>
      <c r="AC1880" s="21">
        <f t="shared" si="1156"/>
        <v>0</v>
      </c>
      <c r="AD1880" s="21">
        <f t="shared" si="1156"/>
        <v>0</v>
      </c>
      <c r="AE1880" s="21">
        <f t="shared" si="1156"/>
        <v>0</v>
      </c>
      <c r="AF1880" s="1"/>
    </row>
    <row r="1881" spans="2:32" x14ac:dyDescent="0.2">
      <c r="B1881" s="110"/>
      <c r="C1881" s="9" t="s">
        <v>45</v>
      </c>
      <c r="E1881" s="49"/>
      <c r="F1881" s="9" t="s">
        <v>55</v>
      </c>
      <c r="G1881" s="44">
        <f>SUM(I1881:AE1881)</f>
        <v>462.68240968039112</v>
      </c>
      <c r="I1881" s="44">
        <f>SUM(I1878:I1880)</f>
        <v>0</v>
      </c>
      <c r="J1881" s="44">
        <f t="shared" ref="J1881:AE1881" si="1157">SUM(J1878:J1880)</f>
        <v>0</v>
      </c>
      <c r="K1881" s="44">
        <f>SUM(K1878:K1880)</f>
        <v>0</v>
      </c>
      <c r="L1881" s="44">
        <f t="shared" si="1157"/>
        <v>0</v>
      </c>
      <c r="M1881" s="44">
        <f t="shared" si="1157"/>
        <v>0</v>
      </c>
      <c r="N1881" s="44">
        <f t="shared" si="1157"/>
        <v>0</v>
      </c>
      <c r="O1881" s="44">
        <f t="shared" si="1157"/>
        <v>0</v>
      </c>
      <c r="P1881" s="44">
        <f t="shared" si="1157"/>
        <v>2.9517146541198098</v>
      </c>
      <c r="Q1881" s="44">
        <f t="shared" si="1157"/>
        <v>18.024324009659644</v>
      </c>
      <c r="R1881" s="44">
        <f t="shared" si="1157"/>
        <v>28.839361767823199</v>
      </c>
      <c r="S1881" s="44">
        <f t="shared" si="1157"/>
        <v>30.103113221095882</v>
      </c>
      <c r="T1881" s="44">
        <f t="shared" si="1157"/>
        <v>30.950546048035086</v>
      </c>
      <c r="U1881" s="44">
        <f t="shared" si="1157"/>
        <v>31.630533137713083</v>
      </c>
      <c r="V1881" s="44">
        <f t="shared" si="1157"/>
        <v>31.921320413056375</v>
      </c>
      <c r="W1881" s="44">
        <f t="shared" si="1157"/>
        <v>31.864452499948161</v>
      </c>
      <c r="X1881" s="44">
        <f t="shared" si="1157"/>
        <v>31.719098884276413</v>
      </c>
      <c r="Y1881" s="44">
        <f t="shared" si="1157"/>
        <v>31.882363784508101</v>
      </c>
      <c r="Z1881" s="44">
        <f t="shared" si="1157"/>
        <v>31.996649214670285</v>
      </c>
      <c r="AA1881" s="44">
        <f t="shared" si="1157"/>
        <v>32.076649015783808</v>
      </c>
      <c r="AB1881" s="44">
        <f t="shared" si="1157"/>
        <v>32.13264887656328</v>
      </c>
      <c r="AC1881" s="44">
        <f t="shared" si="1157"/>
        <v>32.171848779108906</v>
      </c>
      <c r="AD1881" s="44">
        <f t="shared" si="1157"/>
        <v>32.199288710890848</v>
      </c>
      <c r="AE1881" s="44">
        <f t="shared" si="1157"/>
        <v>32.218496663138204</v>
      </c>
      <c r="AF1881" s="1"/>
    </row>
    <row r="1882" spans="2:32" x14ac:dyDescent="0.2">
      <c r="B1882" s="110"/>
      <c r="E1882" s="49"/>
      <c r="AF1882" s="1"/>
    </row>
    <row r="1883" spans="2:32" x14ac:dyDescent="0.2">
      <c r="B1883" s="10">
        <f>B1876+0.1</f>
        <v>16.300000000000004</v>
      </c>
      <c r="C1883" s="9" t="s">
        <v>307</v>
      </c>
      <c r="AF1883" s="1"/>
    </row>
    <row r="1885" spans="2:32" x14ac:dyDescent="0.2">
      <c r="C1885" s="1" t="s">
        <v>111</v>
      </c>
      <c r="F1885" s="1" t="s">
        <v>55</v>
      </c>
      <c r="G1885" s="21">
        <f>SUM(I1885:AE1885)</f>
        <v>475.57593141478935</v>
      </c>
      <c r="I1885" s="21">
        <f t="shared" ref="I1885:AE1885" si="1158">I1867</f>
        <v>56.557541166478941</v>
      </c>
      <c r="J1885" s="21">
        <f t="shared" si="1158"/>
        <v>267.7061937697539</v>
      </c>
      <c r="K1885" s="21">
        <f t="shared" si="1158"/>
        <v>151.31219647855653</v>
      </c>
      <c r="L1885" s="21">
        <f t="shared" si="1158"/>
        <v>0</v>
      </c>
      <c r="M1885" s="21">
        <f t="shared" si="1158"/>
        <v>0</v>
      </c>
      <c r="N1885" s="21">
        <f t="shared" si="1158"/>
        <v>0</v>
      </c>
      <c r="O1885" s="21">
        <f t="shared" si="1158"/>
        <v>0</v>
      </c>
      <c r="P1885" s="21">
        <f t="shared" si="1158"/>
        <v>0</v>
      </c>
      <c r="Q1885" s="21">
        <f t="shared" si="1158"/>
        <v>0</v>
      </c>
      <c r="R1885" s="21">
        <f t="shared" si="1158"/>
        <v>0</v>
      </c>
      <c r="S1885" s="21">
        <f t="shared" si="1158"/>
        <v>0</v>
      </c>
      <c r="T1885" s="21">
        <f t="shared" si="1158"/>
        <v>0</v>
      </c>
      <c r="U1885" s="21">
        <f t="shared" si="1158"/>
        <v>0</v>
      </c>
      <c r="V1885" s="21">
        <f t="shared" si="1158"/>
        <v>0</v>
      </c>
      <c r="W1885" s="21">
        <f t="shared" si="1158"/>
        <v>0</v>
      </c>
      <c r="X1885" s="21">
        <f t="shared" si="1158"/>
        <v>0</v>
      </c>
      <c r="Y1885" s="21">
        <f t="shared" si="1158"/>
        <v>0</v>
      </c>
      <c r="Z1885" s="21">
        <f t="shared" si="1158"/>
        <v>0</v>
      </c>
      <c r="AA1885" s="21">
        <f t="shared" si="1158"/>
        <v>0</v>
      </c>
      <c r="AB1885" s="21">
        <f t="shared" si="1158"/>
        <v>0</v>
      </c>
      <c r="AC1885" s="21">
        <f t="shared" si="1158"/>
        <v>0</v>
      </c>
      <c r="AD1885" s="21">
        <f t="shared" si="1158"/>
        <v>0</v>
      </c>
      <c r="AE1885" s="21">
        <f t="shared" si="1158"/>
        <v>0</v>
      </c>
      <c r="AF1885" s="1"/>
    </row>
    <row r="1886" spans="2:32" x14ac:dyDescent="0.2">
      <c r="C1886" s="1" t="s">
        <v>306</v>
      </c>
      <c r="F1886" s="1" t="s">
        <v>55</v>
      </c>
      <c r="G1886" s="21">
        <f>SUM(I1886:AE1886)</f>
        <v>2451.5927221765155</v>
      </c>
      <c r="I1886" s="21">
        <f>I1874</f>
        <v>0</v>
      </c>
      <c r="J1886" s="21">
        <f t="shared" ref="J1886:AE1886" si="1159">J1874</f>
        <v>0</v>
      </c>
      <c r="K1886" s="21">
        <f>K1874</f>
        <v>38.893823563532194</v>
      </c>
      <c r="L1886" s="21">
        <f t="shared" si="1159"/>
        <v>59.555863795685028</v>
      </c>
      <c r="M1886" s="21">
        <f t="shared" si="1159"/>
        <v>122.44666092418348</v>
      </c>
      <c r="N1886" s="21">
        <f t="shared" si="1159"/>
        <v>122.44666092418348</v>
      </c>
      <c r="O1886" s="21">
        <f t="shared" si="1159"/>
        <v>122.44666092418348</v>
      </c>
      <c r="P1886" s="21">
        <f t="shared" si="1159"/>
        <v>122.44666092418348</v>
      </c>
      <c r="Q1886" s="21">
        <f t="shared" si="1159"/>
        <v>122.94029939192075</v>
      </c>
      <c r="R1886" s="21">
        <f t="shared" si="1159"/>
        <v>123.43393785965804</v>
      </c>
      <c r="S1886" s="21">
        <f t="shared" si="1159"/>
        <v>123.92757632739531</v>
      </c>
      <c r="T1886" s="21">
        <f t="shared" si="1159"/>
        <v>124.42121479513261</v>
      </c>
      <c r="U1886" s="21">
        <f t="shared" si="1159"/>
        <v>124.42121479513261</v>
      </c>
      <c r="V1886" s="21">
        <f t="shared" si="1159"/>
        <v>124.42121479513261</v>
      </c>
      <c r="W1886" s="21">
        <f t="shared" si="1159"/>
        <v>124.42121479513261</v>
      </c>
      <c r="X1886" s="21">
        <f t="shared" si="1159"/>
        <v>124.42121479513261</v>
      </c>
      <c r="Y1886" s="21">
        <f t="shared" si="1159"/>
        <v>124.42121479513261</v>
      </c>
      <c r="Z1886" s="21">
        <f t="shared" si="1159"/>
        <v>124.42121479513261</v>
      </c>
      <c r="AA1886" s="21">
        <f t="shared" si="1159"/>
        <v>124.42121479513261</v>
      </c>
      <c r="AB1886" s="21">
        <f t="shared" si="1159"/>
        <v>124.42121479513261</v>
      </c>
      <c r="AC1886" s="21">
        <f t="shared" si="1159"/>
        <v>124.42121479513261</v>
      </c>
      <c r="AD1886" s="21">
        <f t="shared" si="1159"/>
        <v>124.42121479513261</v>
      </c>
      <c r="AE1886" s="21">
        <f t="shared" si="1159"/>
        <v>124.42121479513261</v>
      </c>
      <c r="AF1886" s="1"/>
    </row>
    <row r="1887" spans="2:32" x14ac:dyDescent="0.2">
      <c r="C1887" s="1" t="s">
        <v>304</v>
      </c>
      <c r="F1887" s="1" t="s">
        <v>55</v>
      </c>
      <c r="G1887" s="21">
        <f>SUM(I1887:AE1887)</f>
        <v>462.68240968039112</v>
      </c>
      <c r="I1887" s="21">
        <f>I1881</f>
        <v>0</v>
      </c>
      <c r="J1887" s="21">
        <f t="shared" ref="J1887:AE1887" si="1160">J1881</f>
        <v>0</v>
      </c>
      <c r="K1887" s="21">
        <f>K1881</f>
        <v>0</v>
      </c>
      <c r="L1887" s="21">
        <f t="shared" si="1160"/>
        <v>0</v>
      </c>
      <c r="M1887" s="21">
        <f t="shared" si="1160"/>
        <v>0</v>
      </c>
      <c r="N1887" s="21">
        <f t="shared" si="1160"/>
        <v>0</v>
      </c>
      <c r="O1887" s="21">
        <f t="shared" si="1160"/>
        <v>0</v>
      </c>
      <c r="P1887" s="21">
        <f t="shared" si="1160"/>
        <v>2.9517146541198098</v>
      </c>
      <c r="Q1887" s="21">
        <f t="shared" si="1160"/>
        <v>18.024324009659644</v>
      </c>
      <c r="R1887" s="21">
        <f t="shared" si="1160"/>
        <v>28.839361767823199</v>
      </c>
      <c r="S1887" s="21">
        <f t="shared" si="1160"/>
        <v>30.103113221095882</v>
      </c>
      <c r="T1887" s="21">
        <f t="shared" si="1160"/>
        <v>30.950546048035086</v>
      </c>
      <c r="U1887" s="21">
        <f t="shared" si="1160"/>
        <v>31.630533137713083</v>
      </c>
      <c r="V1887" s="21">
        <f t="shared" si="1160"/>
        <v>31.921320413056375</v>
      </c>
      <c r="W1887" s="21">
        <f t="shared" si="1160"/>
        <v>31.864452499948161</v>
      </c>
      <c r="X1887" s="21">
        <f t="shared" si="1160"/>
        <v>31.719098884276413</v>
      </c>
      <c r="Y1887" s="21">
        <f t="shared" si="1160"/>
        <v>31.882363784508101</v>
      </c>
      <c r="Z1887" s="21">
        <f t="shared" si="1160"/>
        <v>31.996649214670285</v>
      </c>
      <c r="AA1887" s="21">
        <f t="shared" si="1160"/>
        <v>32.076649015783808</v>
      </c>
      <c r="AB1887" s="21">
        <f t="shared" si="1160"/>
        <v>32.13264887656328</v>
      </c>
      <c r="AC1887" s="21">
        <f t="shared" si="1160"/>
        <v>32.171848779108906</v>
      </c>
      <c r="AD1887" s="21">
        <f t="shared" si="1160"/>
        <v>32.199288710890848</v>
      </c>
      <c r="AE1887" s="21">
        <f t="shared" si="1160"/>
        <v>32.218496663138204</v>
      </c>
      <c r="AF1887" s="1"/>
    </row>
    <row r="1888" spans="2:32" x14ac:dyDescent="0.2">
      <c r="C1888" s="9" t="s">
        <v>45</v>
      </c>
      <c r="F1888" s="9" t="s">
        <v>55</v>
      </c>
      <c r="G1888" s="44">
        <f>SUM(I1888:AE1888)</f>
        <v>3389.8510632716971</v>
      </c>
      <c r="I1888" s="44">
        <f>SUM(I1885:I1887)</f>
        <v>56.557541166478941</v>
      </c>
      <c r="J1888" s="44">
        <f t="shared" ref="J1888:AE1888" si="1161">SUM(J1885:J1887)</f>
        <v>267.7061937697539</v>
      </c>
      <c r="K1888" s="44">
        <f>SUM(K1885:K1887)</f>
        <v>190.20602004208871</v>
      </c>
      <c r="L1888" s="44">
        <f t="shared" si="1161"/>
        <v>59.555863795685028</v>
      </c>
      <c r="M1888" s="44">
        <f t="shared" si="1161"/>
        <v>122.44666092418348</v>
      </c>
      <c r="N1888" s="44">
        <f t="shared" si="1161"/>
        <v>122.44666092418348</v>
      </c>
      <c r="O1888" s="44">
        <f t="shared" si="1161"/>
        <v>122.44666092418348</v>
      </c>
      <c r="P1888" s="44">
        <f t="shared" si="1161"/>
        <v>125.39837557830329</v>
      </c>
      <c r="Q1888" s="44">
        <f t="shared" si="1161"/>
        <v>140.96462340158038</v>
      </c>
      <c r="R1888" s="44">
        <f t="shared" si="1161"/>
        <v>152.27329962748124</v>
      </c>
      <c r="S1888" s="44">
        <f t="shared" si="1161"/>
        <v>154.03068954849118</v>
      </c>
      <c r="T1888" s="44">
        <f t="shared" si="1161"/>
        <v>155.37176084316769</v>
      </c>
      <c r="U1888" s="44">
        <f t="shared" si="1161"/>
        <v>156.0517479328457</v>
      </c>
      <c r="V1888" s="44">
        <f t="shared" si="1161"/>
        <v>156.34253520818899</v>
      </c>
      <c r="W1888" s="44">
        <f t="shared" si="1161"/>
        <v>156.28566729508077</v>
      </c>
      <c r="X1888" s="44">
        <f t="shared" si="1161"/>
        <v>156.14031367940902</v>
      </c>
      <c r="Y1888" s="44">
        <f t="shared" si="1161"/>
        <v>156.30357857964071</v>
      </c>
      <c r="Z1888" s="44">
        <f t="shared" si="1161"/>
        <v>156.41786400980288</v>
      </c>
      <c r="AA1888" s="44">
        <f t="shared" si="1161"/>
        <v>156.49786381091641</v>
      </c>
      <c r="AB1888" s="44">
        <f t="shared" si="1161"/>
        <v>156.55386367169589</v>
      </c>
      <c r="AC1888" s="44">
        <f t="shared" si="1161"/>
        <v>156.59306357424151</v>
      </c>
      <c r="AD1888" s="44">
        <f t="shared" si="1161"/>
        <v>156.62050350602345</v>
      </c>
      <c r="AE1888" s="44">
        <f t="shared" si="1161"/>
        <v>156.63971145827082</v>
      </c>
      <c r="AF1888" s="1"/>
    </row>
  </sheetData>
  <dataValidations count="5">
    <dataValidation type="whole" allowBlank="1" showInputMessage="1" showErrorMessage="1" sqref="E980 E965 D200:E201 E10 D193:E195 E1529:E1530" xr:uid="{00000000-0002-0000-0100-000000000000}">
      <formula1>0</formula1>
      <formula2>1</formula2>
    </dataValidation>
    <dataValidation type="whole" allowBlank="1" showInputMessage="1" showErrorMessage="1" prompt="Choose 0 to reset financing routine" sqref="F1442" xr:uid="{00000000-0002-0000-0100-000001000000}">
      <formula1>0</formula1>
      <formula2>1</formula2>
    </dataValidation>
    <dataValidation type="decimal" allowBlank="1" showInputMessage="1" showErrorMessage="1" prompt="Min ADSCR cannot be greater than LLCR" sqref="E1482" xr:uid="{00000000-0002-0000-0100-000002000000}">
      <formula1>0</formula1>
      <formula2>E1481</formula2>
    </dataValidation>
    <dataValidation type="decimal" allowBlank="1" showInputMessage="1" showErrorMessage="1" sqref="E87" xr:uid="{00000000-0002-0000-0100-000003000000}">
      <formula1>0</formula1>
      <formula2>1.1</formula2>
    </dataValidation>
    <dataValidation type="list" allowBlank="1" showInputMessage="1" showErrorMessage="1" sqref="E1525" xr:uid="{00000000-0002-0000-0100-000004000000}">
      <formula1>$E$1471:$E$1473</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DD37-A22A-4A58-A254-6C69D5057AA0}">
  <dimension ref="A1:AK1889"/>
  <sheetViews>
    <sheetView topLeftCell="B1" zoomScale="85" zoomScaleNormal="85" workbookViewId="0">
      <pane xSplit="6" ySplit="3" topLeftCell="H190" activePane="bottomRight" state="frozen"/>
      <selection activeCell="B1" sqref="B1"/>
      <selection pane="topRight" activeCell="H1" sqref="H1"/>
      <selection pane="bottomLeft" activeCell="B4" sqref="B4"/>
      <selection pane="bottomRight" activeCell="A225" sqref="A225"/>
    </sheetView>
  </sheetViews>
  <sheetFormatPr defaultColWidth="0" defaultRowHeight="12.75" outlineLevelRow="1" x14ac:dyDescent="0.2"/>
  <cols>
    <col min="1" max="1" width="1.7109375" style="1" customWidth="1"/>
    <col min="2" max="2" width="8.7109375" style="1" customWidth="1"/>
    <col min="3" max="3" width="59.42578125" style="1" customWidth="1"/>
    <col min="4" max="5" width="13" style="1" customWidth="1"/>
    <col min="6" max="6" width="8.7109375" style="1" customWidth="1"/>
    <col min="7" max="7" width="9.7109375" style="1" bestFit="1" customWidth="1"/>
    <col min="8" max="22" width="12.42578125" style="1" customWidth="1"/>
    <col min="23" max="31" width="12.42578125" style="67" customWidth="1"/>
    <col min="32" max="36" width="8.7109375" style="67" customWidth="1"/>
    <col min="37" max="16384" width="8.7109375" style="1" hidden="1"/>
  </cols>
  <sheetData>
    <row r="1" spans="2:31" x14ac:dyDescent="0.2">
      <c r="E1" s="2"/>
      <c r="I1" s="506">
        <v>1</v>
      </c>
      <c r="J1" s="506">
        <f>I1+1</f>
        <v>2</v>
      </c>
      <c r="K1" s="506">
        <f>J1+1</f>
        <v>3</v>
      </c>
      <c r="L1" s="506">
        <f t="shared" ref="L1:V1" si="0">K1+1</f>
        <v>4</v>
      </c>
      <c r="M1" s="506">
        <f t="shared" si="0"/>
        <v>5</v>
      </c>
      <c r="N1" s="506">
        <f t="shared" si="0"/>
        <v>6</v>
      </c>
      <c r="O1" s="506">
        <f t="shared" si="0"/>
        <v>7</v>
      </c>
      <c r="P1" s="506">
        <f t="shared" si="0"/>
        <v>8</v>
      </c>
      <c r="Q1" s="506">
        <f t="shared" si="0"/>
        <v>9</v>
      </c>
      <c r="R1" s="506">
        <f t="shared" si="0"/>
        <v>10</v>
      </c>
      <c r="S1" s="506">
        <f t="shared" si="0"/>
        <v>11</v>
      </c>
      <c r="T1" s="506">
        <f t="shared" si="0"/>
        <v>12</v>
      </c>
      <c r="U1" s="506">
        <f t="shared" si="0"/>
        <v>13</v>
      </c>
      <c r="V1" s="506">
        <f t="shared" si="0"/>
        <v>14</v>
      </c>
      <c r="W1" s="559"/>
      <c r="X1" s="559"/>
      <c r="Y1" s="559"/>
      <c r="Z1" s="559"/>
      <c r="AA1" s="559"/>
      <c r="AB1" s="559"/>
      <c r="AC1" s="559"/>
      <c r="AD1" s="559"/>
      <c r="AE1" s="559"/>
    </row>
    <row r="2" spans="2:31" x14ac:dyDescent="0.2">
      <c r="E2" s="2"/>
      <c r="F2" s="3" t="s">
        <v>0</v>
      </c>
      <c r="G2" s="3" t="s">
        <v>1</v>
      </c>
      <c r="H2" s="3"/>
      <c r="I2" s="525">
        <f>SUMIF('Plant model'!$I$3:$AE$3,YEAR(I$3),'Plant model'!$I$2:$AE$2)</f>
        <v>-2</v>
      </c>
      <c r="J2" s="525">
        <f>SUMIF('Plant model'!$I$3:$AE$3,YEAR(J$3),'Plant model'!$I$2:$AE$2)</f>
        <v>-2</v>
      </c>
      <c r="K2" s="525">
        <f>SUMIF('Plant model'!$I$3:$AE$3,YEAR(K$3),'Plant model'!$I$2:$AE$2)</f>
        <v>-2</v>
      </c>
      <c r="L2" s="525">
        <f>SUMIF('Plant model'!$I$3:$AE$3,YEAR(L$3),'Plant model'!$I$2:$AE$2)</f>
        <v>-2</v>
      </c>
      <c r="M2" s="525">
        <f>SUMIF('Plant model'!$I$3:$AE$3,YEAR(M$3),'Plant model'!$I$2:$AE$2)</f>
        <v>-1</v>
      </c>
      <c r="N2" s="525">
        <f>SUMIF('Plant model'!$I$3:$AE$3,YEAR(N$3),'Plant model'!$I$2:$AE$2)</f>
        <v>-1</v>
      </c>
      <c r="O2" s="525">
        <f>SUMIF('Plant model'!$I$3:$AE$3,YEAR(O$3),'Plant model'!$I$2:$AE$2)</f>
        <v>-1</v>
      </c>
      <c r="P2" s="525">
        <f>SUMIF('Plant model'!$I$3:$AE$3,YEAR(P$3),'Plant model'!$I$2:$AE$2)</f>
        <v>-1</v>
      </c>
      <c r="Q2" s="525">
        <f>SUMIF('Plant model'!$I$3:$AE$3,YEAR(Q$3),'Plant model'!$I$2:$AE$2)</f>
        <v>0</v>
      </c>
      <c r="R2" s="525">
        <f>SUMIF('Plant model'!$I$3:$AE$3,YEAR(R$3),'Plant model'!$I$2:$AE$2)</f>
        <v>0</v>
      </c>
      <c r="S2" s="525">
        <f>SUMIF('Plant model'!$I$3:$AE$3,YEAR(S$3),'Plant model'!$I$2:$AE$2)</f>
        <v>0</v>
      </c>
      <c r="T2" s="525">
        <f>SUMIF('Plant model'!$I$3:$AE$3,YEAR(T$3),'Plant model'!$I$2:$AE$2)</f>
        <v>0</v>
      </c>
      <c r="U2" s="525">
        <f>SUMIF('Plant model'!$I$3:$AE$3,YEAR(U$3),'Plant model'!$I$2:$AE$2)</f>
        <v>1</v>
      </c>
      <c r="V2" s="525">
        <f>SUMIF('Plant model'!$I$3:$AE$3,YEAR(V$3),'Plant model'!$I$2:$AE$2)</f>
        <v>1</v>
      </c>
      <c r="W2" s="560"/>
      <c r="X2" s="560"/>
      <c r="Y2" s="560"/>
      <c r="Z2" s="560"/>
      <c r="AA2" s="560"/>
      <c r="AB2" s="560"/>
      <c r="AC2" s="560"/>
      <c r="AD2" s="560"/>
      <c r="AE2" s="560"/>
    </row>
    <row r="3" spans="2:31" x14ac:dyDescent="0.2">
      <c r="E3" s="2"/>
      <c r="I3" s="505">
        <v>44651</v>
      </c>
      <c r="J3" s="505">
        <v>44742</v>
      </c>
      <c r="K3" s="505">
        <v>44834</v>
      </c>
      <c r="L3" s="505">
        <v>44926</v>
      </c>
      <c r="M3" s="505">
        <v>45015</v>
      </c>
      <c r="N3" s="505">
        <v>45107</v>
      </c>
      <c r="O3" s="505">
        <v>45199</v>
      </c>
      <c r="P3" s="505">
        <v>45291</v>
      </c>
      <c r="Q3" s="505">
        <v>45382</v>
      </c>
      <c r="R3" s="505">
        <v>45473</v>
      </c>
      <c r="S3" s="505">
        <v>45565</v>
      </c>
      <c r="T3" s="505">
        <v>45657</v>
      </c>
      <c r="U3" s="505">
        <v>45747</v>
      </c>
      <c r="V3" s="505">
        <v>45838</v>
      </c>
      <c r="W3" s="561"/>
    </row>
    <row r="4" spans="2:31" x14ac:dyDescent="0.2">
      <c r="B4" s="6"/>
      <c r="C4" s="6"/>
      <c r="D4" s="6"/>
      <c r="E4" s="7"/>
      <c r="F4" s="6"/>
      <c r="G4" s="6"/>
      <c r="H4" s="6"/>
      <c r="I4" s="6"/>
      <c r="J4" s="6"/>
      <c r="K4" s="6"/>
      <c r="L4" s="6"/>
      <c r="M4" s="6"/>
      <c r="N4" s="6"/>
      <c r="O4" s="6"/>
      <c r="P4" s="6"/>
      <c r="Q4" s="6"/>
      <c r="R4" s="6"/>
      <c r="S4" s="6"/>
      <c r="T4" s="6"/>
      <c r="U4" s="6"/>
      <c r="V4" s="6"/>
    </row>
    <row r="5" spans="2:31" x14ac:dyDescent="0.2">
      <c r="E5" s="2"/>
    </row>
    <row r="6" spans="2:31" x14ac:dyDescent="0.2">
      <c r="B6" s="8">
        <v>1</v>
      </c>
      <c r="C6" s="9" t="s">
        <v>2</v>
      </c>
      <c r="D6" s="9"/>
      <c r="E6" s="2"/>
      <c r="L6" s="12"/>
      <c r="M6" s="12"/>
      <c r="N6" s="12"/>
      <c r="O6" s="12"/>
      <c r="P6" s="12"/>
      <c r="Q6" s="12"/>
      <c r="R6" s="12"/>
      <c r="S6" s="12"/>
      <c r="T6" s="12"/>
      <c r="U6" s="12"/>
      <c r="V6" s="12"/>
      <c r="W6" s="562"/>
      <c r="X6" s="562"/>
      <c r="Y6" s="562"/>
      <c r="Z6" s="562"/>
      <c r="AA6" s="562"/>
      <c r="AB6" s="562"/>
      <c r="AC6" s="562"/>
      <c r="AD6" s="562"/>
      <c r="AE6" s="562"/>
    </row>
    <row r="7" spans="2:31" x14ac:dyDescent="0.2">
      <c r="E7" s="2"/>
      <c r="L7" s="12"/>
      <c r="M7" s="12"/>
      <c r="N7" s="12"/>
      <c r="O7" s="12"/>
      <c r="P7" s="12"/>
      <c r="Q7" s="12"/>
      <c r="R7" s="12"/>
      <c r="S7" s="12"/>
      <c r="T7" s="12"/>
      <c r="U7" s="12"/>
      <c r="V7" s="12"/>
      <c r="W7" s="562"/>
      <c r="X7" s="562"/>
      <c r="Y7" s="562"/>
      <c r="Z7" s="562"/>
      <c r="AA7" s="562"/>
      <c r="AB7" s="562"/>
      <c r="AC7" s="562"/>
      <c r="AD7" s="562"/>
      <c r="AE7" s="562"/>
    </row>
    <row r="8" spans="2:31" x14ac:dyDescent="0.2">
      <c r="B8" s="10">
        <f>B6+0.1</f>
        <v>1.1000000000000001</v>
      </c>
      <c r="C8" s="9" t="s">
        <v>525</v>
      </c>
      <c r="E8" s="2"/>
      <c r="L8" s="12"/>
      <c r="M8" s="12"/>
      <c r="N8" s="12"/>
      <c r="O8" s="12"/>
      <c r="P8" s="12"/>
      <c r="Q8" s="12"/>
      <c r="R8" s="12"/>
      <c r="S8" s="12"/>
      <c r="T8" s="12"/>
      <c r="U8" s="12"/>
      <c r="V8" s="12"/>
      <c r="W8" s="562"/>
      <c r="X8" s="562"/>
      <c r="Y8" s="562"/>
      <c r="Z8" s="562"/>
      <c r="AA8" s="562"/>
      <c r="AB8" s="562"/>
      <c r="AC8" s="562"/>
      <c r="AD8" s="562"/>
      <c r="AE8" s="562"/>
    </row>
    <row r="9" spans="2:31" x14ac:dyDescent="0.2">
      <c r="B9" s="10"/>
      <c r="C9" s="9"/>
      <c r="E9" s="2"/>
      <c r="L9" s="12"/>
      <c r="M9" s="12"/>
      <c r="N9" s="12"/>
      <c r="O9" s="12"/>
      <c r="P9" s="12"/>
      <c r="Q9" s="12"/>
      <c r="R9" s="12"/>
      <c r="S9" s="12"/>
      <c r="T9" s="12"/>
      <c r="U9" s="12"/>
      <c r="V9" s="12"/>
      <c r="W9" s="562"/>
      <c r="X9" s="562"/>
      <c r="Y9" s="562"/>
      <c r="Z9" s="562"/>
      <c r="AA9" s="562"/>
      <c r="AB9" s="562"/>
      <c r="AC9" s="562"/>
      <c r="AD9" s="562"/>
      <c r="AE9" s="562"/>
    </row>
    <row r="10" spans="2:31" x14ac:dyDescent="0.2">
      <c r="B10" s="10"/>
      <c r="C10" s="1" t="s">
        <v>703</v>
      </c>
      <c r="D10" s="605"/>
      <c r="E10" s="514">
        <f>'Plant model'!E10</f>
        <v>0</v>
      </c>
      <c r="F10" s="1" t="s">
        <v>249</v>
      </c>
      <c r="L10" s="12"/>
      <c r="M10" s="12"/>
      <c r="N10" s="12"/>
      <c r="O10" s="12"/>
      <c r="P10" s="12"/>
      <c r="Q10" s="12"/>
      <c r="R10" s="12"/>
      <c r="S10" s="12"/>
      <c r="T10" s="12"/>
      <c r="U10" s="12"/>
      <c r="V10" s="12"/>
      <c r="W10" s="562"/>
      <c r="X10" s="562"/>
      <c r="Y10" s="562"/>
      <c r="Z10" s="562"/>
      <c r="AA10" s="562"/>
      <c r="AB10" s="562"/>
      <c r="AC10" s="562"/>
      <c r="AD10" s="562"/>
      <c r="AE10" s="562"/>
    </row>
    <row r="11" spans="2:31" x14ac:dyDescent="0.2">
      <c r="E11" s="2"/>
      <c r="L11" s="12"/>
      <c r="M11" s="12"/>
      <c r="N11" s="12"/>
      <c r="O11" s="12"/>
      <c r="P11" s="12"/>
      <c r="Q11" s="12"/>
      <c r="R11" s="12"/>
      <c r="S11" s="12"/>
      <c r="T11" s="12"/>
      <c r="U11" s="12"/>
      <c r="V11" s="12"/>
      <c r="W11" s="562"/>
      <c r="X11" s="562"/>
      <c r="Y11" s="562"/>
      <c r="Z11" s="562"/>
      <c r="AA11" s="562"/>
      <c r="AB11" s="562"/>
      <c r="AC11" s="562"/>
      <c r="AD11" s="562"/>
      <c r="AE11" s="562"/>
    </row>
    <row r="12" spans="2:31" x14ac:dyDescent="0.2">
      <c r="B12" s="10">
        <f>B8+0.1</f>
        <v>1.2000000000000002</v>
      </c>
      <c r="C12" s="9" t="s">
        <v>324</v>
      </c>
      <c r="E12" s="2"/>
      <c r="L12" s="12"/>
      <c r="M12" s="12"/>
      <c r="N12" s="12"/>
      <c r="O12" s="12"/>
      <c r="P12" s="12"/>
      <c r="Q12" s="12"/>
      <c r="R12" s="12"/>
      <c r="S12" s="12"/>
      <c r="T12" s="12"/>
      <c r="U12" s="12"/>
      <c r="V12" s="12"/>
      <c r="W12" s="562"/>
      <c r="X12" s="562"/>
      <c r="Y12" s="562"/>
      <c r="Z12" s="562"/>
      <c r="AA12" s="562"/>
      <c r="AB12" s="562"/>
      <c r="AC12" s="562"/>
      <c r="AD12" s="562"/>
      <c r="AE12" s="562"/>
    </row>
    <row r="13" spans="2:31" x14ac:dyDescent="0.2">
      <c r="B13" s="10"/>
      <c r="C13" s="9"/>
      <c r="L13" s="12"/>
      <c r="M13" s="12"/>
      <c r="N13" s="12"/>
      <c r="O13" s="12"/>
      <c r="P13" s="12"/>
      <c r="Q13" s="12"/>
      <c r="R13" s="12"/>
      <c r="S13" s="12"/>
      <c r="T13" s="12"/>
      <c r="U13" s="12"/>
      <c r="V13" s="12"/>
      <c r="W13" s="562"/>
      <c r="X13" s="562"/>
      <c r="Y13" s="562"/>
      <c r="Z13" s="562"/>
      <c r="AA13" s="562"/>
      <c r="AB13" s="562"/>
      <c r="AC13" s="562"/>
      <c r="AD13" s="562"/>
      <c r="AE13" s="562"/>
    </row>
    <row r="14" spans="2:31" x14ac:dyDescent="0.2">
      <c r="B14" s="10"/>
      <c r="C14" s="1" t="s">
        <v>242</v>
      </c>
      <c r="D14" s="146">
        <f>E86</f>
        <v>1</v>
      </c>
      <c r="E14" s="318">
        <f>E16*(E10=0)+E17*(E10=1)</f>
        <v>0.77</v>
      </c>
      <c r="F14" s="1" t="s">
        <v>748</v>
      </c>
      <c r="G14" s="21">
        <f>AVERAGE(I14:AE14)</f>
        <v>0.7699999999999998</v>
      </c>
      <c r="I14" s="21">
        <f>$E14*$E$86</f>
        <v>0.77</v>
      </c>
      <c r="J14" s="21">
        <f>$E14*$E$86</f>
        <v>0.77</v>
      </c>
      <c r="K14" s="21">
        <f>$E14*$E$86</f>
        <v>0.77</v>
      </c>
      <c r="L14" s="21">
        <f t="shared" ref="L14:V14" si="1">$E14*$E$86</f>
        <v>0.77</v>
      </c>
      <c r="M14" s="21">
        <f t="shared" si="1"/>
        <v>0.77</v>
      </c>
      <c r="N14" s="21">
        <f t="shared" si="1"/>
        <v>0.77</v>
      </c>
      <c r="O14" s="21">
        <f t="shared" si="1"/>
        <v>0.77</v>
      </c>
      <c r="P14" s="21">
        <f t="shared" si="1"/>
        <v>0.77</v>
      </c>
      <c r="Q14" s="21">
        <f t="shared" si="1"/>
        <v>0.77</v>
      </c>
      <c r="R14" s="21">
        <f t="shared" si="1"/>
        <v>0.77</v>
      </c>
      <c r="S14" s="21">
        <f t="shared" si="1"/>
        <v>0.77</v>
      </c>
      <c r="T14" s="21">
        <f t="shared" si="1"/>
        <v>0.77</v>
      </c>
      <c r="U14" s="21">
        <f t="shared" si="1"/>
        <v>0.77</v>
      </c>
      <c r="V14" s="21">
        <f t="shared" si="1"/>
        <v>0.77</v>
      </c>
      <c r="W14" s="563"/>
      <c r="X14" s="563"/>
      <c r="Y14" s="563"/>
      <c r="Z14" s="563"/>
      <c r="AA14" s="563"/>
      <c r="AB14" s="563"/>
      <c r="AC14" s="563"/>
      <c r="AD14" s="563"/>
      <c r="AE14" s="563"/>
    </row>
    <row r="15" spans="2:31" x14ac:dyDescent="0.2">
      <c r="B15" s="10"/>
      <c r="D15" s="317"/>
      <c r="E15" s="120"/>
      <c r="G15" s="21"/>
      <c r="K15" s="21"/>
      <c r="L15" s="21"/>
      <c r="M15" s="21"/>
      <c r="N15" s="21"/>
      <c r="O15" s="21"/>
      <c r="P15" s="21"/>
      <c r="Q15" s="21"/>
      <c r="R15" s="21"/>
      <c r="S15" s="21"/>
      <c r="T15" s="21"/>
      <c r="U15" s="21"/>
      <c r="V15" s="21"/>
      <c r="W15" s="563"/>
      <c r="X15" s="563"/>
      <c r="Y15" s="563"/>
      <c r="Z15" s="563"/>
      <c r="AA15" s="563"/>
      <c r="AB15" s="563"/>
      <c r="AC15" s="563"/>
      <c r="AD15" s="563"/>
      <c r="AE15" s="563"/>
    </row>
    <row r="16" spans="2:31" x14ac:dyDescent="0.2">
      <c r="B16" s="10"/>
      <c r="C16" s="5" t="s">
        <v>309</v>
      </c>
      <c r="D16" s="447">
        <v>0.76852727119021813</v>
      </c>
      <c r="E16" s="257">
        <f>'Plant model'!E16</f>
        <v>0.77</v>
      </c>
      <c r="F16" s="1" t="s">
        <v>748</v>
      </c>
      <c r="G16" s="21"/>
      <c r="J16" s="21"/>
      <c r="K16" s="21"/>
      <c r="N16" s="21"/>
      <c r="O16" s="21"/>
      <c r="P16" s="21"/>
      <c r="Q16" s="21"/>
      <c r="R16" s="21"/>
      <c r="S16" s="21"/>
      <c r="T16" s="21"/>
      <c r="U16" s="21"/>
      <c r="V16" s="21"/>
      <c r="W16" s="563"/>
      <c r="X16" s="563"/>
      <c r="Y16" s="563"/>
      <c r="Z16" s="563"/>
      <c r="AA16" s="563"/>
      <c r="AB16" s="563"/>
      <c r="AC16" s="563"/>
      <c r="AD16" s="563"/>
      <c r="AE16" s="563"/>
    </row>
    <row r="17" spans="2:36" s="5" customFormat="1" x14ac:dyDescent="0.2">
      <c r="B17" s="273"/>
      <c r="C17" s="5" t="s">
        <v>701</v>
      </c>
      <c r="D17" s="317"/>
      <c r="E17" s="257">
        <f>'Plant model'!E17</f>
        <v>0.79</v>
      </c>
      <c r="F17" s="1" t="s">
        <v>748</v>
      </c>
      <c r="G17" s="52"/>
      <c r="J17" s="52"/>
      <c r="K17" s="52"/>
      <c r="N17" s="52"/>
      <c r="O17" s="52"/>
      <c r="P17" s="52"/>
      <c r="Q17" s="52"/>
      <c r="R17" s="52"/>
      <c r="S17" s="52"/>
      <c r="T17" s="52"/>
      <c r="U17" s="52"/>
      <c r="V17" s="52"/>
      <c r="W17" s="563"/>
      <c r="X17" s="563"/>
      <c r="Y17" s="563"/>
      <c r="Z17" s="563"/>
      <c r="AA17" s="563"/>
      <c r="AB17" s="563"/>
      <c r="AC17" s="563"/>
      <c r="AD17" s="563"/>
      <c r="AE17" s="563"/>
      <c r="AF17" s="67"/>
      <c r="AG17" s="67"/>
      <c r="AH17" s="67"/>
      <c r="AI17" s="67"/>
      <c r="AJ17" s="67"/>
    </row>
    <row r="18" spans="2:36" x14ac:dyDescent="0.2">
      <c r="E18" s="2"/>
      <c r="J18" s="12"/>
      <c r="K18" s="12"/>
      <c r="N18" s="12"/>
      <c r="O18" s="12"/>
      <c r="P18" s="12"/>
      <c r="Q18" s="12"/>
      <c r="R18" s="12"/>
      <c r="S18" s="12"/>
      <c r="T18" s="12"/>
      <c r="U18" s="12"/>
      <c r="V18" s="12"/>
      <c r="W18" s="562"/>
      <c r="X18" s="562"/>
      <c r="Y18" s="562"/>
      <c r="Z18" s="562"/>
      <c r="AA18" s="562"/>
      <c r="AB18" s="562"/>
      <c r="AC18" s="562"/>
      <c r="AD18" s="562"/>
      <c r="AE18" s="562"/>
    </row>
    <row r="19" spans="2:36" x14ac:dyDescent="0.2">
      <c r="B19" s="10">
        <f>B12+0.1</f>
        <v>1.3000000000000003</v>
      </c>
      <c r="C19" s="9" t="s">
        <v>864</v>
      </c>
      <c r="D19" s="9"/>
      <c r="E19" s="2"/>
    </row>
    <row r="20" spans="2:36" x14ac:dyDescent="0.2">
      <c r="B20" s="10"/>
      <c r="C20" s="5"/>
      <c r="D20" s="9"/>
      <c r="E20" s="2"/>
    </row>
    <row r="21" spans="2:36" x14ac:dyDescent="0.2">
      <c r="B21" s="10"/>
      <c r="C21" s="5" t="s">
        <v>875</v>
      </c>
      <c r="D21" s="146">
        <f>E82</f>
        <v>1</v>
      </c>
      <c r="E21" s="318">
        <f>E31*($E$10=0)+E51*($E$10=1)</f>
        <v>772</v>
      </c>
      <c r="F21" s="5" t="s">
        <v>3</v>
      </c>
      <c r="G21" s="21">
        <f>AVERAGE(I21:AE21)</f>
        <v>772</v>
      </c>
      <c r="I21" s="275">
        <f t="shared" ref="I21:J21" si="2">(I31*($E$10=0)+I51*($E$10=1))</f>
        <v>772</v>
      </c>
      <c r="J21" s="275">
        <f t="shared" si="2"/>
        <v>772</v>
      </c>
      <c r="K21" s="275">
        <f t="shared" ref="K21:V21" si="3">(K31*($E$10=0)+K51*($E$10=1))</f>
        <v>772</v>
      </c>
      <c r="L21" s="275">
        <f t="shared" si="3"/>
        <v>772</v>
      </c>
      <c r="M21" s="275">
        <f t="shared" si="3"/>
        <v>772</v>
      </c>
      <c r="N21" s="275">
        <f t="shared" si="3"/>
        <v>772</v>
      </c>
      <c r="O21" s="275">
        <f t="shared" si="3"/>
        <v>772</v>
      </c>
      <c r="P21" s="275">
        <f t="shared" si="3"/>
        <v>772</v>
      </c>
      <c r="Q21" s="275">
        <f t="shared" si="3"/>
        <v>772</v>
      </c>
      <c r="R21" s="275">
        <f t="shared" si="3"/>
        <v>772</v>
      </c>
      <c r="S21" s="275">
        <f t="shared" si="3"/>
        <v>772</v>
      </c>
      <c r="T21" s="275">
        <f t="shared" si="3"/>
        <v>772</v>
      </c>
      <c r="U21" s="275">
        <f t="shared" si="3"/>
        <v>772</v>
      </c>
      <c r="V21" s="275">
        <f t="shared" si="3"/>
        <v>772</v>
      </c>
      <c r="W21" s="564"/>
      <c r="X21" s="564"/>
      <c r="Y21" s="564"/>
      <c r="Z21" s="564"/>
      <c r="AA21" s="564"/>
      <c r="AB21" s="564"/>
      <c r="AC21" s="564"/>
      <c r="AD21" s="564"/>
      <c r="AE21" s="564"/>
    </row>
    <row r="22" spans="2:36" x14ac:dyDescent="0.2">
      <c r="B22" s="10"/>
      <c r="C22" s="5" t="s">
        <v>876</v>
      </c>
      <c r="D22" s="146">
        <f>E82</f>
        <v>1</v>
      </c>
      <c r="E22" s="318">
        <f>E44*($E$10=0)+E64*($E$10=1)</f>
        <v>780</v>
      </c>
      <c r="F22" s="5" t="s">
        <v>3</v>
      </c>
      <c r="G22" s="21">
        <f t="shared" ref="G22:G26" si="4">AVERAGE(I22:AE22)</f>
        <v>780</v>
      </c>
      <c r="I22" s="275">
        <f>(I44*($E$10=0)+I64*($E$10=1))</f>
        <v>780</v>
      </c>
      <c r="J22" s="275">
        <f>(J44*($E$10=0)+J64*($E$10=1))</f>
        <v>780</v>
      </c>
      <c r="K22" s="275">
        <f>(K44*($E$10=0)+K64*($E$10=1))</f>
        <v>780</v>
      </c>
      <c r="L22" s="275">
        <f t="shared" ref="L22:V22" si="5">(L44*($E$10=0)+L64*($E$10=1))</f>
        <v>780</v>
      </c>
      <c r="M22" s="275">
        <f t="shared" si="5"/>
        <v>780</v>
      </c>
      <c r="N22" s="275">
        <f t="shared" si="5"/>
        <v>780</v>
      </c>
      <c r="O22" s="275">
        <f t="shared" si="5"/>
        <v>780</v>
      </c>
      <c r="P22" s="275">
        <f t="shared" si="5"/>
        <v>780</v>
      </c>
      <c r="Q22" s="275">
        <f t="shared" si="5"/>
        <v>780</v>
      </c>
      <c r="R22" s="275">
        <f t="shared" si="5"/>
        <v>780</v>
      </c>
      <c r="S22" s="275">
        <f t="shared" si="5"/>
        <v>780</v>
      </c>
      <c r="T22" s="275">
        <f t="shared" si="5"/>
        <v>780</v>
      </c>
      <c r="U22" s="275">
        <f t="shared" si="5"/>
        <v>780</v>
      </c>
      <c r="V22" s="275">
        <f t="shared" si="5"/>
        <v>780</v>
      </c>
      <c r="W22" s="564"/>
      <c r="X22" s="564"/>
      <c r="Y22" s="564"/>
      <c r="Z22" s="564"/>
      <c r="AA22" s="564"/>
      <c r="AB22" s="564"/>
      <c r="AC22" s="564"/>
      <c r="AD22" s="564"/>
      <c r="AE22" s="564"/>
    </row>
    <row r="23" spans="2:36" x14ac:dyDescent="0.2">
      <c r="B23" s="120"/>
      <c r="C23" s="5" t="s">
        <v>387</v>
      </c>
      <c r="D23" s="146">
        <f>E82</f>
        <v>1</v>
      </c>
      <c r="E23" s="318">
        <f>E34*($E$10=0)+E54*($E$10=1)</f>
        <v>617.6</v>
      </c>
      <c r="F23" s="5" t="s">
        <v>3</v>
      </c>
      <c r="G23" s="21">
        <f t="shared" si="4"/>
        <v>617.60000000000014</v>
      </c>
      <c r="I23" s="275">
        <f t="shared" ref="I23:J23" si="6">(I34*($E$10=0)+I54*($E$10=1))</f>
        <v>617.6</v>
      </c>
      <c r="J23" s="275">
        <f t="shared" si="6"/>
        <v>617.6</v>
      </c>
      <c r="K23" s="275">
        <f t="shared" ref="K23:V23" si="7">(K34*($E$10=0)+K54*($E$10=1))</f>
        <v>617.6</v>
      </c>
      <c r="L23" s="275">
        <f t="shared" si="7"/>
        <v>617.6</v>
      </c>
      <c r="M23" s="275">
        <f t="shared" si="7"/>
        <v>617.6</v>
      </c>
      <c r="N23" s="275">
        <f t="shared" si="7"/>
        <v>617.6</v>
      </c>
      <c r="O23" s="275">
        <f t="shared" si="7"/>
        <v>617.6</v>
      </c>
      <c r="P23" s="275">
        <f t="shared" si="7"/>
        <v>617.6</v>
      </c>
      <c r="Q23" s="275">
        <f t="shared" si="7"/>
        <v>617.6</v>
      </c>
      <c r="R23" s="275">
        <f t="shared" si="7"/>
        <v>617.6</v>
      </c>
      <c r="S23" s="275">
        <f t="shared" si="7"/>
        <v>617.6</v>
      </c>
      <c r="T23" s="275">
        <f t="shared" si="7"/>
        <v>617.6</v>
      </c>
      <c r="U23" s="275">
        <f t="shared" si="7"/>
        <v>617.6</v>
      </c>
      <c r="V23" s="275">
        <f t="shared" si="7"/>
        <v>617.6</v>
      </c>
      <c r="W23" s="564"/>
      <c r="X23" s="564"/>
      <c r="Y23" s="564"/>
      <c r="Z23" s="564"/>
      <c r="AA23" s="564"/>
      <c r="AB23" s="564"/>
      <c r="AC23" s="564"/>
      <c r="AD23" s="564"/>
      <c r="AE23" s="564"/>
    </row>
    <row r="24" spans="2:36" x14ac:dyDescent="0.2">
      <c r="B24" s="120"/>
      <c r="C24" s="5" t="s">
        <v>877</v>
      </c>
      <c r="D24" s="146">
        <f>E82</f>
        <v>1</v>
      </c>
      <c r="E24" s="318">
        <f>E38*($E$10=0)+E58*($E$10=1)</f>
        <v>672</v>
      </c>
      <c r="F24" s="5" t="s">
        <v>3</v>
      </c>
      <c r="G24" s="21">
        <f t="shared" si="4"/>
        <v>672</v>
      </c>
      <c r="I24" s="275">
        <f t="shared" ref="I24:J24" si="8">(I38*($E$10=0)+I58*($E$10=1))</f>
        <v>672</v>
      </c>
      <c r="J24" s="275">
        <f t="shared" si="8"/>
        <v>672</v>
      </c>
      <c r="K24" s="275">
        <f t="shared" ref="K24:V24" si="9">(K38*($E$10=0)+K58*($E$10=1))</f>
        <v>672</v>
      </c>
      <c r="L24" s="275">
        <f t="shared" si="9"/>
        <v>672</v>
      </c>
      <c r="M24" s="275">
        <f t="shared" si="9"/>
        <v>672</v>
      </c>
      <c r="N24" s="275">
        <f t="shared" si="9"/>
        <v>672</v>
      </c>
      <c r="O24" s="275">
        <f t="shared" si="9"/>
        <v>672</v>
      </c>
      <c r="P24" s="275">
        <f t="shared" si="9"/>
        <v>672</v>
      </c>
      <c r="Q24" s="275">
        <f t="shared" si="9"/>
        <v>672</v>
      </c>
      <c r="R24" s="275">
        <f t="shared" si="9"/>
        <v>672</v>
      </c>
      <c r="S24" s="275">
        <f t="shared" si="9"/>
        <v>672</v>
      </c>
      <c r="T24" s="275">
        <f t="shared" si="9"/>
        <v>672</v>
      </c>
      <c r="U24" s="275">
        <f t="shared" si="9"/>
        <v>672</v>
      </c>
      <c r="V24" s="275">
        <f t="shared" si="9"/>
        <v>672</v>
      </c>
      <c r="W24" s="564"/>
      <c r="X24" s="564"/>
      <c r="Y24" s="564"/>
      <c r="Z24" s="564"/>
      <c r="AA24" s="564"/>
      <c r="AB24" s="564"/>
      <c r="AC24" s="564"/>
      <c r="AD24" s="564"/>
      <c r="AE24" s="564"/>
    </row>
    <row r="25" spans="2:36" x14ac:dyDescent="0.2">
      <c r="B25" s="120"/>
      <c r="C25" s="5" t="s">
        <v>878</v>
      </c>
      <c r="D25" s="146">
        <f>E82</f>
        <v>1</v>
      </c>
      <c r="E25" s="318">
        <f>E46*($E$10=0)+E66*($E$10=1)</f>
        <v>680</v>
      </c>
      <c r="F25" s="5" t="s">
        <v>3</v>
      </c>
      <c r="G25" s="21">
        <f t="shared" si="4"/>
        <v>680</v>
      </c>
      <c r="I25" s="275">
        <f>I46*($E$10=0)+I66*($E$10=1)</f>
        <v>680</v>
      </c>
      <c r="J25" s="275">
        <f>J46*($E$10=0)+J66*($E$10=1)</f>
        <v>680</v>
      </c>
      <c r="K25" s="275">
        <f>K46*($E$10=0)+K66*($E$10=1)</f>
        <v>680</v>
      </c>
      <c r="L25" s="275">
        <f t="shared" ref="L25:V25" si="10">L46*($E$10=0)+L66*($E$10=1)</f>
        <v>680</v>
      </c>
      <c r="M25" s="275">
        <f t="shared" si="10"/>
        <v>680</v>
      </c>
      <c r="N25" s="275">
        <f t="shared" si="10"/>
        <v>680</v>
      </c>
      <c r="O25" s="275">
        <f t="shared" si="10"/>
        <v>680</v>
      </c>
      <c r="P25" s="275">
        <f t="shared" si="10"/>
        <v>680</v>
      </c>
      <c r="Q25" s="275">
        <f t="shared" si="10"/>
        <v>680</v>
      </c>
      <c r="R25" s="275">
        <f t="shared" si="10"/>
        <v>680</v>
      </c>
      <c r="S25" s="275">
        <f t="shared" si="10"/>
        <v>680</v>
      </c>
      <c r="T25" s="275">
        <f t="shared" si="10"/>
        <v>680</v>
      </c>
      <c r="U25" s="275">
        <f t="shared" si="10"/>
        <v>680</v>
      </c>
      <c r="V25" s="275">
        <f t="shared" si="10"/>
        <v>680</v>
      </c>
      <c r="W25" s="564"/>
      <c r="X25" s="564"/>
      <c r="Y25" s="564"/>
      <c r="Z25" s="564"/>
      <c r="AA25" s="564"/>
      <c r="AB25" s="564"/>
      <c r="AC25" s="564"/>
      <c r="AD25" s="564"/>
      <c r="AE25" s="564"/>
    </row>
    <row r="26" spans="2:36" x14ac:dyDescent="0.2">
      <c r="B26" s="120"/>
      <c r="C26" s="5" t="s">
        <v>388</v>
      </c>
      <c r="D26" s="146">
        <f>E82</f>
        <v>1</v>
      </c>
      <c r="E26" s="318">
        <f>E41*($E$10=0)+E61*($E$10=1)</f>
        <v>403.2</v>
      </c>
      <c r="F26" s="5" t="s">
        <v>3</v>
      </c>
      <c r="G26" s="21">
        <f t="shared" si="4"/>
        <v>403.19999999999987</v>
      </c>
      <c r="I26" s="275">
        <f t="shared" ref="I26:J26" si="11">(I41*($E$10=0)+I61*($E$10=1))</f>
        <v>403.2</v>
      </c>
      <c r="J26" s="275">
        <f t="shared" si="11"/>
        <v>403.2</v>
      </c>
      <c r="K26" s="275">
        <f t="shared" ref="K26:V26" si="12">(K41*($E$10=0)+K61*($E$10=1))</f>
        <v>403.2</v>
      </c>
      <c r="L26" s="275">
        <f t="shared" si="12"/>
        <v>403.2</v>
      </c>
      <c r="M26" s="275">
        <f t="shared" si="12"/>
        <v>403.2</v>
      </c>
      <c r="N26" s="275">
        <f t="shared" si="12"/>
        <v>403.2</v>
      </c>
      <c r="O26" s="275">
        <f t="shared" si="12"/>
        <v>403.2</v>
      </c>
      <c r="P26" s="275">
        <f t="shared" si="12"/>
        <v>403.2</v>
      </c>
      <c r="Q26" s="275">
        <f t="shared" si="12"/>
        <v>403.2</v>
      </c>
      <c r="R26" s="275">
        <f t="shared" si="12"/>
        <v>403.2</v>
      </c>
      <c r="S26" s="275">
        <f t="shared" si="12"/>
        <v>403.2</v>
      </c>
      <c r="T26" s="275">
        <f t="shared" si="12"/>
        <v>403.2</v>
      </c>
      <c r="U26" s="275">
        <f t="shared" si="12"/>
        <v>403.2</v>
      </c>
      <c r="V26" s="275">
        <f t="shared" si="12"/>
        <v>403.2</v>
      </c>
      <c r="W26" s="564"/>
      <c r="X26" s="564"/>
      <c r="Y26" s="564"/>
      <c r="Z26" s="564"/>
      <c r="AA26" s="564"/>
      <c r="AB26" s="564"/>
      <c r="AC26" s="564"/>
      <c r="AD26" s="564"/>
      <c r="AE26" s="564"/>
    </row>
    <row r="27" spans="2:36" x14ac:dyDescent="0.2">
      <c r="C27" s="5"/>
      <c r="E27" s="2"/>
      <c r="K27" s="12"/>
      <c r="L27" s="12"/>
      <c r="M27" s="12"/>
      <c r="N27" s="12"/>
      <c r="O27" s="12"/>
      <c r="P27" s="12"/>
      <c r="Q27" s="12"/>
      <c r="R27" s="12"/>
      <c r="S27" s="12"/>
      <c r="T27" s="12"/>
      <c r="U27" s="12"/>
      <c r="V27" s="12"/>
      <c r="W27" s="562"/>
      <c r="X27" s="562"/>
      <c r="Y27" s="562"/>
      <c r="Z27" s="562"/>
      <c r="AA27" s="562"/>
      <c r="AB27" s="562"/>
      <c r="AC27" s="562"/>
      <c r="AD27" s="562"/>
      <c r="AE27" s="562"/>
    </row>
    <row r="28" spans="2:36" x14ac:dyDescent="0.2">
      <c r="B28" s="24">
        <f>B19+0.01</f>
        <v>1.3100000000000003</v>
      </c>
      <c r="C28" s="20" t="s">
        <v>524</v>
      </c>
      <c r="E28" s="2"/>
      <c r="K28" s="12"/>
      <c r="L28" s="12"/>
      <c r="M28" s="12"/>
      <c r="N28" s="12"/>
      <c r="O28" s="12"/>
      <c r="P28" s="12"/>
      <c r="Q28" s="12"/>
      <c r="R28" s="12"/>
      <c r="S28" s="12"/>
      <c r="T28" s="12"/>
      <c r="U28" s="12"/>
      <c r="V28" s="12"/>
      <c r="W28" s="562"/>
      <c r="X28" s="562"/>
      <c r="Y28" s="562"/>
      <c r="Z28" s="562"/>
      <c r="AA28" s="562"/>
      <c r="AB28" s="562"/>
      <c r="AC28" s="562"/>
      <c r="AD28" s="562"/>
      <c r="AE28" s="562"/>
    </row>
    <row r="29" spans="2:36" x14ac:dyDescent="0.2">
      <c r="B29" s="24"/>
      <c r="C29" s="20" t="s">
        <v>865</v>
      </c>
      <c r="E29" s="2"/>
      <c r="K29" s="12"/>
      <c r="L29" s="12"/>
      <c r="M29" s="12"/>
      <c r="N29" s="12"/>
      <c r="O29" s="12"/>
      <c r="P29" s="12"/>
      <c r="Q29" s="12"/>
      <c r="R29" s="12"/>
      <c r="S29" s="12"/>
      <c r="T29" s="12"/>
      <c r="U29" s="12"/>
      <c r="V29" s="12"/>
      <c r="W29" s="562"/>
      <c r="X29" s="562"/>
      <c r="Y29" s="562"/>
      <c r="Z29" s="562"/>
      <c r="AA29" s="562"/>
      <c r="AB29" s="562"/>
      <c r="AC29" s="562"/>
      <c r="AD29" s="562"/>
      <c r="AE29" s="562"/>
    </row>
    <row r="30" spans="2:36" x14ac:dyDescent="0.2">
      <c r="C30" s="5" t="s">
        <v>739</v>
      </c>
      <c r="D30" s="146">
        <f>E82</f>
        <v>1</v>
      </c>
      <c r="E30" s="257">
        <f>'Plant model'!E30</f>
        <v>100</v>
      </c>
      <c r="F30" s="5" t="s">
        <v>3</v>
      </c>
      <c r="G30" s="21">
        <f t="shared" ref="G30:G31" si="13">AVERAGE(I30:AE30)</f>
        <v>100</v>
      </c>
      <c r="I30" s="275">
        <f>$E$30*$D$30</f>
        <v>100</v>
      </c>
      <c r="J30" s="275">
        <f>$E$30*$D$30</f>
        <v>100</v>
      </c>
      <c r="K30" s="275">
        <f>$E$30*$D$30</f>
        <v>100</v>
      </c>
      <c r="L30" s="275">
        <f t="shared" ref="L30:V30" si="14">$E$30*$D$30</f>
        <v>100</v>
      </c>
      <c r="M30" s="275">
        <f t="shared" si="14"/>
        <v>100</v>
      </c>
      <c r="N30" s="275">
        <f t="shared" si="14"/>
        <v>100</v>
      </c>
      <c r="O30" s="275">
        <f t="shared" si="14"/>
        <v>100</v>
      </c>
      <c r="P30" s="275">
        <f t="shared" si="14"/>
        <v>100</v>
      </c>
      <c r="Q30" s="275">
        <f t="shared" si="14"/>
        <v>100</v>
      </c>
      <c r="R30" s="275">
        <f t="shared" si="14"/>
        <v>100</v>
      </c>
      <c r="S30" s="275">
        <f t="shared" si="14"/>
        <v>100</v>
      </c>
      <c r="T30" s="275">
        <f t="shared" si="14"/>
        <v>100</v>
      </c>
      <c r="U30" s="275">
        <f t="shared" si="14"/>
        <v>100</v>
      </c>
      <c r="V30" s="275">
        <f t="shared" si="14"/>
        <v>100</v>
      </c>
      <c r="W30" s="564"/>
      <c r="X30" s="564"/>
      <c r="Y30" s="564"/>
      <c r="Z30" s="564"/>
      <c r="AA30" s="564"/>
      <c r="AB30" s="564"/>
      <c r="AC30" s="564"/>
      <c r="AD30" s="564"/>
      <c r="AE30" s="564"/>
    </row>
    <row r="31" spans="2:36" x14ac:dyDescent="0.2">
      <c r="C31" s="5" t="s">
        <v>745</v>
      </c>
      <c r="E31" s="429">
        <f>E30+E38</f>
        <v>772</v>
      </c>
      <c r="F31" s="5" t="s">
        <v>3</v>
      </c>
      <c r="G31" s="21">
        <f t="shared" si="13"/>
        <v>772</v>
      </c>
      <c r="I31" s="275">
        <f>I30+I38</f>
        <v>772</v>
      </c>
      <c r="J31" s="275">
        <f>J30+J38</f>
        <v>772</v>
      </c>
      <c r="K31" s="275">
        <f>K30+K38</f>
        <v>772</v>
      </c>
      <c r="L31" s="275">
        <f t="shared" ref="L31:V31" si="15">L30+L38</f>
        <v>772</v>
      </c>
      <c r="M31" s="275">
        <f t="shared" si="15"/>
        <v>772</v>
      </c>
      <c r="N31" s="275">
        <f t="shared" si="15"/>
        <v>772</v>
      </c>
      <c r="O31" s="275">
        <f t="shared" si="15"/>
        <v>772</v>
      </c>
      <c r="P31" s="275">
        <f t="shared" si="15"/>
        <v>772</v>
      </c>
      <c r="Q31" s="275">
        <f t="shared" si="15"/>
        <v>772</v>
      </c>
      <c r="R31" s="275">
        <f t="shared" si="15"/>
        <v>772</v>
      </c>
      <c r="S31" s="275">
        <f t="shared" si="15"/>
        <v>772</v>
      </c>
      <c r="T31" s="275">
        <f t="shared" si="15"/>
        <v>772</v>
      </c>
      <c r="U31" s="275">
        <f t="shared" si="15"/>
        <v>772</v>
      </c>
      <c r="V31" s="275">
        <f t="shared" si="15"/>
        <v>772</v>
      </c>
      <c r="W31" s="564"/>
      <c r="X31" s="564"/>
      <c r="Y31" s="564"/>
      <c r="Z31" s="564"/>
      <c r="AA31" s="564"/>
      <c r="AB31" s="564"/>
      <c r="AC31" s="564"/>
      <c r="AD31" s="564"/>
      <c r="AE31" s="564"/>
    </row>
    <row r="32" spans="2:36" x14ac:dyDescent="0.2">
      <c r="C32" s="5"/>
      <c r="E32" s="446"/>
      <c r="F32" s="5"/>
      <c r="G32" s="49"/>
      <c r="I32" s="275"/>
      <c r="J32" s="275"/>
      <c r="K32" s="275"/>
      <c r="L32" s="275"/>
      <c r="M32" s="275"/>
      <c r="N32" s="275"/>
      <c r="O32" s="275"/>
      <c r="P32" s="275"/>
      <c r="Q32" s="275"/>
      <c r="R32" s="275"/>
      <c r="S32" s="275"/>
      <c r="T32" s="275"/>
      <c r="U32" s="275"/>
      <c r="V32" s="275"/>
      <c r="W32" s="564"/>
      <c r="X32" s="564"/>
      <c r="Y32" s="564"/>
      <c r="Z32" s="564"/>
      <c r="AA32" s="564"/>
      <c r="AB32" s="564"/>
      <c r="AC32" s="564"/>
      <c r="AD32" s="564"/>
      <c r="AE32" s="564"/>
    </row>
    <row r="33" spans="2:31" x14ac:dyDescent="0.2">
      <c r="C33" s="5" t="s">
        <v>741</v>
      </c>
      <c r="E33" s="387">
        <f>'Plant model'!E33</f>
        <v>0.2</v>
      </c>
      <c r="F33" s="5" t="s">
        <v>8</v>
      </c>
      <c r="G33" s="36">
        <f>AVERAGE(I33:AE33)</f>
        <v>0.2</v>
      </c>
      <c r="I33" s="36">
        <f>$E$33</f>
        <v>0.2</v>
      </c>
      <c r="J33" s="36">
        <f>$E$33</f>
        <v>0.2</v>
      </c>
      <c r="K33" s="36">
        <f>$E$33</f>
        <v>0.2</v>
      </c>
      <c r="L33" s="36">
        <f t="shared" ref="L33:V33" si="16">$E$33</f>
        <v>0.2</v>
      </c>
      <c r="M33" s="36">
        <f t="shared" si="16"/>
        <v>0.2</v>
      </c>
      <c r="N33" s="36">
        <f t="shared" si="16"/>
        <v>0.2</v>
      </c>
      <c r="O33" s="36">
        <f t="shared" si="16"/>
        <v>0.2</v>
      </c>
      <c r="P33" s="36">
        <f t="shared" si="16"/>
        <v>0.2</v>
      </c>
      <c r="Q33" s="36">
        <f t="shared" si="16"/>
        <v>0.2</v>
      </c>
      <c r="R33" s="36">
        <f t="shared" si="16"/>
        <v>0.2</v>
      </c>
      <c r="S33" s="36">
        <f t="shared" si="16"/>
        <v>0.2</v>
      </c>
      <c r="T33" s="36">
        <f t="shared" si="16"/>
        <v>0.2</v>
      </c>
      <c r="U33" s="36">
        <f t="shared" si="16"/>
        <v>0.2</v>
      </c>
      <c r="V33" s="36">
        <f t="shared" si="16"/>
        <v>0.2</v>
      </c>
      <c r="W33" s="565"/>
      <c r="X33" s="565"/>
      <c r="Y33" s="565"/>
      <c r="Z33" s="565"/>
      <c r="AA33" s="565"/>
      <c r="AB33" s="565"/>
      <c r="AC33" s="565"/>
      <c r="AD33" s="565"/>
      <c r="AE33" s="565"/>
    </row>
    <row r="34" spans="2:31" x14ac:dyDescent="0.2">
      <c r="C34" s="5" t="s">
        <v>387</v>
      </c>
      <c r="E34" s="429">
        <f>E31*(1-E33)</f>
        <v>617.6</v>
      </c>
      <c r="F34" s="5" t="s">
        <v>3</v>
      </c>
      <c r="G34" s="21">
        <f>AVERAGE(I34:AE34)</f>
        <v>617.60000000000014</v>
      </c>
      <c r="I34" s="275">
        <f>I31*(1-I33)</f>
        <v>617.6</v>
      </c>
      <c r="J34" s="275">
        <f>J31*(1-J33)</f>
        <v>617.6</v>
      </c>
      <c r="K34" s="275">
        <f>K31*(1-K33)</f>
        <v>617.6</v>
      </c>
      <c r="L34" s="275">
        <f t="shared" ref="L34:V34" si="17">L31*(1-L33)</f>
        <v>617.6</v>
      </c>
      <c r="M34" s="275">
        <f t="shared" si="17"/>
        <v>617.6</v>
      </c>
      <c r="N34" s="275">
        <f t="shared" si="17"/>
        <v>617.6</v>
      </c>
      <c r="O34" s="275">
        <f t="shared" si="17"/>
        <v>617.6</v>
      </c>
      <c r="P34" s="275">
        <f t="shared" si="17"/>
        <v>617.6</v>
      </c>
      <c r="Q34" s="275">
        <f t="shared" si="17"/>
        <v>617.6</v>
      </c>
      <c r="R34" s="275">
        <f t="shared" si="17"/>
        <v>617.6</v>
      </c>
      <c r="S34" s="275">
        <f t="shared" si="17"/>
        <v>617.6</v>
      </c>
      <c r="T34" s="275">
        <f t="shared" si="17"/>
        <v>617.6</v>
      </c>
      <c r="U34" s="275">
        <f t="shared" si="17"/>
        <v>617.6</v>
      </c>
      <c r="V34" s="275">
        <f t="shared" si="17"/>
        <v>617.6</v>
      </c>
      <c r="W34" s="564"/>
      <c r="X34" s="564"/>
      <c r="Y34" s="564"/>
      <c r="Z34" s="564"/>
      <c r="AA34" s="564"/>
      <c r="AB34" s="564"/>
      <c r="AC34" s="564"/>
      <c r="AD34" s="564"/>
      <c r="AE34" s="564"/>
    </row>
    <row r="35" spans="2:31" x14ac:dyDescent="0.2">
      <c r="C35" s="5"/>
      <c r="E35" s="120"/>
      <c r="F35" s="5"/>
      <c r="G35" s="49"/>
      <c r="I35" s="275"/>
      <c r="J35" s="275"/>
      <c r="K35" s="275"/>
      <c r="L35" s="275"/>
      <c r="M35" s="275"/>
      <c r="N35" s="275"/>
      <c r="O35" s="275"/>
      <c r="P35" s="275"/>
      <c r="Q35" s="275"/>
      <c r="R35" s="275"/>
      <c r="S35" s="275"/>
      <c r="T35" s="275"/>
      <c r="U35" s="275"/>
      <c r="V35" s="275"/>
      <c r="W35" s="564"/>
      <c r="X35" s="564"/>
      <c r="Y35" s="564"/>
      <c r="Z35" s="564"/>
      <c r="AA35" s="564"/>
      <c r="AB35" s="564"/>
      <c r="AC35" s="564"/>
      <c r="AD35" s="564"/>
      <c r="AE35" s="564"/>
    </row>
    <row r="36" spans="2:31" x14ac:dyDescent="0.2">
      <c r="C36" s="5" t="s">
        <v>737</v>
      </c>
      <c r="D36" s="146">
        <f>E82</f>
        <v>1</v>
      </c>
      <c r="E36" s="257">
        <f>'Plant model'!E36</f>
        <v>650</v>
      </c>
      <c r="F36" s="5" t="s">
        <v>3</v>
      </c>
      <c r="G36" s="21">
        <f t="shared" ref="G36:G41" si="18">AVERAGE(I36:AE36)</f>
        <v>650</v>
      </c>
      <c r="I36" s="275">
        <f>$E$36*$D$36</f>
        <v>650</v>
      </c>
      <c r="J36" s="275">
        <f>$E$36*$D$36</f>
        <v>650</v>
      </c>
      <c r="K36" s="275">
        <f>$E$36*$D$36</f>
        <v>650</v>
      </c>
      <c r="L36" s="275">
        <f t="shared" ref="L36:V36" si="19">$E$36*$D$36</f>
        <v>650</v>
      </c>
      <c r="M36" s="275">
        <f t="shared" si="19"/>
        <v>650</v>
      </c>
      <c r="N36" s="275">
        <f t="shared" si="19"/>
        <v>650</v>
      </c>
      <c r="O36" s="275">
        <f t="shared" si="19"/>
        <v>650</v>
      </c>
      <c r="P36" s="275">
        <f t="shared" si="19"/>
        <v>650</v>
      </c>
      <c r="Q36" s="275">
        <f t="shared" si="19"/>
        <v>650</v>
      </c>
      <c r="R36" s="275">
        <f t="shared" si="19"/>
        <v>650</v>
      </c>
      <c r="S36" s="275">
        <f t="shared" si="19"/>
        <v>650</v>
      </c>
      <c r="T36" s="275">
        <f t="shared" si="19"/>
        <v>650</v>
      </c>
      <c r="U36" s="275">
        <f t="shared" si="19"/>
        <v>650</v>
      </c>
      <c r="V36" s="275">
        <f t="shared" si="19"/>
        <v>650</v>
      </c>
      <c r="W36" s="564"/>
      <c r="X36" s="564"/>
      <c r="Y36" s="564"/>
      <c r="Z36" s="564"/>
      <c r="AA36" s="564"/>
      <c r="AB36" s="564"/>
      <c r="AC36" s="564"/>
      <c r="AD36" s="564"/>
      <c r="AE36" s="564"/>
    </row>
    <row r="37" spans="2:31" x14ac:dyDescent="0.2">
      <c r="C37" s="5" t="s">
        <v>738</v>
      </c>
      <c r="D37" s="146">
        <f>E82</f>
        <v>1</v>
      </c>
      <c r="E37" s="257">
        <f>'Plant model'!E37</f>
        <v>22</v>
      </c>
      <c r="F37" s="5" t="s">
        <v>3</v>
      </c>
      <c r="G37" s="21">
        <f t="shared" si="18"/>
        <v>22</v>
      </c>
      <c r="I37" s="275">
        <f>$E$37*$D$37</f>
        <v>22</v>
      </c>
      <c r="J37" s="275">
        <f>$E$37*$D$37</f>
        <v>22</v>
      </c>
      <c r="K37" s="275">
        <f>$E$37*$D$37</f>
        <v>22</v>
      </c>
      <c r="L37" s="275">
        <f t="shared" ref="L37:V37" si="20">$E$37*$D$37</f>
        <v>22</v>
      </c>
      <c r="M37" s="275">
        <f t="shared" si="20"/>
        <v>22</v>
      </c>
      <c r="N37" s="275">
        <f t="shared" si="20"/>
        <v>22</v>
      </c>
      <c r="O37" s="275">
        <f t="shared" si="20"/>
        <v>22</v>
      </c>
      <c r="P37" s="275">
        <f t="shared" si="20"/>
        <v>22</v>
      </c>
      <c r="Q37" s="275">
        <f t="shared" si="20"/>
        <v>22</v>
      </c>
      <c r="R37" s="275">
        <f t="shared" si="20"/>
        <v>22</v>
      </c>
      <c r="S37" s="275">
        <f t="shared" si="20"/>
        <v>22</v>
      </c>
      <c r="T37" s="275">
        <f t="shared" si="20"/>
        <v>22</v>
      </c>
      <c r="U37" s="275">
        <f t="shared" si="20"/>
        <v>22</v>
      </c>
      <c r="V37" s="275">
        <f t="shared" si="20"/>
        <v>22</v>
      </c>
      <c r="W37" s="564"/>
      <c r="X37" s="564"/>
      <c r="Y37" s="564"/>
      <c r="Z37" s="564"/>
      <c r="AA37" s="564"/>
      <c r="AB37" s="564"/>
      <c r="AC37" s="564"/>
      <c r="AD37" s="564"/>
      <c r="AE37" s="564"/>
    </row>
    <row r="38" spans="2:31" x14ac:dyDescent="0.2">
      <c r="C38" s="5" t="s">
        <v>746</v>
      </c>
      <c r="D38" s="317"/>
      <c r="E38" s="429">
        <f>SUM(E36:E37)</f>
        <v>672</v>
      </c>
      <c r="F38" s="5" t="s">
        <v>3</v>
      </c>
      <c r="G38" s="21">
        <f t="shared" si="18"/>
        <v>672</v>
      </c>
      <c r="I38" s="275">
        <f>SUM(I36:I37)</f>
        <v>672</v>
      </c>
      <c r="J38" s="275">
        <f>SUM(J36:J37)</f>
        <v>672</v>
      </c>
      <c r="K38" s="275">
        <f>SUM(K36:K37)</f>
        <v>672</v>
      </c>
      <c r="L38" s="275">
        <f t="shared" ref="L38:V38" si="21">SUM(L36:L37)</f>
        <v>672</v>
      </c>
      <c r="M38" s="275">
        <f t="shared" si="21"/>
        <v>672</v>
      </c>
      <c r="N38" s="275">
        <f t="shared" si="21"/>
        <v>672</v>
      </c>
      <c r="O38" s="275">
        <f t="shared" si="21"/>
        <v>672</v>
      </c>
      <c r="P38" s="275">
        <f t="shared" si="21"/>
        <v>672</v>
      </c>
      <c r="Q38" s="275">
        <f t="shared" si="21"/>
        <v>672</v>
      </c>
      <c r="R38" s="275">
        <f t="shared" si="21"/>
        <v>672</v>
      </c>
      <c r="S38" s="275">
        <f t="shared" si="21"/>
        <v>672</v>
      </c>
      <c r="T38" s="275">
        <f t="shared" si="21"/>
        <v>672</v>
      </c>
      <c r="U38" s="275">
        <f t="shared" si="21"/>
        <v>672</v>
      </c>
      <c r="V38" s="275">
        <f t="shared" si="21"/>
        <v>672</v>
      </c>
      <c r="W38" s="564"/>
      <c r="X38" s="564"/>
      <c r="Y38" s="564"/>
      <c r="Z38" s="564"/>
      <c r="AA38" s="564"/>
      <c r="AB38" s="564"/>
      <c r="AC38" s="564"/>
      <c r="AD38" s="564"/>
      <c r="AE38" s="564"/>
    </row>
    <row r="39" spans="2:31" x14ac:dyDescent="0.2">
      <c r="C39" s="5"/>
      <c r="E39" s="432"/>
      <c r="F39" s="5"/>
      <c r="G39" s="49"/>
      <c r="I39" s="275"/>
      <c r="J39" s="275"/>
      <c r="K39" s="275"/>
      <c r="L39" s="275"/>
      <c r="M39" s="275"/>
      <c r="N39" s="275"/>
      <c r="O39" s="275"/>
      <c r="P39" s="275"/>
      <c r="Q39" s="275"/>
      <c r="R39" s="275"/>
      <c r="S39" s="275"/>
      <c r="T39" s="275"/>
      <c r="U39" s="275"/>
      <c r="V39" s="275"/>
      <c r="W39" s="564"/>
      <c r="X39" s="564"/>
      <c r="Y39" s="564"/>
      <c r="Z39" s="564"/>
      <c r="AA39" s="564"/>
      <c r="AB39" s="564"/>
      <c r="AC39" s="564"/>
      <c r="AD39" s="564"/>
      <c r="AE39" s="564"/>
    </row>
    <row r="40" spans="2:31" x14ac:dyDescent="0.2">
      <c r="C40" s="5" t="s">
        <v>743</v>
      </c>
      <c r="E40" s="387">
        <f>'Plant model'!E40</f>
        <v>0.6</v>
      </c>
      <c r="F40" s="5" t="s">
        <v>8</v>
      </c>
      <c r="G40" s="36">
        <f t="shared" si="18"/>
        <v>0.59999999999999987</v>
      </c>
      <c r="I40" s="36">
        <f>$E$40</f>
        <v>0.6</v>
      </c>
      <c r="J40" s="36">
        <f>$E$40</f>
        <v>0.6</v>
      </c>
      <c r="K40" s="36">
        <f>$E$40</f>
        <v>0.6</v>
      </c>
      <c r="L40" s="36">
        <f t="shared" ref="L40:V40" si="22">$E$40</f>
        <v>0.6</v>
      </c>
      <c r="M40" s="36">
        <f t="shared" si="22"/>
        <v>0.6</v>
      </c>
      <c r="N40" s="36">
        <f t="shared" si="22"/>
        <v>0.6</v>
      </c>
      <c r="O40" s="36">
        <f t="shared" si="22"/>
        <v>0.6</v>
      </c>
      <c r="P40" s="36">
        <f t="shared" si="22"/>
        <v>0.6</v>
      </c>
      <c r="Q40" s="36">
        <f t="shared" si="22"/>
        <v>0.6</v>
      </c>
      <c r="R40" s="36">
        <f t="shared" si="22"/>
        <v>0.6</v>
      </c>
      <c r="S40" s="36">
        <f t="shared" si="22"/>
        <v>0.6</v>
      </c>
      <c r="T40" s="36">
        <f t="shared" si="22"/>
        <v>0.6</v>
      </c>
      <c r="U40" s="36">
        <f t="shared" si="22"/>
        <v>0.6</v>
      </c>
      <c r="V40" s="36">
        <f t="shared" si="22"/>
        <v>0.6</v>
      </c>
      <c r="W40" s="565"/>
      <c r="X40" s="565"/>
      <c r="Y40" s="565"/>
      <c r="Z40" s="565"/>
      <c r="AA40" s="565"/>
      <c r="AB40" s="565"/>
      <c r="AC40" s="565"/>
      <c r="AD40" s="565"/>
      <c r="AE40" s="565"/>
    </row>
    <row r="41" spans="2:31" x14ac:dyDescent="0.2">
      <c r="C41" s="5" t="s">
        <v>388</v>
      </c>
      <c r="E41" s="429">
        <f>E38*E40</f>
        <v>403.2</v>
      </c>
      <c r="F41" s="5" t="s">
        <v>3</v>
      </c>
      <c r="G41" s="21">
        <f t="shared" si="18"/>
        <v>403.19999999999987</v>
      </c>
      <c r="I41" s="275">
        <f>I38*I40</f>
        <v>403.2</v>
      </c>
      <c r="J41" s="275">
        <f>J38*J40</f>
        <v>403.2</v>
      </c>
      <c r="K41" s="275">
        <f>K38*K40</f>
        <v>403.2</v>
      </c>
      <c r="L41" s="275">
        <f t="shared" ref="L41:V41" si="23">L38*L40</f>
        <v>403.2</v>
      </c>
      <c r="M41" s="275">
        <f t="shared" si="23"/>
        <v>403.2</v>
      </c>
      <c r="N41" s="275">
        <f t="shared" si="23"/>
        <v>403.2</v>
      </c>
      <c r="O41" s="275">
        <f t="shared" si="23"/>
        <v>403.2</v>
      </c>
      <c r="P41" s="275">
        <f t="shared" si="23"/>
        <v>403.2</v>
      </c>
      <c r="Q41" s="275">
        <f t="shared" si="23"/>
        <v>403.2</v>
      </c>
      <c r="R41" s="275">
        <f t="shared" si="23"/>
        <v>403.2</v>
      </c>
      <c r="S41" s="275">
        <f t="shared" si="23"/>
        <v>403.2</v>
      </c>
      <c r="T41" s="275">
        <f t="shared" si="23"/>
        <v>403.2</v>
      </c>
      <c r="U41" s="275">
        <f t="shared" si="23"/>
        <v>403.2</v>
      </c>
      <c r="V41" s="275">
        <f t="shared" si="23"/>
        <v>403.2</v>
      </c>
      <c r="W41" s="564"/>
      <c r="X41" s="564"/>
      <c r="Y41" s="564"/>
      <c r="Z41" s="564"/>
      <c r="AA41" s="564"/>
      <c r="AB41" s="564"/>
      <c r="AC41" s="564"/>
      <c r="AD41" s="564"/>
      <c r="AE41" s="564"/>
    </row>
    <row r="42" spans="2:31" x14ac:dyDescent="0.2">
      <c r="C42" s="5"/>
      <c r="E42" s="2"/>
      <c r="L42" s="12"/>
      <c r="M42" s="12"/>
      <c r="N42" s="12"/>
      <c r="O42" s="12"/>
      <c r="P42" s="12"/>
      <c r="Q42" s="12"/>
      <c r="R42" s="12"/>
      <c r="S42" s="12"/>
      <c r="T42" s="12"/>
      <c r="U42" s="12"/>
      <c r="V42" s="12"/>
      <c r="W42" s="562"/>
      <c r="X42" s="562"/>
      <c r="Y42" s="562"/>
      <c r="Z42" s="562"/>
      <c r="AA42" s="562"/>
      <c r="AB42" s="562"/>
      <c r="AC42" s="562"/>
      <c r="AD42" s="562"/>
      <c r="AE42" s="562"/>
    </row>
    <row r="43" spans="2:31" x14ac:dyDescent="0.2">
      <c r="C43" s="20" t="s">
        <v>866</v>
      </c>
      <c r="E43" s="2"/>
      <c r="L43" s="12"/>
      <c r="M43" s="12"/>
      <c r="N43" s="12"/>
      <c r="O43" s="12"/>
      <c r="P43" s="12"/>
      <c r="Q43" s="12"/>
      <c r="R43" s="12"/>
      <c r="S43" s="12"/>
      <c r="T43" s="12"/>
      <c r="U43" s="12"/>
      <c r="V43" s="12"/>
      <c r="W43" s="562"/>
      <c r="X43" s="562"/>
      <c r="Y43" s="562"/>
      <c r="Z43" s="562"/>
      <c r="AA43" s="562"/>
      <c r="AB43" s="562"/>
      <c r="AC43" s="562"/>
      <c r="AD43" s="562"/>
      <c r="AE43" s="562"/>
    </row>
    <row r="44" spans="2:31" x14ac:dyDescent="0.2">
      <c r="C44" s="5" t="s">
        <v>385</v>
      </c>
      <c r="E44" s="257">
        <f>'Plant model'!E44</f>
        <v>780</v>
      </c>
      <c r="F44" s="5" t="s">
        <v>3</v>
      </c>
      <c r="G44" s="21">
        <f t="shared" ref="G44:G46" si="24">AVERAGE(I44:AE44)</f>
        <v>780</v>
      </c>
      <c r="I44" s="21">
        <f t="shared" ref="I44:K46" si="25">$E44</f>
        <v>780</v>
      </c>
      <c r="J44" s="21">
        <f t="shared" si="25"/>
        <v>780</v>
      </c>
      <c r="K44" s="21">
        <f t="shared" si="25"/>
        <v>780</v>
      </c>
      <c r="L44" s="21">
        <f t="shared" ref="L44:V46" si="26">$E44</f>
        <v>780</v>
      </c>
      <c r="M44" s="21">
        <f t="shared" si="26"/>
        <v>780</v>
      </c>
      <c r="N44" s="21">
        <f t="shared" si="26"/>
        <v>780</v>
      </c>
      <c r="O44" s="21">
        <f t="shared" si="26"/>
        <v>780</v>
      </c>
      <c r="P44" s="21">
        <f t="shared" si="26"/>
        <v>780</v>
      </c>
      <c r="Q44" s="21">
        <f t="shared" si="26"/>
        <v>780</v>
      </c>
      <c r="R44" s="21">
        <f t="shared" si="26"/>
        <v>780</v>
      </c>
      <c r="S44" s="21">
        <f t="shared" si="26"/>
        <v>780</v>
      </c>
      <c r="T44" s="21">
        <f t="shared" si="26"/>
        <v>780</v>
      </c>
      <c r="U44" s="21">
        <f t="shared" si="26"/>
        <v>780</v>
      </c>
      <c r="V44" s="21">
        <f t="shared" si="26"/>
        <v>780</v>
      </c>
      <c r="W44" s="563"/>
      <c r="X44" s="563"/>
      <c r="Y44" s="563"/>
      <c r="Z44" s="563"/>
      <c r="AA44" s="563"/>
      <c r="AB44" s="563"/>
      <c r="AC44" s="563"/>
      <c r="AD44" s="563"/>
      <c r="AE44" s="563"/>
    </row>
    <row r="45" spans="2:31" x14ac:dyDescent="0.2">
      <c r="C45" s="5" t="s">
        <v>867</v>
      </c>
      <c r="E45" s="318">
        <f>E30</f>
        <v>100</v>
      </c>
      <c r="F45" s="5" t="s">
        <v>3</v>
      </c>
      <c r="G45" s="21">
        <f t="shared" si="24"/>
        <v>100</v>
      </c>
      <c r="I45" s="21">
        <f t="shared" si="25"/>
        <v>100</v>
      </c>
      <c r="J45" s="21">
        <f t="shared" si="25"/>
        <v>100</v>
      </c>
      <c r="K45" s="21">
        <f t="shared" si="25"/>
        <v>100</v>
      </c>
      <c r="L45" s="21">
        <f t="shared" si="26"/>
        <v>100</v>
      </c>
      <c r="M45" s="21">
        <f t="shared" si="26"/>
        <v>100</v>
      </c>
      <c r="N45" s="21">
        <f t="shared" si="26"/>
        <v>100</v>
      </c>
      <c r="O45" s="21">
        <f t="shared" si="26"/>
        <v>100</v>
      </c>
      <c r="P45" s="21">
        <f t="shared" si="26"/>
        <v>100</v>
      </c>
      <c r="Q45" s="21">
        <f t="shared" si="26"/>
        <v>100</v>
      </c>
      <c r="R45" s="21">
        <f t="shared" si="26"/>
        <v>100</v>
      </c>
      <c r="S45" s="21">
        <f t="shared" si="26"/>
        <v>100</v>
      </c>
      <c r="T45" s="21">
        <f t="shared" si="26"/>
        <v>100</v>
      </c>
      <c r="U45" s="21">
        <f t="shared" si="26"/>
        <v>100</v>
      </c>
      <c r="V45" s="21">
        <f t="shared" si="26"/>
        <v>100</v>
      </c>
      <c r="W45" s="563"/>
      <c r="X45" s="563"/>
      <c r="Y45" s="563"/>
      <c r="Z45" s="563"/>
      <c r="AA45" s="563"/>
      <c r="AB45" s="563"/>
      <c r="AC45" s="563"/>
      <c r="AD45" s="563"/>
      <c r="AE45" s="563"/>
    </row>
    <row r="46" spans="2:31" x14ac:dyDescent="0.2">
      <c r="C46" s="5" t="s">
        <v>386</v>
      </c>
      <c r="E46" s="318">
        <f>E44-E45</f>
        <v>680</v>
      </c>
      <c r="F46" s="5" t="s">
        <v>3</v>
      </c>
      <c r="G46" s="21">
        <f t="shared" si="24"/>
        <v>680</v>
      </c>
      <c r="I46" s="21">
        <f t="shared" si="25"/>
        <v>680</v>
      </c>
      <c r="J46" s="21">
        <f t="shared" si="25"/>
        <v>680</v>
      </c>
      <c r="K46" s="21">
        <f t="shared" si="25"/>
        <v>680</v>
      </c>
      <c r="L46" s="21">
        <f t="shared" si="26"/>
        <v>680</v>
      </c>
      <c r="M46" s="21">
        <f t="shared" si="26"/>
        <v>680</v>
      </c>
      <c r="N46" s="21">
        <f t="shared" si="26"/>
        <v>680</v>
      </c>
      <c r="O46" s="21">
        <f t="shared" si="26"/>
        <v>680</v>
      </c>
      <c r="P46" s="21">
        <f t="shared" si="26"/>
        <v>680</v>
      </c>
      <c r="Q46" s="21">
        <f t="shared" si="26"/>
        <v>680</v>
      </c>
      <c r="R46" s="21">
        <f t="shared" si="26"/>
        <v>680</v>
      </c>
      <c r="S46" s="21">
        <f t="shared" si="26"/>
        <v>680</v>
      </c>
      <c r="T46" s="21">
        <f t="shared" si="26"/>
        <v>680</v>
      </c>
      <c r="U46" s="21">
        <f t="shared" si="26"/>
        <v>680</v>
      </c>
      <c r="V46" s="21">
        <f t="shared" si="26"/>
        <v>680</v>
      </c>
      <c r="W46" s="563"/>
      <c r="X46" s="563"/>
      <c r="Y46" s="563"/>
      <c r="Z46" s="563"/>
      <c r="AA46" s="563"/>
      <c r="AB46" s="563"/>
      <c r="AC46" s="563"/>
      <c r="AD46" s="563"/>
      <c r="AE46" s="563"/>
    </row>
    <row r="47" spans="2:31" x14ac:dyDescent="0.2">
      <c r="C47" s="5"/>
      <c r="E47" s="2"/>
      <c r="L47" s="12"/>
      <c r="M47" s="12"/>
      <c r="N47" s="12"/>
      <c r="O47" s="12"/>
      <c r="P47" s="12"/>
      <c r="Q47" s="12"/>
      <c r="R47" s="12"/>
      <c r="S47" s="12"/>
      <c r="T47" s="12"/>
      <c r="U47" s="12"/>
      <c r="V47" s="12"/>
      <c r="W47" s="562"/>
      <c r="X47" s="562"/>
      <c r="Y47" s="562"/>
      <c r="Z47" s="562"/>
      <c r="AA47" s="562"/>
      <c r="AB47" s="562"/>
      <c r="AC47" s="562"/>
      <c r="AD47" s="562"/>
      <c r="AE47" s="562"/>
    </row>
    <row r="48" spans="2:31" x14ac:dyDescent="0.2">
      <c r="B48" s="24">
        <f>B28+0.01</f>
        <v>1.3200000000000003</v>
      </c>
      <c r="C48" s="20" t="s">
        <v>526</v>
      </c>
      <c r="E48" s="2"/>
      <c r="L48" s="12"/>
      <c r="M48" s="12"/>
      <c r="N48" s="12"/>
      <c r="O48" s="12"/>
      <c r="P48" s="12"/>
      <c r="Q48" s="12"/>
      <c r="R48" s="12"/>
      <c r="S48" s="12"/>
      <c r="T48" s="12"/>
      <c r="U48" s="12"/>
      <c r="V48" s="12"/>
      <c r="W48" s="562"/>
      <c r="X48" s="562"/>
      <c r="Y48" s="562"/>
      <c r="Z48" s="562"/>
      <c r="AA48" s="562"/>
      <c r="AB48" s="562"/>
      <c r="AC48" s="562"/>
      <c r="AD48" s="562"/>
      <c r="AE48" s="562"/>
    </row>
    <row r="49" spans="2:31" x14ac:dyDescent="0.2">
      <c r="B49" s="24"/>
      <c r="C49" s="20" t="s">
        <v>865</v>
      </c>
      <c r="E49" s="2"/>
      <c r="L49" s="12"/>
      <c r="M49" s="12"/>
      <c r="N49" s="12"/>
      <c r="O49" s="12"/>
      <c r="P49" s="12"/>
      <c r="Q49" s="12"/>
      <c r="R49" s="12"/>
      <c r="S49" s="12"/>
      <c r="T49" s="12"/>
      <c r="U49" s="12"/>
      <c r="V49" s="12"/>
      <c r="W49" s="562"/>
      <c r="X49" s="562"/>
      <c r="Y49" s="562"/>
      <c r="Z49" s="562"/>
      <c r="AA49" s="562"/>
      <c r="AB49" s="562"/>
      <c r="AC49" s="562"/>
      <c r="AD49" s="562"/>
      <c r="AE49" s="562"/>
    </row>
    <row r="50" spans="2:31" x14ac:dyDescent="0.2">
      <c r="C50" s="5" t="s">
        <v>739</v>
      </c>
      <c r="E50" s="257">
        <f>'Plant model'!E50</f>
        <v>100</v>
      </c>
      <c r="F50" s="5" t="s">
        <v>3</v>
      </c>
      <c r="G50" s="21">
        <f t="shared" ref="G50:G61" si="27">AVERAGE(I50:AE50)</f>
        <v>100</v>
      </c>
      <c r="I50" s="21">
        <f>$E$50</f>
        <v>100</v>
      </c>
      <c r="J50" s="21">
        <f>$E$50</f>
        <v>100</v>
      </c>
      <c r="K50" s="21">
        <f>$E$50</f>
        <v>100</v>
      </c>
      <c r="L50" s="21">
        <f t="shared" ref="L50:V50" si="28">$E$50</f>
        <v>100</v>
      </c>
      <c r="M50" s="21">
        <f t="shared" si="28"/>
        <v>100</v>
      </c>
      <c r="N50" s="21">
        <f t="shared" si="28"/>
        <v>100</v>
      </c>
      <c r="O50" s="21">
        <f t="shared" si="28"/>
        <v>100</v>
      </c>
      <c r="P50" s="21">
        <f t="shared" si="28"/>
        <v>100</v>
      </c>
      <c r="Q50" s="21">
        <f t="shared" si="28"/>
        <v>100</v>
      </c>
      <c r="R50" s="21">
        <f t="shared" si="28"/>
        <v>100</v>
      </c>
      <c r="S50" s="21">
        <f t="shared" si="28"/>
        <v>100</v>
      </c>
      <c r="T50" s="21">
        <f t="shared" si="28"/>
        <v>100</v>
      </c>
      <c r="U50" s="21">
        <f t="shared" si="28"/>
        <v>100</v>
      </c>
      <c r="V50" s="21">
        <f t="shared" si="28"/>
        <v>100</v>
      </c>
      <c r="W50" s="563"/>
      <c r="X50" s="563"/>
      <c r="Y50" s="563"/>
      <c r="Z50" s="563"/>
      <c r="AA50" s="563"/>
      <c r="AB50" s="563"/>
      <c r="AC50" s="563"/>
      <c r="AD50" s="563"/>
      <c r="AE50" s="563"/>
    </row>
    <row r="51" spans="2:31" x14ac:dyDescent="0.2">
      <c r="C51" s="5" t="s">
        <v>740</v>
      </c>
      <c r="E51" s="318">
        <f>G51</f>
        <v>676.9814074463992</v>
      </c>
      <c r="F51" s="5" t="s">
        <v>3</v>
      </c>
      <c r="G51" s="21">
        <f t="shared" si="27"/>
        <v>676.9814074463992</v>
      </c>
      <c r="I51" s="21">
        <f>I58+I50</f>
        <v>676.9814074463992</v>
      </c>
      <c r="J51" s="21">
        <f>J58+J50</f>
        <v>676.9814074463992</v>
      </c>
      <c r="K51" s="21">
        <f>K58+K50</f>
        <v>676.9814074463992</v>
      </c>
      <c r="L51" s="21">
        <f t="shared" ref="L51:V51" si="29">L58+L50</f>
        <v>676.9814074463992</v>
      </c>
      <c r="M51" s="21">
        <f t="shared" si="29"/>
        <v>676.9814074463992</v>
      </c>
      <c r="N51" s="21">
        <f t="shared" si="29"/>
        <v>676.9814074463992</v>
      </c>
      <c r="O51" s="21">
        <f t="shared" si="29"/>
        <v>676.9814074463992</v>
      </c>
      <c r="P51" s="21">
        <f t="shared" si="29"/>
        <v>676.9814074463992</v>
      </c>
      <c r="Q51" s="21">
        <f t="shared" si="29"/>
        <v>676.9814074463992</v>
      </c>
      <c r="R51" s="21">
        <f t="shared" si="29"/>
        <v>676.9814074463992</v>
      </c>
      <c r="S51" s="21">
        <f t="shared" si="29"/>
        <v>676.9814074463992</v>
      </c>
      <c r="T51" s="21">
        <f t="shared" si="29"/>
        <v>676.9814074463992</v>
      </c>
      <c r="U51" s="21">
        <f t="shared" si="29"/>
        <v>676.9814074463992</v>
      </c>
      <c r="V51" s="21">
        <f t="shared" si="29"/>
        <v>676.9814074463992</v>
      </c>
      <c r="W51" s="563"/>
      <c r="X51" s="563"/>
      <c r="Y51" s="563"/>
      <c r="Z51" s="563"/>
      <c r="AA51" s="563"/>
      <c r="AB51" s="563"/>
      <c r="AC51" s="563"/>
      <c r="AD51" s="563"/>
      <c r="AE51" s="563"/>
    </row>
    <row r="52" spans="2:31" x14ac:dyDescent="0.2">
      <c r="C52" s="5"/>
      <c r="E52" s="446"/>
      <c r="F52" s="5"/>
      <c r="I52" s="21"/>
      <c r="J52" s="21"/>
      <c r="K52" s="21"/>
      <c r="L52" s="21"/>
      <c r="M52" s="21"/>
      <c r="N52" s="21"/>
      <c r="O52" s="21"/>
      <c r="P52" s="21"/>
      <c r="Q52" s="21"/>
      <c r="R52" s="21"/>
      <c r="S52" s="21"/>
      <c r="T52" s="21"/>
      <c r="U52" s="21"/>
      <c r="V52" s="21"/>
      <c r="W52" s="563"/>
      <c r="X52" s="563"/>
      <c r="Y52" s="563"/>
      <c r="Z52" s="563"/>
      <c r="AA52" s="563"/>
      <c r="AB52" s="563"/>
      <c r="AC52" s="563"/>
      <c r="AD52" s="563"/>
      <c r="AE52" s="563"/>
    </row>
    <row r="53" spans="2:31" x14ac:dyDescent="0.2">
      <c r="C53" s="5" t="s">
        <v>741</v>
      </c>
      <c r="E53" s="387">
        <f>'Plant model'!E53</f>
        <v>0.2</v>
      </c>
      <c r="F53" s="5" t="s">
        <v>8</v>
      </c>
      <c r="G53" s="36">
        <f t="shared" si="27"/>
        <v>0.2</v>
      </c>
      <c r="I53" s="36">
        <f>$E$53</f>
        <v>0.2</v>
      </c>
      <c r="J53" s="36">
        <f>$E$53</f>
        <v>0.2</v>
      </c>
      <c r="K53" s="36">
        <f>$E$53</f>
        <v>0.2</v>
      </c>
      <c r="L53" s="36">
        <f t="shared" ref="L53:V53" si="30">$E$53</f>
        <v>0.2</v>
      </c>
      <c r="M53" s="36">
        <f t="shared" si="30"/>
        <v>0.2</v>
      </c>
      <c r="N53" s="36">
        <f t="shared" si="30"/>
        <v>0.2</v>
      </c>
      <c r="O53" s="36">
        <f t="shared" si="30"/>
        <v>0.2</v>
      </c>
      <c r="P53" s="36">
        <f t="shared" si="30"/>
        <v>0.2</v>
      </c>
      <c r="Q53" s="36">
        <f t="shared" si="30"/>
        <v>0.2</v>
      </c>
      <c r="R53" s="36">
        <f t="shared" si="30"/>
        <v>0.2</v>
      </c>
      <c r="S53" s="36">
        <f t="shared" si="30"/>
        <v>0.2</v>
      </c>
      <c r="T53" s="36">
        <f t="shared" si="30"/>
        <v>0.2</v>
      </c>
      <c r="U53" s="36">
        <f t="shared" si="30"/>
        <v>0.2</v>
      </c>
      <c r="V53" s="36">
        <f t="shared" si="30"/>
        <v>0.2</v>
      </c>
      <c r="W53" s="565"/>
      <c r="X53" s="565"/>
      <c r="Y53" s="565"/>
      <c r="Z53" s="565"/>
      <c r="AA53" s="565"/>
      <c r="AB53" s="565"/>
      <c r="AC53" s="565"/>
      <c r="AD53" s="565"/>
      <c r="AE53" s="565"/>
    </row>
    <row r="54" spans="2:31" x14ac:dyDescent="0.2">
      <c r="C54" s="5" t="s">
        <v>742</v>
      </c>
      <c r="E54" s="318">
        <f>G54</f>
        <v>541.58512595711932</v>
      </c>
      <c r="F54" s="5" t="s">
        <v>3</v>
      </c>
      <c r="G54" s="21">
        <f t="shared" si="27"/>
        <v>541.58512595711932</v>
      </c>
      <c r="I54" s="21">
        <f>I51*(1-I53)</f>
        <v>541.58512595711943</v>
      </c>
      <c r="J54" s="21">
        <f>J51*(1-J53)</f>
        <v>541.58512595711943</v>
      </c>
      <c r="K54" s="21">
        <f>K51*(1-K53)</f>
        <v>541.58512595711943</v>
      </c>
      <c r="L54" s="21">
        <f t="shared" ref="L54:V54" si="31">L51*(1-L53)</f>
        <v>541.58512595711943</v>
      </c>
      <c r="M54" s="21">
        <f t="shared" si="31"/>
        <v>541.58512595711943</v>
      </c>
      <c r="N54" s="21">
        <f t="shared" si="31"/>
        <v>541.58512595711943</v>
      </c>
      <c r="O54" s="21">
        <f t="shared" si="31"/>
        <v>541.58512595711943</v>
      </c>
      <c r="P54" s="21">
        <f t="shared" si="31"/>
        <v>541.58512595711943</v>
      </c>
      <c r="Q54" s="21">
        <f t="shared" si="31"/>
        <v>541.58512595711943</v>
      </c>
      <c r="R54" s="21">
        <f t="shared" si="31"/>
        <v>541.58512595711943</v>
      </c>
      <c r="S54" s="21">
        <f t="shared" si="31"/>
        <v>541.58512595711943</v>
      </c>
      <c r="T54" s="21">
        <f t="shared" si="31"/>
        <v>541.58512595711943</v>
      </c>
      <c r="U54" s="21">
        <f t="shared" si="31"/>
        <v>541.58512595711943</v>
      </c>
      <c r="V54" s="21">
        <f t="shared" si="31"/>
        <v>541.58512595711943</v>
      </c>
      <c r="W54" s="563"/>
      <c r="X54" s="563"/>
      <c r="Y54" s="563"/>
      <c r="Z54" s="563"/>
      <c r="AA54" s="563"/>
      <c r="AB54" s="563"/>
      <c r="AC54" s="563"/>
      <c r="AD54" s="563"/>
      <c r="AE54" s="563"/>
    </row>
    <row r="55" spans="2:31" x14ac:dyDescent="0.2">
      <c r="C55" s="5"/>
      <c r="E55" s="120"/>
      <c r="F55" s="5"/>
      <c r="L55" s="12"/>
      <c r="M55" s="12"/>
      <c r="N55" s="12"/>
      <c r="O55" s="12"/>
      <c r="P55" s="12"/>
      <c r="Q55" s="12"/>
      <c r="R55" s="12"/>
      <c r="S55" s="12"/>
      <c r="T55" s="12"/>
      <c r="U55" s="12"/>
      <c r="V55" s="12"/>
      <c r="W55" s="562"/>
      <c r="X55" s="562"/>
      <c r="Y55" s="562"/>
      <c r="Z55" s="562"/>
      <c r="AA55" s="562"/>
      <c r="AB55" s="562"/>
      <c r="AC55" s="562"/>
      <c r="AD55" s="562"/>
      <c r="AE55" s="562"/>
    </row>
    <row r="56" spans="2:31" x14ac:dyDescent="0.2">
      <c r="C56" s="5" t="s">
        <v>744</v>
      </c>
      <c r="E56" s="318">
        <f>G56</f>
        <v>551.9814074463992</v>
      </c>
      <c r="F56" s="5" t="s">
        <v>3</v>
      </c>
      <c r="G56" s="21">
        <f t="shared" si="27"/>
        <v>551.9814074463992</v>
      </c>
      <c r="I56" s="444">
        <f>'Fe MPI correlation'!$M$4*I$209+'Fe MPI correlation'!$L$4</f>
        <v>551.9814074463992</v>
      </c>
      <c r="J56" s="444">
        <f>'Fe MPI correlation'!$M$4*J$209+'Fe MPI correlation'!$L$4</f>
        <v>551.9814074463992</v>
      </c>
      <c r="K56" s="444">
        <f>'Fe MPI correlation'!$M$4*K$209+'Fe MPI correlation'!$L$4</f>
        <v>551.9814074463992</v>
      </c>
      <c r="L56" s="444">
        <f>'Fe MPI correlation'!$M$4*L$209+'Fe MPI correlation'!$L$4</f>
        <v>551.9814074463992</v>
      </c>
      <c r="M56" s="444">
        <f>'Fe MPI correlation'!$M$4*M$209+'Fe MPI correlation'!$L$4</f>
        <v>551.9814074463992</v>
      </c>
      <c r="N56" s="444">
        <f>'Fe MPI correlation'!$M$4*N$209+'Fe MPI correlation'!$L$4</f>
        <v>551.9814074463992</v>
      </c>
      <c r="O56" s="444">
        <f>'Fe MPI correlation'!$M$4*O$209+'Fe MPI correlation'!$L$4</f>
        <v>551.9814074463992</v>
      </c>
      <c r="P56" s="444">
        <f>'Fe MPI correlation'!$M$4*P$209+'Fe MPI correlation'!$L$4</f>
        <v>551.9814074463992</v>
      </c>
      <c r="Q56" s="444">
        <f>'Fe MPI correlation'!$M$4*Q$209+'Fe MPI correlation'!$L$4</f>
        <v>551.9814074463992</v>
      </c>
      <c r="R56" s="444">
        <f>'Fe MPI correlation'!$M$4*R$209+'Fe MPI correlation'!$L$4</f>
        <v>551.9814074463992</v>
      </c>
      <c r="S56" s="444">
        <f>'Fe MPI correlation'!$M$4*S$209+'Fe MPI correlation'!$L$4</f>
        <v>551.9814074463992</v>
      </c>
      <c r="T56" s="444">
        <f>'Fe MPI correlation'!$M$4*T$209+'Fe MPI correlation'!$L$4</f>
        <v>551.9814074463992</v>
      </c>
      <c r="U56" s="444">
        <f>'Fe MPI correlation'!$M$4*U$209+'Fe MPI correlation'!$L$4</f>
        <v>551.9814074463992</v>
      </c>
      <c r="V56" s="444">
        <f>'Fe MPI correlation'!$M$4*V$209+'Fe MPI correlation'!$L$4</f>
        <v>551.9814074463992</v>
      </c>
      <c r="W56" s="566"/>
      <c r="X56" s="566"/>
      <c r="Y56" s="566"/>
      <c r="Z56" s="566"/>
      <c r="AA56" s="566"/>
      <c r="AB56" s="566"/>
      <c r="AC56" s="566"/>
      <c r="AD56" s="566"/>
      <c r="AE56" s="566"/>
    </row>
    <row r="57" spans="2:31" x14ac:dyDescent="0.2">
      <c r="C57" s="5" t="s">
        <v>738</v>
      </c>
      <c r="E57" s="257">
        <f>'Plant model'!E57</f>
        <v>25</v>
      </c>
      <c r="F57" s="5" t="s">
        <v>3</v>
      </c>
      <c r="G57" s="21">
        <f t="shared" si="27"/>
        <v>25</v>
      </c>
      <c r="I57" s="275">
        <f>$E$57</f>
        <v>25</v>
      </c>
      <c r="J57" s="275">
        <f>$E$57</f>
        <v>25</v>
      </c>
      <c r="K57" s="275">
        <f>$E$57</f>
        <v>25</v>
      </c>
      <c r="L57" s="275">
        <f t="shared" ref="L57:V57" si="32">$E$57</f>
        <v>25</v>
      </c>
      <c r="M57" s="275">
        <f t="shared" si="32"/>
        <v>25</v>
      </c>
      <c r="N57" s="275">
        <f t="shared" si="32"/>
        <v>25</v>
      </c>
      <c r="O57" s="275">
        <f t="shared" si="32"/>
        <v>25</v>
      </c>
      <c r="P57" s="275">
        <f t="shared" si="32"/>
        <v>25</v>
      </c>
      <c r="Q57" s="275">
        <f t="shared" si="32"/>
        <v>25</v>
      </c>
      <c r="R57" s="275">
        <f t="shared" si="32"/>
        <v>25</v>
      </c>
      <c r="S57" s="275">
        <f t="shared" si="32"/>
        <v>25</v>
      </c>
      <c r="T57" s="275">
        <f t="shared" si="32"/>
        <v>25</v>
      </c>
      <c r="U57" s="275">
        <f t="shared" si="32"/>
        <v>25</v>
      </c>
      <c r="V57" s="275">
        <f t="shared" si="32"/>
        <v>25</v>
      </c>
      <c r="W57" s="564"/>
      <c r="X57" s="564"/>
      <c r="Y57" s="564"/>
      <c r="Z57" s="564"/>
      <c r="AA57" s="564"/>
      <c r="AB57" s="564"/>
      <c r="AC57" s="564"/>
      <c r="AD57" s="564"/>
      <c r="AE57" s="564"/>
    </row>
    <row r="58" spans="2:31" x14ac:dyDescent="0.2">
      <c r="C58" s="5" t="s">
        <v>736</v>
      </c>
      <c r="E58" s="318">
        <f>G58</f>
        <v>576.9814074463992</v>
      </c>
      <c r="F58" s="5" t="s">
        <v>3</v>
      </c>
      <c r="G58" s="21">
        <f t="shared" si="27"/>
        <v>576.9814074463992</v>
      </c>
      <c r="I58" s="445">
        <f>SUM(I56:I57)</f>
        <v>576.9814074463992</v>
      </c>
      <c r="J58" s="445">
        <f>SUM(J56:J57)</f>
        <v>576.9814074463992</v>
      </c>
      <c r="K58" s="445">
        <f>SUM(K56:K57)</f>
        <v>576.9814074463992</v>
      </c>
      <c r="L58" s="445">
        <f t="shared" ref="L58:V58" si="33">SUM(L56:L57)</f>
        <v>576.9814074463992</v>
      </c>
      <c r="M58" s="445">
        <f t="shared" si="33"/>
        <v>576.9814074463992</v>
      </c>
      <c r="N58" s="445">
        <f t="shared" si="33"/>
        <v>576.9814074463992</v>
      </c>
      <c r="O58" s="445">
        <f t="shared" si="33"/>
        <v>576.9814074463992</v>
      </c>
      <c r="P58" s="445">
        <f t="shared" si="33"/>
        <v>576.9814074463992</v>
      </c>
      <c r="Q58" s="445">
        <f t="shared" si="33"/>
        <v>576.9814074463992</v>
      </c>
      <c r="R58" s="445">
        <f t="shared" si="33"/>
        <v>576.9814074463992</v>
      </c>
      <c r="S58" s="445">
        <f t="shared" si="33"/>
        <v>576.9814074463992</v>
      </c>
      <c r="T58" s="445">
        <f t="shared" si="33"/>
        <v>576.9814074463992</v>
      </c>
      <c r="U58" s="445">
        <f t="shared" si="33"/>
        <v>576.9814074463992</v>
      </c>
      <c r="V58" s="445">
        <f t="shared" si="33"/>
        <v>576.9814074463992</v>
      </c>
      <c r="W58" s="567"/>
      <c r="X58" s="567"/>
      <c r="Y58" s="567"/>
      <c r="Z58" s="567"/>
      <c r="AA58" s="567"/>
      <c r="AB58" s="567"/>
      <c r="AC58" s="567"/>
      <c r="AD58" s="567"/>
      <c r="AE58" s="567"/>
    </row>
    <row r="59" spans="2:31" x14ac:dyDescent="0.2">
      <c r="C59" s="5"/>
      <c r="E59" s="120"/>
      <c r="F59" s="5"/>
      <c r="I59" s="445"/>
      <c r="J59" s="445"/>
      <c r="K59" s="445"/>
      <c r="L59" s="445"/>
      <c r="M59" s="445"/>
      <c r="N59" s="445"/>
      <c r="O59" s="445"/>
      <c r="P59" s="445"/>
      <c r="Q59" s="445"/>
      <c r="R59" s="445"/>
      <c r="S59" s="445"/>
      <c r="T59" s="445"/>
      <c r="U59" s="445"/>
      <c r="V59" s="445"/>
      <c r="W59" s="567"/>
      <c r="X59" s="567"/>
      <c r="Y59" s="567"/>
      <c r="Z59" s="567"/>
      <c r="AA59" s="567"/>
      <c r="AB59" s="567"/>
      <c r="AC59" s="567"/>
      <c r="AD59" s="567"/>
      <c r="AE59" s="567"/>
    </row>
    <row r="60" spans="2:31" x14ac:dyDescent="0.2">
      <c r="C60" s="5" t="s">
        <v>743</v>
      </c>
      <c r="E60" s="387">
        <f>'Plant model'!E60</f>
        <v>0.6</v>
      </c>
      <c r="F60" s="5" t="s">
        <v>8</v>
      </c>
      <c r="G60" s="36">
        <f t="shared" si="27"/>
        <v>0.59999999999999987</v>
      </c>
      <c r="I60" s="36">
        <f>$E$60</f>
        <v>0.6</v>
      </c>
      <c r="J60" s="36">
        <f>$E$60</f>
        <v>0.6</v>
      </c>
      <c r="K60" s="36">
        <f>$E$60</f>
        <v>0.6</v>
      </c>
      <c r="L60" s="36">
        <f t="shared" ref="L60:V60" si="34">$E$60</f>
        <v>0.6</v>
      </c>
      <c r="M60" s="36">
        <f t="shared" si="34"/>
        <v>0.6</v>
      </c>
      <c r="N60" s="36">
        <f t="shared" si="34"/>
        <v>0.6</v>
      </c>
      <c r="O60" s="36">
        <f t="shared" si="34"/>
        <v>0.6</v>
      </c>
      <c r="P60" s="36">
        <f t="shared" si="34"/>
        <v>0.6</v>
      </c>
      <c r="Q60" s="36">
        <f t="shared" si="34"/>
        <v>0.6</v>
      </c>
      <c r="R60" s="36">
        <f t="shared" si="34"/>
        <v>0.6</v>
      </c>
      <c r="S60" s="36">
        <f t="shared" si="34"/>
        <v>0.6</v>
      </c>
      <c r="T60" s="36">
        <f t="shared" si="34"/>
        <v>0.6</v>
      </c>
      <c r="U60" s="36">
        <f t="shared" si="34"/>
        <v>0.6</v>
      </c>
      <c r="V60" s="36">
        <f t="shared" si="34"/>
        <v>0.6</v>
      </c>
      <c r="W60" s="565"/>
      <c r="X60" s="565"/>
      <c r="Y60" s="565"/>
      <c r="Z60" s="565"/>
      <c r="AA60" s="565"/>
      <c r="AB60" s="565"/>
      <c r="AC60" s="565"/>
      <c r="AD60" s="565"/>
      <c r="AE60" s="565"/>
    </row>
    <row r="61" spans="2:31" x14ac:dyDescent="0.2">
      <c r="C61" s="5" t="s">
        <v>388</v>
      </c>
      <c r="E61" s="318">
        <f>G61</f>
        <v>346.18884446783943</v>
      </c>
      <c r="F61" s="5" t="s">
        <v>3</v>
      </c>
      <c r="G61" s="21">
        <f t="shared" si="27"/>
        <v>346.18884446783943</v>
      </c>
      <c r="I61" s="445">
        <f>I58*I60</f>
        <v>346.18884446783949</v>
      </c>
      <c r="J61" s="445">
        <f>J58*J60</f>
        <v>346.18884446783949</v>
      </c>
      <c r="K61" s="445">
        <f>K58*K60</f>
        <v>346.18884446783949</v>
      </c>
      <c r="L61" s="445">
        <f t="shared" ref="L61:V61" si="35">L58*L60</f>
        <v>346.18884446783949</v>
      </c>
      <c r="M61" s="445">
        <f t="shared" si="35"/>
        <v>346.18884446783949</v>
      </c>
      <c r="N61" s="445">
        <f t="shared" si="35"/>
        <v>346.18884446783949</v>
      </c>
      <c r="O61" s="445">
        <f t="shared" si="35"/>
        <v>346.18884446783949</v>
      </c>
      <c r="P61" s="445">
        <f t="shared" si="35"/>
        <v>346.18884446783949</v>
      </c>
      <c r="Q61" s="445">
        <f t="shared" si="35"/>
        <v>346.18884446783949</v>
      </c>
      <c r="R61" s="445">
        <f t="shared" si="35"/>
        <v>346.18884446783949</v>
      </c>
      <c r="S61" s="445">
        <f t="shared" si="35"/>
        <v>346.18884446783949</v>
      </c>
      <c r="T61" s="445">
        <f t="shared" si="35"/>
        <v>346.18884446783949</v>
      </c>
      <c r="U61" s="445">
        <f t="shared" si="35"/>
        <v>346.18884446783949</v>
      </c>
      <c r="V61" s="445">
        <f t="shared" si="35"/>
        <v>346.18884446783949</v>
      </c>
      <c r="W61" s="567"/>
      <c r="X61" s="567"/>
      <c r="Y61" s="567"/>
      <c r="Z61" s="567"/>
      <c r="AA61" s="567"/>
      <c r="AB61" s="567"/>
      <c r="AC61" s="567"/>
      <c r="AD61" s="567"/>
      <c r="AE61" s="567"/>
    </row>
    <row r="62" spans="2:31" x14ac:dyDescent="0.2">
      <c r="C62" s="5"/>
      <c r="E62" s="2"/>
      <c r="L62" s="12"/>
      <c r="M62" s="12"/>
      <c r="N62" s="12"/>
      <c r="O62" s="12"/>
      <c r="P62" s="12"/>
      <c r="Q62" s="12"/>
      <c r="R62" s="12"/>
      <c r="S62" s="12"/>
      <c r="T62" s="12"/>
      <c r="U62" s="12"/>
      <c r="V62" s="12"/>
      <c r="W62" s="562"/>
      <c r="X62" s="562"/>
      <c r="Y62" s="562"/>
      <c r="Z62" s="562"/>
      <c r="AA62" s="562"/>
      <c r="AB62" s="562"/>
      <c r="AC62" s="562"/>
      <c r="AD62" s="562"/>
      <c r="AE62" s="562"/>
    </row>
    <row r="63" spans="2:31" x14ac:dyDescent="0.2">
      <c r="C63" s="20" t="s">
        <v>866</v>
      </c>
      <c r="E63" s="2"/>
      <c r="L63" s="12"/>
      <c r="M63" s="12"/>
      <c r="N63" s="12"/>
      <c r="O63" s="12"/>
      <c r="P63" s="12"/>
      <c r="Q63" s="12"/>
      <c r="R63" s="12"/>
      <c r="S63" s="12"/>
      <c r="T63" s="12"/>
      <c r="U63" s="12"/>
      <c r="V63" s="12"/>
      <c r="W63" s="562"/>
      <c r="X63" s="562"/>
      <c r="Y63" s="562"/>
      <c r="Z63" s="562"/>
      <c r="AA63" s="562"/>
      <c r="AB63" s="562"/>
      <c r="AC63" s="562"/>
      <c r="AD63" s="562"/>
      <c r="AE63" s="562"/>
    </row>
    <row r="64" spans="2:31" x14ac:dyDescent="0.2">
      <c r="C64" s="5" t="s">
        <v>385</v>
      </c>
      <c r="E64" s="318">
        <f>G64</f>
        <v>677.45747240546382</v>
      </c>
      <c r="G64" s="21">
        <f t="shared" ref="G64:G68" si="36">AVERAGE(I64:AE64)</f>
        <v>677.45747240546382</v>
      </c>
      <c r="I64" s="21">
        <f>I65+I66</f>
        <v>677.45747240546382</v>
      </c>
      <c r="J64" s="21">
        <f>J65+J66</f>
        <v>677.45747240546382</v>
      </c>
      <c r="K64" s="21">
        <f>K65+K66</f>
        <v>677.45747240546382</v>
      </c>
      <c r="L64" s="21">
        <f t="shared" ref="L64:V64" si="37">L65+L66</f>
        <v>677.45747240546382</v>
      </c>
      <c r="M64" s="21">
        <f t="shared" si="37"/>
        <v>677.45747240546382</v>
      </c>
      <c r="N64" s="21">
        <f t="shared" si="37"/>
        <v>677.45747240546382</v>
      </c>
      <c r="O64" s="21">
        <f t="shared" si="37"/>
        <v>677.45747240546382</v>
      </c>
      <c r="P64" s="21">
        <f t="shared" si="37"/>
        <v>677.45747240546382</v>
      </c>
      <c r="Q64" s="21">
        <f t="shared" si="37"/>
        <v>677.45747240546382</v>
      </c>
      <c r="R64" s="21">
        <f t="shared" si="37"/>
        <v>677.45747240546382</v>
      </c>
      <c r="S64" s="21">
        <f t="shared" si="37"/>
        <v>677.45747240546382</v>
      </c>
      <c r="T64" s="21">
        <f t="shared" si="37"/>
        <v>677.45747240546382</v>
      </c>
      <c r="U64" s="21">
        <f t="shared" si="37"/>
        <v>677.45747240546382</v>
      </c>
      <c r="V64" s="21">
        <f t="shared" si="37"/>
        <v>677.45747240546382</v>
      </c>
      <c r="W64" s="563"/>
      <c r="X64" s="563"/>
      <c r="Y64" s="563"/>
      <c r="Z64" s="563"/>
      <c r="AA64" s="563"/>
      <c r="AB64" s="563"/>
      <c r="AC64" s="563"/>
      <c r="AD64" s="563"/>
      <c r="AE64" s="563"/>
    </row>
    <row r="65" spans="2:36" x14ac:dyDescent="0.2">
      <c r="C65" s="5" t="s">
        <v>867</v>
      </c>
      <c r="E65" s="318">
        <f>E50</f>
        <v>100</v>
      </c>
      <c r="G65" s="21">
        <f t="shared" si="36"/>
        <v>100</v>
      </c>
      <c r="I65" s="21">
        <f>$E65</f>
        <v>100</v>
      </c>
      <c r="J65" s="21">
        <f>$E65</f>
        <v>100</v>
      </c>
      <c r="K65" s="21">
        <f>$E65</f>
        <v>100</v>
      </c>
      <c r="L65" s="21">
        <f t="shared" ref="L65:V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563"/>
      <c r="X65" s="563"/>
      <c r="Y65" s="563"/>
      <c r="Z65" s="563"/>
      <c r="AA65" s="563"/>
      <c r="AB65" s="563"/>
      <c r="AC65" s="563"/>
      <c r="AD65" s="563"/>
      <c r="AE65" s="563"/>
    </row>
    <row r="66" spans="2:36" x14ac:dyDescent="0.2">
      <c r="C66" s="5" t="s">
        <v>386</v>
      </c>
      <c r="E66" s="318">
        <f>G66</f>
        <v>577.45747240546382</v>
      </c>
      <c r="G66" s="21">
        <f t="shared" si="36"/>
        <v>577.45747240546382</v>
      </c>
      <c r="I66" s="21">
        <f>($E$46/$E$36)*I56</f>
        <v>577.45747240546382</v>
      </c>
      <c r="J66" s="21">
        <f>($E$46/$E$36)*J56</f>
        <v>577.45747240546382</v>
      </c>
      <c r="K66" s="21">
        <f>($E$46/$E$36)*K56</f>
        <v>577.45747240546382</v>
      </c>
      <c r="L66" s="21">
        <f t="shared" ref="L66:V66" si="39">($E$46/$E$36)*L56</f>
        <v>577.45747240546382</v>
      </c>
      <c r="M66" s="21">
        <f t="shared" si="39"/>
        <v>577.45747240546382</v>
      </c>
      <c r="N66" s="21">
        <f t="shared" si="39"/>
        <v>577.45747240546382</v>
      </c>
      <c r="O66" s="21">
        <f t="shared" si="39"/>
        <v>577.45747240546382</v>
      </c>
      <c r="P66" s="21">
        <f t="shared" si="39"/>
        <v>577.45747240546382</v>
      </c>
      <c r="Q66" s="21">
        <f t="shared" si="39"/>
        <v>577.45747240546382</v>
      </c>
      <c r="R66" s="21">
        <f t="shared" si="39"/>
        <v>577.45747240546382</v>
      </c>
      <c r="S66" s="21">
        <f t="shared" si="39"/>
        <v>577.45747240546382</v>
      </c>
      <c r="T66" s="21">
        <f t="shared" si="39"/>
        <v>577.45747240546382</v>
      </c>
      <c r="U66" s="21">
        <f t="shared" si="39"/>
        <v>577.45747240546382</v>
      </c>
      <c r="V66" s="21">
        <f t="shared" si="39"/>
        <v>577.45747240546382</v>
      </c>
      <c r="W66" s="563"/>
      <c r="X66" s="563"/>
      <c r="Y66" s="563"/>
      <c r="Z66" s="563"/>
      <c r="AA66" s="563"/>
      <c r="AB66" s="563"/>
      <c r="AC66" s="563"/>
      <c r="AD66" s="563"/>
      <c r="AE66" s="563"/>
    </row>
    <row r="67" spans="2:36" x14ac:dyDescent="0.2">
      <c r="C67" s="5"/>
      <c r="E67" s="2"/>
      <c r="L67" s="12"/>
      <c r="M67" s="12"/>
      <c r="N67" s="12"/>
      <c r="O67" s="12"/>
      <c r="P67" s="12"/>
      <c r="Q67" s="12"/>
      <c r="R67" s="12"/>
      <c r="S67" s="12"/>
      <c r="T67" s="12"/>
      <c r="U67" s="12"/>
      <c r="V67" s="12"/>
      <c r="W67" s="562"/>
      <c r="X67" s="562"/>
      <c r="Y67" s="562"/>
      <c r="Z67" s="562"/>
      <c r="AA67" s="562"/>
      <c r="AB67" s="562"/>
      <c r="AC67" s="562"/>
      <c r="AD67" s="562"/>
      <c r="AE67" s="562"/>
    </row>
    <row r="68" spans="2:36" s="5" customFormat="1" x14ac:dyDescent="0.2">
      <c r="B68" s="119">
        <f>B48+0.01</f>
        <v>1.3300000000000003</v>
      </c>
      <c r="C68" s="20" t="s">
        <v>747</v>
      </c>
      <c r="E68" s="257">
        <f>'Plant model'!E68</f>
        <v>0</v>
      </c>
      <c r="F68" s="5" t="s">
        <v>3</v>
      </c>
      <c r="G68" s="21">
        <f t="shared" si="36"/>
        <v>0</v>
      </c>
      <c r="I68" s="45">
        <f>$E68</f>
        <v>0</v>
      </c>
      <c r="J68" s="45">
        <f>$E68</f>
        <v>0</v>
      </c>
      <c r="K68" s="45">
        <f>$E68</f>
        <v>0</v>
      </c>
      <c r="L68" s="45">
        <f>$E68</f>
        <v>0</v>
      </c>
      <c r="M68" s="45">
        <f t="shared" ref="M68:V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568"/>
      <c r="X68" s="568"/>
      <c r="Y68" s="568"/>
      <c r="Z68" s="568"/>
      <c r="AA68" s="568"/>
      <c r="AB68" s="568"/>
      <c r="AC68" s="568"/>
      <c r="AD68" s="568"/>
      <c r="AE68" s="568"/>
      <c r="AF68" s="67"/>
      <c r="AG68" s="67"/>
      <c r="AH68" s="67"/>
      <c r="AI68" s="67"/>
      <c r="AJ68" s="67"/>
    </row>
    <row r="69" spans="2:36" x14ac:dyDescent="0.2">
      <c r="E69" s="2"/>
      <c r="L69" s="14"/>
      <c r="M69" s="14"/>
      <c r="N69" s="14"/>
      <c r="O69" s="14"/>
      <c r="P69" s="14"/>
      <c r="Q69" s="14"/>
      <c r="R69" s="14"/>
      <c r="S69" s="14"/>
      <c r="T69" s="14"/>
      <c r="U69" s="14"/>
      <c r="V69" s="14"/>
      <c r="W69" s="562"/>
      <c r="X69" s="562"/>
      <c r="Y69" s="562"/>
      <c r="Z69" s="562"/>
      <c r="AA69" s="562"/>
      <c r="AB69" s="562"/>
      <c r="AC69" s="562"/>
      <c r="AD69" s="562"/>
      <c r="AE69" s="562"/>
    </row>
    <row r="70" spans="2:36" ht="15" x14ac:dyDescent="0.25">
      <c r="B70" s="10">
        <f>B19+0.1</f>
        <v>1.4000000000000004</v>
      </c>
      <c r="C70" s="9" t="s">
        <v>4</v>
      </c>
      <c r="D70" s="9"/>
      <c r="E70" s="2"/>
      <c r="L70" s="14"/>
      <c r="M70" s="14"/>
      <c r="N70" s="14"/>
      <c r="O70" s="165"/>
      <c r="P70" s="166"/>
      <c r="Q70" s="166"/>
      <c r="R70" s="165"/>
      <c r="S70" s="166"/>
      <c r="T70" s="167"/>
      <c r="U70" s="168"/>
      <c r="V70" s="168"/>
      <c r="W70" s="569"/>
      <c r="Z70" s="570"/>
      <c r="AA70" s="562"/>
      <c r="AB70" s="562"/>
      <c r="AC70" s="562"/>
      <c r="AD70" s="562"/>
      <c r="AE70" s="562"/>
    </row>
    <row r="71" spans="2:36" ht="15" x14ac:dyDescent="0.25">
      <c r="E71" s="2"/>
      <c r="L71" s="14"/>
      <c r="M71" s="14"/>
      <c r="N71" s="14"/>
      <c r="O71" s="165"/>
      <c r="P71" s="169"/>
      <c r="Q71" s="169"/>
      <c r="R71" s="165"/>
      <c r="S71" s="165"/>
      <c r="T71" s="168"/>
      <c r="U71" s="170"/>
      <c r="V71" s="170"/>
      <c r="W71" s="569"/>
      <c r="Z71" s="570"/>
      <c r="AA71" s="562"/>
      <c r="AB71" s="562"/>
      <c r="AC71" s="562"/>
      <c r="AD71" s="562"/>
      <c r="AE71" s="562"/>
    </row>
    <row r="72" spans="2:36" ht="15" x14ac:dyDescent="0.25">
      <c r="C72" s="1" t="s">
        <v>915</v>
      </c>
      <c r="E72" s="76">
        <f>365/4</f>
        <v>91.25</v>
      </c>
      <c r="F72" s="1" t="s">
        <v>6</v>
      </c>
      <c r="M72" s="14"/>
      <c r="N72" s="14"/>
      <c r="O72" s="171"/>
      <c r="P72" s="172"/>
      <c r="Q72" s="171"/>
      <c r="R72" s="173"/>
      <c r="S72" s="174"/>
      <c r="T72" s="175"/>
      <c r="U72" s="176"/>
      <c r="V72" s="177"/>
      <c r="W72" s="571"/>
      <c r="Z72" s="572"/>
      <c r="AA72" s="573"/>
      <c r="AB72" s="562"/>
      <c r="AC72" s="562"/>
      <c r="AD72" s="562"/>
      <c r="AE72" s="562"/>
    </row>
    <row r="73" spans="2:36" ht="15" x14ac:dyDescent="0.25">
      <c r="C73" s="1" t="s">
        <v>7</v>
      </c>
      <c r="E73" s="387">
        <f>'Plant model'!E73</f>
        <v>0.9</v>
      </c>
      <c r="F73" s="1" t="s">
        <v>8</v>
      </c>
      <c r="M73" s="14"/>
      <c r="N73" s="14"/>
      <c r="O73" s="165"/>
      <c r="P73" s="172"/>
      <c r="Q73" s="171"/>
      <c r="R73" s="173"/>
      <c r="S73" s="174"/>
      <c r="T73" s="175"/>
      <c r="U73" s="176"/>
      <c r="V73" s="177"/>
      <c r="W73" s="571"/>
      <c r="Z73" s="572"/>
      <c r="AA73" s="562"/>
      <c r="AB73" s="562"/>
      <c r="AC73" s="562"/>
      <c r="AD73" s="562"/>
      <c r="AE73" s="562"/>
    </row>
    <row r="74" spans="2:36" ht="15" x14ac:dyDescent="0.25">
      <c r="E74" s="55"/>
      <c r="M74" s="14"/>
      <c r="N74" s="14"/>
      <c r="O74" s="165"/>
      <c r="P74" s="172"/>
      <c r="Q74" s="171"/>
      <c r="R74" s="173"/>
      <c r="S74" s="174"/>
      <c r="T74" s="175"/>
      <c r="U74" s="176"/>
      <c r="V74" s="177"/>
      <c r="W74" s="571"/>
      <c r="Z74" s="572"/>
      <c r="AA74" s="562"/>
      <c r="AB74" s="562"/>
      <c r="AC74" s="562"/>
      <c r="AD74" s="562"/>
      <c r="AE74" s="562"/>
    </row>
    <row r="75" spans="2:36" ht="15" x14ac:dyDescent="0.25">
      <c r="C75" s="1" t="s">
        <v>9</v>
      </c>
      <c r="E75" s="55"/>
      <c r="M75" s="14"/>
      <c r="N75" s="14"/>
      <c r="O75" s="165"/>
      <c r="P75" s="172"/>
      <c r="Q75" s="171"/>
      <c r="R75" s="173"/>
      <c r="S75" s="174"/>
      <c r="T75" s="175"/>
      <c r="U75" s="176"/>
      <c r="V75" s="177"/>
      <c r="W75" s="571"/>
      <c r="Z75" s="572"/>
      <c r="AA75" s="562"/>
      <c r="AB75" s="562"/>
      <c r="AC75" s="562"/>
      <c r="AD75" s="562"/>
      <c r="AE75" s="562"/>
    </row>
    <row r="76" spans="2:36" ht="15" x14ac:dyDescent="0.25">
      <c r="C76" s="16" t="s">
        <v>10</v>
      </c>
      <c r="D76" s="16"/>
      <c r="E76" s="257">
        <f>'Plant model'!E76</f>
        <v>36.923000000000002</v>
      </c>
      <c r="F76" s="1" t="s">
        <v>11</v>
      </c>
      <c r="L76" s="35"/>
      <c r="M76" s="14"/>
      <c r="N76" s="14"/>
      <c r="O76" s="165"/>
      <c r="P76" s="171"/>
      <c r="Q76" s="171"/>
      <c r="R76" s="165"/>
      <c r="S76" s="171"/>
      <c r="T76" s="177"/>
      <c r="U76" s="177"/>
      <c r="V76" s="177"/>
      <c r="W76" s="574"/>
      <c r="Z76" s="562"/>
      <c r="AA76" s="562"/>
      <c r="AB76" s="562"/>
      <c r="AC76" s="562"/>
      <c r="AD76" s="562"/>
      <c r="AE76" s="562"/>
    </row>
    <row r="77" spans="2:36" x14ac:dyDescent="0.2">
      <c r="C77" s="16" t="s">
        <v>12</v>
      </c>
      <c r="D77" s="16"/>
      <c r="E77" s="257">
        <f>'Plant model'!E77</f>
        <v>947.9</v>
      </c>
      <c r="F77" s="1" t="s">
        <v>11</v>
      </c>
      <c r="L77" s="35"/>
      <c r="M77" s="17"/>
      <c r="N77" s="14"/>
      <c r="O77" s="5"/>
      <c r="P77" s="5"/>
      <c r="Q77" s="5"/>
      <c r="R77" s="5"/>
      <c r="S77" s="5"/>
      <c r="T77" s="20"/>
      <c r="U77" s="20"/>
      <c r="V77" s="20"/>
      <c r="W77" s="575"/>
      <c r="Z77" s="562"/>
      <c r="AA77" s="562"/>
      <c r="AB77" s="562"/>
      <c r="AC77" s="562"/>
      <c r="AD77" s="562"/>
      <c r="AE77" s="562"/>
    </row>
    <row r="78" spans="2:36" x14ac:dyDescent="0.2">
      <c r="C78" s="16" t="s">
        <v>13</v>
      </c>
      <c r="D78" s="16"/>
      <c r="E78" s="122">
        <f>E76*E77</f>
        <v>34999.311699999998</v>
      </c>
      <c r="F78" s="1" t="s">
        <v>11</v>
      </c>
      <c r="J78" s="164"/>
      <c r="M78" s="14"/>
      <c r="N78" s="14"/>
      <c r="O78" s="5"/>
      <c r="P78" s="151"/>
      <c r="Q78" s="151"/>
      <c r="R78" s="5"/>
      <c r="S78" s="5"/>
      <c r="T78" s="20"/>
      <c r="U78" s="180"/>
      <c r="V78" s="180"/>
      <c r="W78" s="576"/>
      <c r="Z78" s="562"/>
      <c r="AA78" s="562"/>
      <c r="AB78" s="562"/>
      <c r="AC78" s="562"/>
      <c r="AD78" s="562"/>
      <c r="AE78" s="562"/>
    </row>
    <row r="79" spans="2:36" x14ac:dyDescent="0.2">
      <c r="C79" s="49"/>
      <c r="E79" s="123"/>
      <c r="T79" s="148"/>
      <c r="U79" s="119"/>
      <c r="V79" s="119"/>
      <c r="W79" s="577"/>
    </row>
    <row r="80" spans="2:36" x14ac:dyDescent="0.2">
      <c r="B80" s="10">
        <f>B70+0.1</f>
        <v>1.5000000000000004</v>
      </c>
      <c r="C80" s="145" t="s">
        <v>322</v>
      </c>
      <c r="E80" s="123"/>
      <c r="T80" s="148"/>
      <c r="U80" s="119"/>
      <c r="V80" s="119"/>
      <c r="W80" s="577"/>
    </row>
    <row r="81" spans="2:31" x14ac:dyDescent="0.2">
      <c r="C81" s="49"/>
      <c r="E81" s="123"/>
      <c r="T81" s="148"/>
      <c r="U81" s="119"/>
      <c r="V81" s="119"/>
      <c r="W81" s="577"/>
    </row>
    <row r="82" spans="2:31" x14ac:dyDescent="0.2">
      <c r="C82" s="49" t="s">
        <v>480</v>
      </c>
      <c r="E82" s="449">
        <f>1+(E84-1)*'Fe MPI correlation'!AC34</f>
        <v>1</v>
      </c>
      <c r="F82" s="35"/>
      <c r="T82" s="148"/>
      <c r="U82" s="119"/>
      <c r="V82" s="119"/>
      <c r="W82" s="577"/>
    </row>
    <row r="83" spans="2:31" x14ac:dyDescent="0.2">
      <c r="C83" s="49" t="s">
        <v>323</v>
      </c>
      <c r="E83" s="449">
        <f>'Plant model'!E83</f>
        <v>1</v>
      </c>
      <c r="T83" s="148"/>
      <c r="U83" s="119"/>
      <c r="V83" s="119"/>
      <c r="W83" s="577"/>
    </row>
    <row r="84" spans="2:31" x14ac:dyDescent="0.2">
      <c r="C84" s="1" t="s">
        <v>325</v>
      </c>
      <c r="E84" s="449">
        <f>'Plant model'!E84</f>
        <v>1</v>
      </c>
      <c r="F84" s="35"/>
      <c r="T84" s="148"/>
      <c r="U84" s="119"/>
      <c r="V84" s="119"/>
      <c r="W84" s="577"/>
    </row>
    <row r="85" spans="2:31" x14ac:dyDescent="0.2">
      <c r="C85" s="49" t="s">
        <v>111</v>
      </c>
      <c r="E85" s="449">
        <f>'Plant model'!E85</f>
        <v>1</v>
      </c>
      <c r="M85" s="33"/>
      <c r="T85" s="148"/>
      <c r="U85" s="119"/>
      <c r="V85" s="119"/>
      <c r="W85" s="577"/>
    </row>
    <row r="86" spans="2:31" x14ac:dyDescent="0.2">
      <c r="C86" s="49" t="s">
        <v>324</v>
      </c>
      <c r="E86" s="449">
        <f>'Plant model'!E86</f>
        <v>1</v>
      </c>
      <c r="T86" s="148"/>
      <c r="U86" s="119"/>
      <c r="V86" s="119"/>
      <c r="W86" s="577"/>
    </row>
    <row r="87" spans="2:31" x14ac:dyDescent="0.2">
      <c r="C87" s="49" t="s">
        <v>578</v>
      </c>
      <c r="E87" s="449">
        <f>'Plant model'!E87</f>
        <v>1</v>
      </c>
      <c r="T87" s="148"/>
      <c r="U87" s="119"/>
      <c r="V87" s="119"/>
      <c r="W87" s="577"/>
    </row>
    <row r="88" spans="2:31" x14ac:dyDescent="0.2">
      <c r="E88" s="2"/>
    </row>
    <row r="89" spans="2:31" x14ac:dyDescent="0.2">
      <c r="B89" s="6"/>
      <c r="C89" s="6"/>
      <c r="D89" s="6"/>
      <c r="E89" s="7"/>
      <c r="F89" s="6"/>
      <c r="G89" s="6"/>
      <c r="H89" s="6"/>
      <c r="I89" s="6"/>
      <c r="J89" s="6"/>
      <c r="K89" s="6"/>
      <c r="L89" s="6"/>
      <c r="M89" s="6"/>
      <c r="N89" s="6"/>
      <c r="O89" s="6"/>
      <c r="P89" s="6"/>
      <c r="Q89" s="6"/>
      <c r="R89" s="6"/>
      <c r="S89" s="6"/>
      <c r="T89" s="6"/>
      <c r="U89" s="6"/>
      <c r="V89" s="6"/>
    </row>
    <row r="90" spans="2:31" x14ac:dyDescent="0.2">
      <c r="C90" s="5"/>
      <c r="D90" s="5"/>
    </row>
    <row r="91" spans="2:31" x14ac:dyDescent="0.2">
      <c r="B91" s="8">
        <f>B6+1</f>
        <v>2</v>
      </c>
      <c r="C91" s="20" t="s">
        <v>14</v>
      </c>
      <c r="D91" s="20"/>
      <c r="L91" s="17"/>
    </row>
    <row r="92" spans="2:31" x14ac:dyDescent="0.2">
      <c r="C92" s="20"/>
      <c r="D92" s="20"/>
    </row>
    <row r="93" spans="2:31" x14ac:dyDescent="0.2">
      <c r="B93" s="10">
        <f>B91+0.1</f>
        <v>2.1</v>
      </c>
      <c r="C93" s="20" t="s">
        <v>362</v>
      </c>
      <c r="D93" s="20"/>
    </row>
    <row r="94" spans="2:31" x14ac:dyDescent="0.2">
      <c r="B94" s="10"/>
      <c r="C94" s="20"/>
      <c r="D94" s="20"/>
    </row>
    <row r="95" spans="2:31" x14ac:dyDescent="0.2">
      <c r="B95" s="10"/>
      <c r="C95" s="5" t="s">
        <v>577</v>
      </c>
      <c r="D95" s="20"/>
      <c r="E95" s="269">
        <f>'Plant model'!E95/4</f>
        <v>0.10841824999999999</v>
      </c>
      <c r="F95" s="1" t="s">
        <v>914</v>
      </c>
    </row>
    <row r="96" spans="2:31" x14ac:dyDescent="0.2">
      <c r="B96" s="10"/>
      <c r="C96" s="5" t="s">
        <v>518</v>
      </c>
      <c r="D96" s="146">
        <f>E87</f>
        <v>1</v>
      </c>
      <c r="E96" s="318">
        <f>E95*E87</f>
        <v>0.10841824999999999</v>
      </c>
      <c r="F96" s="1" t="s">
        <v>914</v>
      </c>
      <c r="I96" s="121">
        <f>$E$96</f>
        <v>0.10841824999999999</v>
      </c>
      <c r="J96" s="121">
        <f t="shared" ref="J96:V96" si="41">$E$96</f>
        <v>0.10841824999999999</v>
      </c>
      <c r="K96" s="121">
        <f t="shared" si="41"/>
        <v>0.10841824999999999</v>
      </c>
      <c r="L96" s="121">
        <f t="shared" si="41"/>
        <v>0.10841824999999999</v>
      </c>
      <c r="M96" s="121">
        <f t="shared" si="41"/>
        <v>0.10841824999999999</v>
      </c>
      <c r="N96" s="121">
        <f t="shared" si="41"/>
        <v>0.10841824999999999</v>
      </c>
      <c r="O96" s="121">
        <f t="shared" si="41"/>
        <v>0.10841824999999999</v>
      </c>
      <c r="P96" s="121">
        <f t="shared" si="41"/>
        <v>0.10841824999999999</v>
      </c>
      <c r="Q96" s="121">
        <f t="shared" si="41"/>
        <v>0.10841824999999999</v>
      </c>
      <c r="R96" s="121">
        <f t="shared" si="41"/>
        <v>0.10841824999999999</v>
      </c>
      <c r="S96" s="121">
        <f t="shared" si="41"/>
        <v>0.10841824999999999</v>
      </c>
      <c r="T96" s="121">
        <f t="shared" si="41"/>
        <v>0.10841824999999999</v>
      </c>
      <c r="U96" s="121">
        <f t="shared" si="41"/>
        <v>0.10841824999999999</v>
      </c>
      <c r="V96" s="121">
        <f t="shared" si="41"/>
        <v>0.10841824999999999</v>
      </c>
      <c r="W96" s="578"/>
      <c r="X96" s="578"/>
      <c r="Y96" s="578"/>
      <c r="Z96" s="578"/>
      <c r="AA96" s="578"/>
      <c r="AB96" s="578"/>
      <c r="AC96" s="578"/>
      <c r="AD96" s="578"/>
      <c r="AE96" s="578"/>
    </row>
    <row r="97" spans="2:31" x14ac:dyDescent="0.2">
      <c r="B97" s="10"/>
      <c r="C97" s="5" t="s">
        <v>329</v>
      </c>
      <c r="D97" s="20"/>
      <c r="I97" s="152">
        <v>0</v>
      </c>
      <c r="J97" s="152">
        <v>0</v>
      </c>
      <c r="K97" s="152">
        <v>0</v>
      </c>
      <c r="L97" s="152">
        <v>0</v>
      </c>
      <c r="M97" s="152">
        <v>0</v>
      </c>
      <c r="N97" s="152">
        <v>0</v>
      </c>
      <c r="O97" s="152">
        <v>0</v>
      </c>
      <c r="P97" s="152">
        <v>0</v>
      </c>
      <c r="Q97" s="152">
        <v>0</v>
      </c>
      <c r="R97" s="152">
        <v>0</v>
      </c>
      <c r="S97" s="152">
        <v>0.5</v>
      </c>
      <c r="T97" s="152">
        <v>0.75</v>
      </c>
      <c r="U97" s="152">
        <v>1</v>
      </c>
      <c r="V97" s="152">
        <v>1</v>
      </c>
      <c r="W97" s="579"/>
      <c r="X97" s="579"/>
      <c r="Y97" s="579"/>
      <c r="Z97" s="579"/>
      <c r="AA97" s="579"/>
      <c r="AB97" s="579"/>
      <c r="AC97" s="579"/>
      <c r="AD97" s="579"/>
      <c r="AE97" s="579"/>
    </row>
    <row r="98" spans="2:31" x14ac:dyDescent="0.2">
      <c r="B98" s="10"/>
      <c r="C98" s="20"/>
      <c r="D98" s="20"/>
    </row>
    <row r="99" spans="2:31" x14ac:dyDescent="0.2">
      <c r="B99" s="10"/>
      <c r="C99" s="90" t="s">
        <v>527</v>
      </c>
      <c r="D99" s="5"/>
      <c r="E99" s="258"/>
      <c r="I99" s="18"/>
      <c r="J99" s="18"/>
      <c r="K99" s="18"/>
      <c r="L99" s="18"/>
      <c r="M99" s="18"/>
      <c r="N99" s="18"/>
      <c r="O99" s="18"/>
      <c r="P99" s="18"/>
      <c r="Q99" s="18"/>
      <c r="R99" s="18"/>
      <c r="S99" s="18"/>
      <c r="T99" s="18"/>
      <c r="U99" s="18"/>
      <c r="V99" s="18"/>
      <c r="W99" s="568"/>
      <c r="X99" s="568"/>
      <c r="Y99" s="568"/>
      <c r="Z99" s="568"/>
      <c r="AA99" s="568"/>
      <c r="AB99" s="568"/>
      <c r="AC99" s="568"/>
      <c r="AD99" s="568"/>
      <c r="AE99" s="568"/>
    </row>
    <row r="100" spans="2:31" x14ac:dyDescent="0.2">
      <c r="B100" s="10"/>
      <c r="C100" s="5" t="s">
        <v>385</v>
      </c>
      <c r="D100" s="20"/>
      <c r="E100" s="331">
        <f>1-E101-E102-E103</f>
        <v>0</v>
      </c>
      <c r="F100" s="1" t="s">
        <v>914</v>
      </c>
      <c r="G100" s="21">
        <f>SUM(J100:AE100)</f>
        <v>0</v>
      </c>
      <c r="I100" s="18">
        <f>$E100*I$97*I$96</f>
        <v>0</v>
      </c>
      <c r="J100" s="18">
        <f>$E100*J$97*J$96</f>
        <v>0</v>
      </c>
      <c r="K100" s="18">
        <f>$E100*K$97*K$96</f>
        <v>0</v>
      </c>
      <c r="L100" s="18">
        <f>$E100*L$97*L$96</f>
        <v>0</v>
      </c>
      <c r="M100" s="18">
        <f t="shared" ref="M100:V103" si="42">$E100*M$97*M$96</f>
        <v>0</v>
      </c>
      <c r="N100" s="18">
        <f t="shared" si="42"/>
        <v>0</v>
      </c>
      <c r="O100" s="18">
        <f t="shared" si="42"/>
        <v>0</v>
      </c>
      <c r="P100" s="18">
        <f t="shared" si="42"/>
        <v>0</v>
      </c>
      <c r="Q100" s="18">
        <f t="shared" si="42"/>
        <v>0</v>
      </c>
      <c r="R100" s="18">
        <f t="shared" si="42"/>
        <v>0</v>
      </c>
      <c r="S100" s="18">
        <f t="shared" si="42"/>
        <v>0</v>
      </c>
      <c r="T100" s="18">
        <f t="shared" si="42"/>
        <v>0</v>
      </c>
      <c r="U100" s="18">
        <f t="shared" si="42"/>
        <v>0</v>
      </c>
      <c r="V100" s="18">
        <f t="shared" si="42"/>
        <v>0</v>
      </c>
      <c r="W100" s="568"/>
      <c r="X100" s="568"/>
      <c r="Y100" s="568"/>
      <c r="Z100" s="568"/>
      <c r="AA100" s="568"/>
      <c r="AB100" s="568"/>
      <c r="AC100" s="568"/>
      <c r="AD100" s="568"/>
      <c r="AE100" s="568"/>
    </row>
    <row r="101" spans="2:31" x14ac:dyDescent="0.2">
      <c r="B101" s="10"/>
      <c r="C101" s="5" t="s">
        <v>390</v>
      </c>
      <c r="D101" s="20"/>
      <c r="E101" s="387">
        <f>'Plant model'!E101</f>
        <v>0</v>
      </c>
      <c r="F101" s="1" t="s">
        <v>914</v>
      </c>
      <c r="G101" s="21">
        <f t="shared" ref="G101:G104" si="43">SUM(J101:AE101)</f>
        <v>0</v>
      </c>
      <c r="I101" s="18">
        <f t="shared" ref="I101:L103" si="44">$E101*I$97*I$96</f>
        <v>0</v>
      </c>
      <c r="J101" s="18">
        <f t="shared" si="44"/>
        <v>0</v>
      </c>
      <c r="K101" s="18">
        <f t="shared" si="44"/>
        <v>0</v>
      </c>
      <c r="L101" s="18">
        <f t="shared" si="44"/>
        <v>0</v>
      </c>
      <c r="M101" s="18">
        <f t="shared" si="42"/>
        <v>0</v>
      </c>
      <c r="N101" s="18">
        <f t="shared" si="42"/>
        <v>0</v>
      </c>
      <c r="O101" s="18">
        <f t="shared" si="42"/>
        <v>0</v>
      </c>
      <c r="P101" s="18">
        <f t="shared" si="42"/>
        <v>0</v>
      </c>
      <c r="Q101" s="18">
        <f t="shared" si="42"/>
        <v>0</v>
      </c>
      <c r="R101" s="18">
        <f t="shared" si="42"/>
        <v>0</v>
      </c>
      <c r="S101" s="18">
        <f t="shared" si="42"/>
        <v>0</v>
      </c>
      <c r="T101" s="18">
        <f t="shared" si="42"/>
        <v>0</v>
      </c>
      <c r="U101" s="18">
        <f t="shared" si="42"/>
        <v>0</v>
      </c>
      <c r="V101" s="18">
        <f t="shared" si="42"/>
        <v>0</v>
      </c>
      <c r="W101" s="568"/>
      <c r="X101" s="568"/>
      <c r="Y101" s="568"/>
      <c r="Z101" s="568"/>
      <c r="AA101" s="568"/>
      <c r="AB101" s="568"/>
      <c r="AC101" s="568"/>
      <c r="AD101" s="568"/>
      <c r="AE101" s="568"/>
    </row>
    <row r="102" spans="2:31" x14ac:dyDescent="0.2">
      <c r="B102" s="10"/>
      <c r="C102" s="5" t="s">
        <v>386</v>
      </c>
      <c r="D102" s="20"/>
      <c r="E102" s="387">
        <f>'Plant model'!E102</f>
        <v>1</v>
      </c>
      <c r="F102" s="1" t="s">
        <v>914</v>
      </c>
      <c r="G102" s="21">
        <f t="shared" si="43"/>
        <v>0.35235931249999997</v>
      </c>
      <c r="I102" s="18">
        <f t="shared" si="44"/>
        <v>0</v>
      </c>
      <c r="J102" s="18">
        <f t="shared" si="44"/>
        <v>0</v>
      </c>
      <c r="K102" s="18">
        <f t="shared" si="44"/>
        <v>0</v>
      </c>
      <c r="L102" s="18">
        <f t="shared" si="44"/>
        <v>0</v>
      </c>
      <c r="M102" s="18">
        <f t="shared" si="42"/>
        <v>0</v>
      </c>
      <c r="N102" s="18">
        <f t="shared" si="42"/>
        <v>0</v>
      </c>
      <c r="O102" s="18">
        <f t="shared" si="42"/>
        <v>0</v>
      </c>
      <c r="P102" s="18">
        <f t="shared" si="42"/>
        <v>0</v>
      </c>
      <c r="Q102" s="18">
        <f t="shared" si="42"/>
        <v>0</v>
      </c>
      <c r="R102" s="18">
        <f t="shared" si="42"/>
        <v>0</v>
      </c>
      <c r="S102" s="18">
        <f t="shared" si="42"/>
        <v>5.4209124999999997E-2</v>
      </c>
      <c r="T102" s="18">
        <f t="shared" si="42"/>
        <v>8.1313687499999995E-2</v>
      </c>
      <c r="U102" s="18">
        <f t="shared" si="42"/>
        <v>0.10841824999999999</v>
      </c>
      <c r="V102" s="18">
        <f t="shared" si="42"/>
        <v>0.10841824999999999</v>
      </c>
      <c r="W102" s="568"/>
      <c r="X102" s="568"/>
      <c r="Y102" s="568"/>
      <c r="Z102" s="568"/>
      <c r="AA102" s="568"/>
      <c r="AB102" s="568"/>
      <c r="AC102" s="568"/>
      <c r="AD102" s="568"/>
      <c r="AE102" s="568"/>
    </row>
    <row r="103" spans="2:31" x14ac:dyDescent="0.2">
      <c r="B103" s="10"/>
      <c r="C103" s="5" t="s">
        <v>391</v>
      </c>
      <c r="D103" s="20"/>
      <c r="E103" s="387">
        <f>'Plant model'!E103</f>
        <v>0</v>
      </c>
      <c r="F103" s="1" t="s">
        <v>914</v>
      </c>
      <c r="G103" s="21">
        <f t="shared" si="43"/>
        <v>0</v>
      </c>
      <c r="I103" s="18">
        <f t="shared" si="44"/>
        <v>0</v>
      </c>
      <c r="J103" s="18">
        <f t="shared" si="44"/>
        <v>0</v>
      </c>
      <c r="K103" s="18">
        <f t="shared" si="44"/>
        <v>0</v>
      </c>
      <c r="L103" s="18">
        <f t="shared" si="44"/>
        <v>0</v>
      </c>
      <c r="M103" s="18">
        <f t="shared" si="42"/>
        <v>0</v>
      </c>
      <c r="N103" s="18">
        <f t="shared" si="42"/>
        <v>0</v>
      </c>
      <c r="O103" s="18">
        <f t="shared" si="42"/>
        <v>0</v>
      </c>
      <c r="P103" s="18">
        <f t="shared" si="42"/>
        <v>0</v>
      </c>
      <c r="Q103" s="18">
        <f t="shared" si="42"/>
        <v>0</v>
      </c>
      <c r="R103" s="18">
        <f t="shared" si="42"/>
        <v>0</v>
      </c>
      <c r="S103" s="18">
        <f t="shared" si="42"/>
        <v>0</v>
      </c>
      <c r="T103" s="18">
        <f t="shared" si="42"/>
        <v>0</v>
      </c>
      <c r="U103" s="18">
        <f t="shared" si="42"/>
        <v>0</v>
      </c>
      <c r="V103" s="18">
        <f t="shared" si="42"/>
        <v>0</v>
      </c>
      <c r="W103" s="568"/>
      <c r="X103" s="568"/>
      <c r="Y103" s="568"/>
      <c r="Z103" s="568"/>
      <c r="AA103" s="568"/>
      <c r="AB103" s="568"/>
      <c r="AC103" s="568"/>
      <c r="AD103" s="568"/>
      <c r="AE103" s="568"/>
    </row>
    <row r="104" spans="2:31" x14ac:dyDescent="0.2">
      <c r="B104" s="10"/>
      <c r="C104" s="5" t="s">
        <v>45</v>
      </c>
      <c r="D104" s="20"/>
      <c r="E104" s="260">
        <f>SUM(E100:E103)</f>
        <v>1</v>
      </c>
      <c r="F104" s="1" t="s">
        <v>914</v>
      </c>
      <c r="G104" s="21">
        <f t="shared" si="43"/>
        <v>0.35235931249999997</v>
      </c>
      <c r="I104" s="18">
        <f>SUM(I100:I103)</f>
        <v>0</v>
      </c>
      <c r="J104" s="18">
        <f>SUM(J100:J103)</f>
        <v>0</v>
      </c>
      <c r="K104" s="18">
        <f>SUM(K100:K103)</f>
        <v>0</v>
      </c>
      <c r="L104" s="18">
        <f>SUM(L100:L103)</f>
        <v>0</v>
      </c>
      <c r="M104" s="18">
        <f t="shared" ref="M104:V104" si="45">SUM(M100:M103)</f>
        <v>0</v>
      </c>
      <c r="N104" s="18">
        <f t="shared" si="45"/>
        <v>0</v>
      </c>
      <c r="O104" s="18">
        <f t="shared" si="45"/>
        <v>0</v>
      </c>
      <c r="P104" s="18">
        <f t="shared" si="45"/>
        <v>0</v>
      </c>
      <c r="Q104" s="18">
        <f t="shared" si="45"/>
        <v>0</v>
      </c>
      <c r="R104" s="18">
        <f t="shared" si="45"/>
        <v>0</v>
      </c>
      <c r="S104" s="18">
        <f t="shared" si="45"/>
        <v>5.4209124999999997E-2</v>
      </c>
      <c r="T104" s="18">
        <f t="shared" si="45"/>
        <v>8.1313687499999995E-2</v>
      </c>
      <c r="U104" s="18">
        <f t="shared" si="45"/>
        <v>0.10841824999999999</v>
      </c>
      <c r="V104" s="18">
        <f t="shared" si="45"/>
        <v>0.10841824999999999</v>
      </c>
      <c r="W104" s="568"/>
      <c r="X104" s="568"/>
      <c r="Y104" s="568"/>
      <c r="Z104" s="568"/>
      <c r="AA104" s="568"/>
      <c r="AB104" s="568"/>
      <c r="AC104" s="568"/>
      <c r="AD104" s="568"/>
      <c r="AE104" s="568"/>
    </row>
    <row r="105" spans="2:31" x14ac:dyDescent="0.2">
      <c r="B105" s="10"/>
      <c r="C105" s="5"/>
      <c r="D105" s="20"/>
      <c r="E105" s="260"/>
      <c r="G105" s="21"/>
      <c r="I105" s="18"/>
      <c r="J105" s="18"/>
      <c r="K105" s="18"/>
      <c r="L105" s="18"/>
      <c r="M105" s="18"/>
      <c r="N105" s="18"/>
      <c r="O105" s="18"/>
      <c r="P105" s="18"/>
      <c r="Q105" s="18"/>
      <c r="R105" s="18"/>
      <c r="S105" s="18"/>
      <c r="T105" s="18"/>
      <c r="U105" s="18"/>
      <c r="V105" s="18"/>
      <c r="W105" s="568"/>
      <c r="X105" s="568"/>
      <c r="Y105" s="568"/>
      <c r="Z105" s="568"/>
      <c r="AA105" s="568"/>
      <c r="AB105" s="568"/>
      <c r="AC105" s="568"/>
      <c r="AD105" s="568"/>
      <c r="AE105" s="568"/>
    </row>
    <row r="106" spans="2:31" x14ac:dyDescent="0.2">
      <c r="B106" s="10"/>
      <c r="C106" s="90" t="s">
        <v>868</v>
      </c>
      <c r="D106" s="20"/>
      <c r="E106" s="260"/>
      <c r="G106" s="21"/>
      <c r="I106" s="18"/>
      <c r="J106" s="18"/>
      <c r="K106" s="18"/>
      <c r="L106" s="18"/>
      <c r="M106" s="18"/>
      <c r="N106" s="18"/>
      <c r="O106" s="18"/>
      <c r="P106" s="18"/>
      <c r="Q106" s="18"/>
      <c r="R106" s="18"/>
      <c r="S106" s="18"/>
      <c r="T106" s="18"/>
      <c r="U106" s="18"/>
      <c r="V106" s="18"/>
      <c r="W106" s="568"/>
      <c r="X106" s="568"/>
      <c r="Y106" s="568"/>
      <c r="Z106" s="568"/>
      <c r="AA106" s="568"/>
      <c r="AB106" s="568"/>
      <c r="AC106" s="568"/>
      <c r="AD106" s="568"/>
      <c r="AE106" s="568"/>
    </row>
    <row r="107" spans="2:31" x14ac:dyDescent="0.2">
      <c r="B107" s="10"/>
      <c r="C107" s="47" t="s">
        <v>385</v>
      </c>
      <c r="D107" s="20"/>
      <c r="E107" s="260"/>
      <c r="G107" s="21"/>
      <c r="I107" s="18"/>
      <c r="J107" s="18"/>
      <c r="K107" s="18"/>
      <c r="L107" s="18"/>
      <c r="M107" s="18"/>
      <c r="N107" s="18"/>
      <c r="O107" s="18"/>
      <c r="P107" s="18"/>
      <c r="Q107" s="18"/>
      <c r="R107" s="18"/>
      <c r="S107" s="18"/>
      <c r="T107" s="18"/>
      <c r="U107" s="18"/>
      <c r="V107" s="18"/>
      <c r="W107" s="568"/>
      <c r="X107" s="568"/>
      <c r="Y107" s="568"/>
      <c r="Z107" s="568"/>
      <c r="AA107" s="568"/>
      <c r="AB107" s="568"/>
      <c r="AC107" s="568"/>
      <c r="AD107" s="568"/>
      <c r="AE107" s="568"/>
    </row>
    <row r="108" spans="2:31" x14ac:dyDescent="0.2">
      <c r="B108" s="10"/>
      <c r="C108" s="5" t="s">
        <v>869</v>
      </c>
      <c r="D108" s="20"/>
      <c r="E108" s="387">
        <f>'Plant model'!E108</f>
        <v>1</v>
      </c>
      <c r="F108" s="1" t="s">
        <v>914</v>
      </c>
      <c r="G108" s="21">
        <f t="shared" ref="G108:G109" si="46">SUM(K108:AE108)</f>
        <v>0</v>
      </c>
      <c r="I108" s="18">
        <f t="shared" ref="I108:K109" si="47">I$100*$E108</f>
        <v>0</v>
      </c>
      <c r="J108" s="18">
        <f t="shared" si="47"/>
        <v>0</v>
      </c>
      <c r="K108" s="18">
        <f t="shared" si="47"/>
        <v>0</v>
      </c>
      <c r="L108" s="18">
        <f t="shared" ref="L108:V109" si="48">L$100*$E108</f>
        <v>0</v>
      </c>
      <c r="M108" s="18">
        <f t="shared" si="48"/>
        <v>0</v>
      </c>
      <c r="N108" s="18">
        <f t="shared" si="48"/>
        <v>0</v>
      </c>
      <c r="O108" s="18">
        <f t="shared" si="48"/>
        <v>0</v>
      </c>
      <c r="P108" s="18">
        <f t="shared" si="48"/>
        <v>0</v>
      </c>
      <c r="Q108" s="18">
        <f t="shared" si="48"/>
        <v>0</v>
      </c>
      <c r="R108" s="18">
        <f t="shared" si="48"/>
        <v>0</v>
      </c>
      <c r="S108" s="18">
        <f t="shared" si="48"/>
        <v>0</v>
      </c>
      <c r="T108" s="18">
        <f t="shared" si="48"/>
        <v>0</v>
      </c>
      <c r="U108" s="18">
        <f t="shared" si="48"/>
        <v>0</v>
      </c>
      <c r="V108" s="18">
        <f t="shared" si="48"/>
        <v>0</v>
      </c>
      <c r="W108" s="568"/>
      <c r="X108" s="568"/>
      <c r="Y108" s="568"/>
      <c r="Z108" s="568"/>
      <c r="AA108" s="568"/>
      <c r="AB108" s="568"/>
      <c r="AC108" s="568"/>
      <c r="AD108" s="568"/>
      <c r="AE108" s="568"/>
    </row>
    <row r="109" spans="2:31" x14ac:dyDescent="0.2">
      <c r="B109" s="10"/>
      <c r="C109" s="5" t="s">
        <v>870</v>
      </c>
      <c r="D109" s="20"/>
      <c r="E109" s="500">
        <f>1-E108</f>
        <v>0</v>
      </c>
      <c r="F109" s="1" t="s">
        <v>914</v>
      </c>
      <c r="G109" s="21">
        <f t="shared" si="46"/>
        <v>0</v>
      </c>
      <c r="I109" s="18">
        <f t="shared" si="47"/>
        <v>0</v>
      </c>
      <c r="J109" s="18">
        <f t="shared" si="47"/>
        <v>0</v>
      </c>
      <c r="K109" s="18">
        <f t="shared" si="47"/>
        <v>0</v>
      </c>
      <c r="L109" s="18">
        <f t="shared" si="48"/>
        <v>0</v>
      </c>
      <c r="M109" s="18">
        <f t="shared" si="48"/>
        <v>0</v>
      </c>
      <c r="N109" s="18">
        <f t="shared" si="48"/>
        <v>0</v>
      </c>
      <c r="O109" s="18">
        <f t="shared" si="48"/>
        <v>0</v>
      </c>
      <c r="P109" s="18">
        <f t="shared" si="48"/>
        <v>0</v>
      </c>
      <c r="Q109" s="18">
        <f t="shared" si="48"/>
        <v>0</v>
      </c>
      <c r="R109" s="18">
        <f t="shared" si="48"/>
        <v>0</v>
      </c>
      <c r="S109" s="18">
        <f t="shared" si="48"/>
        <v>0</v>
      </c>
      <c r="T109" s="18">
        <f t="shared" si="48"/>
        <v>0</v>
      </c>
      <c r="U109" s="18">
        <f t="shared" si="48"/>
        <v>0</v>
      </c>
      <c r="V109" s="18">
        <f t="shared" si="48"/>
        <v>0</v>
      </c>
      <c r="W109" s="568"/>
      <c r="X109" s="568"/>
      <c r="Y109" s="568"/>
      <c r="Z109" s="568"/>
      <c r="AA109" s="568"/>
      <c r="AB109" s="568"/>
      <c r="AC109" s="568"/>
      <c r="AD109" s="568"/>
      <c r="AE109" s="568"/>
    </row>
    <row r="110" spans="2:31" x14ac:dyDescent="0.2">
      <c r="B110" s="10"/>
      <c r="C110" s="5"/>
      <c r="D110" s="20"/>
      <c r="E110" s="260"/>
      <c r="G110" s="21"/>
      <c r="I110" s="18"/>
      <c r="J110" s="18"/>
      <c r="K110" s="18"/>
      <c r="L110" s="18"/>
      <c r="M110" s="18"/>
      <c r="N110" s="18"/>
      <c r="O110" s="18"/>
      <c r="P110" s="18"/>
      <c r="Q110" s="18"/>
      <c r="R110" s="18"/>
      <c r="S110" s="18"/>
      <c r="T110" s="18"/>
      <c r="U110" s="18"/>
      <c r="V110" s="18"/>
      <c r="W110" s="568"/>
      <c r="X110" s="568"/>
      <c r="Y110" s="568"/>
      <c r="Z110" s="568"/>
      <c r="AA110" s="568"/>
      <c r="AB110" s="568"/>
      <c r="AC110" s="568"/>
      <c r="AD110" s="568"/>
      <c r="AE110" s="568"/>
    </row>
    <row r="111" spans="2:31" x14ac:dyDescent="0.2">
      <c r="B111" s="10"/>
      <c r="C111" s="47" t="s">
        <v>386</v>
      </c>
      <c r="D111" s="20"/>
      <c r="E111" s="260"/>
      <c r="G111" s="21"/>
      <c r="I111" s="18"/>
      <c r="J111" s="18"/>
      <c r="K111" s="18"/>
      <c r="L111" s="18"/>
      <c r="M111" s="18"/>
      <c r="N111" s="18"/>
      <c r="O111" s="18"/>
      <c r="P111" s="18"/>
      <c r="Q111" s="18"/>
      <c r="R111" s="18"/>
      <c r="S111" s="18"/>
      <c r="T111" s="18"/>
      <c r="U111" s="18"/>
      <c r="V111" s="18"/>
      <c r="W111" s="568"/>
      <c r="X111" s="568"/>
      <c r="Y111" s="568"/>
      <c r="Z111" s="568"/>
      <c r="AA111" s="568"/>
      <c r="AB111" s="568"/>
      <c r="AC111" s="568"/>
      <c r="AD111" s="568"/>
      <c r="AE111" s="568"/>
    </row>
    <row r="112" spans="2:31" x14ac:dyDescent="0.2">
      <c r="B112" s="10"/>
      <c r="C112" s="5" t="s">
        <v>869</v>
      </c>
      <c r="D112" s="20"/>
      <c r="E112" s="387">
        <f>'Plant model'!E112</f>
        <v>0.5</v>
      </c>
      <c r="F112" s="1" t="s">
        <v>914</v>
      </c>
      <c r="G112" s="21">
        <f t="shared" ref="G112:G113" si="49">SUM(K112:AE112)</f>
        <v>0.17617965624999998</v>
      </c>
      <c r="I112" s="18">
        <f t="shared" ref="I112:K113" si="50">I$102*$E112</f>
        <v>0</v>
      </c>
      <c r="J112" s="18">
        <f t="shared" si="50"/>
        <v>0</v>
      </c>
      <c r="K112" s="18">
        <f t="shared" si="50"/>
        <v>0</v>
      </c>
      <c r="L112" s="18">
        <f t="shared" ref="L112:V113" si="51">L$102*$E112</f>
        <v>0</v>
      </c>
      <c r="M112" s="18">
        <f t="shared" si="51"/>
        <v>0</v>
      </c>
      <c r="N112" s="18">
        <f t="shared" si="51"/>
        <v>0</v>
      </c>
      <c r="O112" s="18">
        <f t="shared" si="51"/>
        <v>0</v>
      </c>
      <c r="P112" s="18">
        <f t="shared" si="51"/>
        <v>0</v>
      </c>
      <c r="Q112" s="18">
        <f t="shared" si="51"/>
        <v>0</v>
      </c>
      <c r="R112" s="18">
        <f t="shared" si="51"/>
        <v>0</v>
      </c>
      <c r="S112" s="18">
        <f t="shared" si="51"/>
        <v>2.7104562499999998E-2</v>
      </c>
      <c r="T112" s="18">
        <f t="shared" si="51"/>
        <v>4.0656843749999998E-2</v>
      </c>
      <c r="U112" s="18">
        <f t="shared" si="51"/>
        <v>5.4209124999999997E-2</v>
      </c>
      <c r="V112" s="18">
        <f t="shared" si="51"/>
        <v>5.4209124999999997E-2</v>
      </c>
      <c r="W112" s="568"/>
      <c r="X112" s="568"/>
      <c r="Y112" s="568"/>
      <c r="Z112" s="568"/>
      <c r="AA112" s="568"/>
      <c r="AB112" s="568"/>
      <c r="AC112" s="568"/>
      <c r="AD112" s="568"/>
      <c r="AE112" s="568"/>
    </row>
    <row r="113" spans="2:36" x14ac:dyDescent="0.2">
      <c r="B113" s="10"/>
      <c r="C113" s="5" t="s">
        <v>870</v>
      </c>
      <c r="D113" s="20"/>
      <c r="E113" s="500">
        <f>1-E112</f>
        <v>0.5</v>
      </c>
      <c r="F113" s="1" t="s">
        <v>914</v>
      </c>
      <c r="G113" s="21">
        <f t="shared" si="49"/>
        <v>0.17617965624999998</v>
      </c>
      <c r="I113" s="18">
        <f t="shared" si="50"/>
        <v>0</v>
      </c>
      <c r="J113" s="18">
        <f t="shared" si="50"/>
        <v>0</v>
      </c>
      <c r="K113" s="18">
        <f t="shared" si="50"/>
        <v>0</v>
      </c>
      <c r="L113" s="18">
        <f t="shared" si="51"/>
        <v>0</v>
      </c>
      <c r="M113" s="18">
        <f t="shared" si="51"/>
        <v>0</v>
      </c>
      <c r="N113" s="18">
        <f t="shared" si="51"/>
        <v>0</v>
      </c>
      <c r="O113" s="18">
        <f t="shared" si="51"/>
        <v>0</v>
      </c>
      <c r="P113" s="18">
        <f t="shared" si="51"/>
        <v>0</v>
      </c>
      <c r="Q113" s="18">
        <f t="shared" si="51"/>
        <v>0</v>
      </c>
      <c r="R113" s="18">
        <f t="shared" si="51"/>
        <v>0</v>
      </c>
      <c r="S113" s="18">
        <f t="shared" si="51"/>
        <v>2.7104562499999998E-2</v>
      </c>
      <c r="T113" s="18">
        <f t="shared" si="51"/>
        <v>4.0656843749999998E-2</v>
      </c>
      <c r="U113" s="18">
        <f t="shared" si="51"/>
        <v>5.4209124999999997E-2</v>
      </c>
      <c r="V113" s="18">
        <f t="shared" si="51"/>
        <v>5.4209124999999997E-2</v>
      </c>
      <c r="W113" s="568"/>
      <c r="X113" s="568"/>
      <c r="Y113" s="568"/>
      <c r="Z113" s="568"/>
      <c r="AA113" s="568"/>
      <c r="AB113" s="568"/>
      <c r="AC113" s="568"/>
      <c r="AD113" s="568"/>
      <c r="AE113" s="568"/>
    </row>
    <row r="114" spans="2:36" x14ac:dyDescent="0.2">
      <c r="B114" s="10"/>
      <c r="C114" s="5"/>
      <c r="D114" s="20"/>
      <c r="E114" s="260"/>
      <c r="G114" s="21"/>
      <c r="I114" s="18"/>
      <c r="J114" s="18"/>
      <c r="K114" s="18"/>
      <c r="L114" s="18"/>
      <c r="M114" s="18"/>
      <c r="N114" s="18"/>
      <c r="O114" s="18"/>
      <c r="P114" s="18"/>
      <c r="Q114" s="18"/>
      <c r="R114" s="18"/>
      <c r="S114" s="18"/>
      <c r="T114" s="18"/>
      <c r="U114" s="18"/>
      <c r="V114" s="18"/>
      <c r="W114" s="568"/>
      <c r="X114" s="568"/>
      <c r="Y114" s="568"/>
      <c r="Z114" s="568"/>
      <c r="AA114" s="568"/>
      <c r="AB114" s="568"/>
      <c r="AC114" s="568"/>
      <c r="AD114" s="568"/>
      <c r="AE114" s="568"/>
    </row>
    <row r="115" spans="2:36" x14ac:dyDescent="0.2">
      <c r="B115" s="10"/>
      <c r="C115" s="47" t="s">
        <v>871</v>
      </c>
      <c r="D115" s="20"/>
      <c r="E115" s="260"/>
      <c r="G115" s="21"/>
      <c r="I115" s="18"/>
      <c r="J115" s="18"/>
      <c r="K115" s="18"/>
      <c r="L115" s="18"/>
      <c r="M115" s="18"/>
      <c r="N115" s="18"/>
      <c r="O115" s="18"/>
      <c r="P115" s="18"/>
      <c r="Q115" s="18"/>
      <c r="R115" s="18"/>
      <c r="S115" s="18"/>
      <c r="T115" s="18"/>
      <c r="U115" s="18"/>
      <c r="V115" s="18"/>
      <c r="W115" s="568"/>
      <c r="X115" s="568"/>
      <c r="Y115" s="568"/>
      <c r="Z115" s="568"/>
      <c r="AA115" s="568"/>
      <c r="AB115" s="568"/>
      <c r="AC115" s="568"/>
      <c r="AD115" s="568"/>
      <c r="AE115" s="568"/>
    </row>
    <row r="116" spans="2:36" x14ac:dyDescent="0.2">
      <c r="B116" s="10"/>
      <c r="C116" s="5" t="s">
        <v>390</v>
      </c>
      <c r="D116" s="20"/>
      <c r="E116" s="260"/>
      <c r="F116" s="1" t="s">
        <v>914</v>
      </c>
      <c r="G116" s="21">
        <f>SUM(K116:AE116)</f>
        <v>0</v>
      </c>
      <c r="I116" s="18">
        <f>I101</f>
        <v>0</v>
      </c>
      <c r="J116" s="18">
        <f>J101</f>
        <v>0</v>
      </c>
      <c r="K116" s="18">
        <f>K101</f>
        <v>0</v>
      </c>
      <c r="L116" s="18">
        <f t="shared" ref="L116:V116" si="52">L101</f>
        <v>0</v>
      </c>
      <c r="M116" s="18">
        <f t="shared" si="52"/>
        <v>0</v>
      </c>
      <c r="N116" s="18">
        <f t="shared" si="52"/>
        <v>0</v>
      </c>
      <c r="O116" s="18">
        <f t="shared" si="52"/>
        <v>0</v>
      </c>
      <c r="P116" s="18">
        <f t="shared" si="52"/>
        <v>0</v>
      </c>
      <c r="Q116" s="18">
        <f t="shared" si="52"/>
        <v>0</v>
      </c>
      <c r="R116" s="18">
        <f t="shared" si="52"/>
        <v>0</v>
      </c>
      <c r="S116" s="18">
        <f t="shared" si="52"/>
        <v>0</v>
      </c>
      <c r="T116" s="18">
        <f t="shared" si="52"/>
        <v>0</v>
      </c>
      <c r="U116" s="18">
        <f t="shared" si="52"/>
        <v>0</v>
      </c>
      <c r="V116" s="18">
        <f t="shared" si="52"/>
        <v>0</v>
      </c>
      <c r="W116" s="568"/>
      <c r="X116" s="568"/>
      <c r="Y116" s="568"/>
      <c r="Z116" s="568"/>
      <c r="AA116" s="568"/>
      <c r="AB116" s="568"/>
      <c r="AC116" s="568"/>
      <c r="AD116" s="568"/>
      <c r="AE116" s="568"/>
    </row>
    <row r="117" spans="2:36" x14ac:dyDescent="0.2">
      <c r="B117" s="10"/>
      <c r="C117" s="5" t="s">
        <v>391</v>
      </c>
      <c r="D117" s="20"/>
      <c r="E117" s="260"/>
      <c r="F117" s="1" t="s">
        <v>914</v>
      </c>
      <c r="G117" s="21">
        <f>SUM(K117:AE117)</f>
        <v>0</v>
      </c>
      <c r="I117" s="18">
        <f>I103</f>
        <v>0</v>
      </c>
      <c r="J117" s="18">
        <f>J103</f>
        <v>0</v>
      </c>
      <c r="K117" s="18">
        <f>K103</f>
        <v>0</v>
      </c>
      <c r="L117" s="18">
        <f t="shared" ref="L117:V117" si="53">L103</f>
        <v>0</v>
      </c>
      <c r="M117" s="18">
        <f t="shared" si="53"/>
        <v>0</v>
      </c>
      <c r="N117" s="18">
        <f t="shared" si="53"/>
        <v>0</v>
      </c>
      <c r="O117" s="18">
        <f t="shared" si="53"/>
        <v>0</v>
      </c>
      <c r="P117" s="18">
        <f t="shared" si="53"/>
        <v>0</v>
      </c>
      <c r="Q117" s="18">
        <f t="shared" si="53"/>
        <v>0</v>
      </c>
      <c r="R117" s="18">
        <f t="shared" si="53"/>
        <v>0</v>
      </c>
      <c r="S117" s="18">
        <f t="shared" si="53"/>
        <v>0</v>
      </c>
      <c r="T117" s="18">
        <f t="shared" si="53"/>
        <v>0</v>
      </c>
      <c r="U117" s="18">
        <f t="shared" si="53"/>
        <v>0</v>
      </c>
      <c r="V117" s="18">
        <f t="shared" si="53"/>
        <v>0</v>
      </c>
      <c r="W117" s="568"/>
      <c r="X117" s="568"/>
      <c r="Y117" s="568"/>
      <c r="Z117" s="568"/>
      <c r="AA117" s="568"/>
      <c r="AB117" s="568"/>
      <c r="AC117" s="568"/>
      <c r="AD117" s="568"/>
      <c r="AE117" s="568"/>
    </row>
    <row r="118" spans="2:36" x14ac:dyDescent="0.2">
      <c r="B118" s="10"/>
      <c r="C118" s="5"/>
      <c r="D118" s="20"/>
      <c r="E118" s="260"/>
      <c r="G118" s="21"/>
      <c r="I118" s="18"/>
      <c r="J118" s="18"/>
      <c r="K118" s="18"/>
      <c r="L118" s="18"/>
      <c r="M118" s="18"/>
      <c r="N118" s="18"/>
      <c r="O118" s="18"/>
      <c r="P118" s="18"/>
      <c r="Q118" s="18"/>
      <c r="R118" s="18"/>
      <c r="S118" s="18"/>
      <c r="T118" s="18"/>
      <c r="U118" s="18"/>
      <c r="V118" s="18"/>
      <c r="W118" s="568"/>
      <c r="X118" s="568"/>
      <c r="Y118" s="568"/>
      <c r="Z118" s="568"/>
      <c r="AA118" s="568"/>
      <c r="AB118" s="568"/>
      <c r="AC118" s="568"/>
      <c r="AD118" s="568"/>
      <c r="AE118" s="568"/>
    </row>
    <row r="119" spans="2:36" x14ac:dyDescent="0.2">
      <c r="B119" s="10"/>
      <c r="C119" s="5" t="s">
        <v>872</v>
      </c>
      <c r="D119" s="20"/>
      <c r="E119" s="260"/>
      <c r="F119" s="1" t="s">
        <v>914</v>
      </c>
      <c r="G119" s="21">
        <f>SUM(K119:AE119)</f>
        <v>0.17617965624999998</v>
      </c>
      <c r="I119" s="18">
        <f>I108+I112+SUM(I116:I117)</f>
        <v>0</v>
      </c>
      <c r="J119" s="18">
        <f>J108+J112+SUM(J116:J117)</f>
        <v>0</v>
      </c>
      <c r="K119" s="18">
        <f>K108+K112+SUM(K116:K117)</f>
        <v>0</v>
      </c>
      <c r="L119" s="18">
        <f t="shared" ref="L119:V119" si="54">L108+L112+SUM(L116:L117)</f>
        <v>0</v>
      </c>
      <c r="M119" s="18">
        <f t="shared" si="54"/>
        <v>0</v>
      </c>
      <c r="N119" s="18">
        <f t="shared" si="54"/>
        <v>0</v>
      </c>
      <c r="O119" s="18">
        <f t="shared" si="54"/>
        <v>0</v>
      </c>
      <c r="P119" s="18">
        <f t="shared" si="54"/>
        <v>0</v>
      </c>
      <c r="Q119" s="18">
        <f t="shared" si="54"/>
        <v>0</v>
      </c>
      <c r="R119" s="18">
        <f t="shared" si="54"/>
        <v>0</v>
      </c>
      <c r="S119" s="18">
        <f t="shared" si="54"/>
        <v>2.7104562499999998E-2</v>
      </c>
      <c r="T119" s="18">
        <f t="shared" si="54"/>
        <v>4.0656843749999998E-2</v>
      </c>
      <c r="U119" s="18">
        <f t="shared" si="54"/>
        <v>5.4209124999999997E-2</v>
      </c>
      <c r="V119" s="18">
        <f t="shared" si="54"/>
        <v>5.4209124999999997E-2</v>
      </c>
      <c r="W119" s="568"/>
      <c r="X119" s="568"/>
      <c r="Y119" s="568"/>
      <c r="Z119" s="568"/>
      <c r="AA119" s="568"/>
      <c r="AB119" s="568"/>
      <c r="AC119" s="568"/>
      <c r="AD119" s="568"/>
      <c r="AE119" s="568"/>
    </row>
    <row r="120" spans="2:36" x14ac:dyDescent="0.2">
      <c r="B120" s="10"/>
      <c r="C120" s="5" t="s">
        <v>873</v>
      </c>
      <c r="D120" s="20"/>
      <c r="E120" s="260"/>
      <c r="F120" s="1" t="s">
        <v>914</v>
      </c>
      <c r="G120" s="21">
        <f>SUM(K120:AE120)</f>
        <v>0.17617965624999998</v>
      </c>
      <c r="I120" s="18">
        <f>I109+I113</f>
        <v>0</v>
      </c>
      <c r="J120" s="18">
        <f>J109+J113</f>
        <v>0</v>
      </c>
      <c r="K120" s="18">
        <f>K109+K113</f>
        <v>0</v>
      </c>
      <c r="L120" s="18">
        <f t="shared" ref="L120:V120" si="55">L109+L113</f>
        <v>0</v>
      </c>
      <c r="M120" s="18">
        <f t="shared" si="55"/>
        <v>0</v>
      </c>
      <c r="N120" s="18">
        <f t="shared" si="55"/>
        <v>0</v>
      </c>
      <c r="O120" s="18">
        <f t="shared" si="55"/>
        <v>0</v>
      </c>
      <c r="P120" s="18">
        <f t="shared" si="55"/>
        <v>0</v>
      </c>
      <c r="Q120" s="18">
        <f t="shared" si="55"/>
        <v>0</v>
      </c>
      <c r="R120" s="18">
        <f t="shared" si="55"/>
        <v>0</v>
      </c>
      <c r="S120" s="18">
        <f t="shared" si="55"/>
        <v>2.7104562499999998E-2</v>
      </c>
      <c r="T120" s="18">
        <f t="shared" si="55"/>
        <v>4.0656843749999998E-2</v>
      </c>
      <c r="U120" s="18">
        <f t="shared" si="55"/>
        <v>5.4209124999999997E-2</v>
      </c>
      <c r="V120" s="18">
        <f t="shared" si="55"/>
        <v>5.4209124999999997E-2</v>
      </c>
      <c r="W120" s="568"/>
      <c r="X120" s="568"/>
      <c r="Y120" s="568"/>
      <c r="Z120" s="568"/>
      <c r="AA120" s="568"/>
      <c r="AB120" s="568"/>
      <c r="AC120" s="568"/>
      <c r="AD120" s="568"/>
      <c r="AE120" s="568"/>
    </row>
    <row r="121" spans="2:36" x14ac:dyDescent="0.2">
      <c r="B121" s="10"/>
      <c r="C121" s="5" t="s">
        <v>45</v>
      </c>
      <c r="D121" s="20"/>
      <c r="E121" s="260"/>
      <c r="F121" s="1" t="s">
        <v>914</v>
      </c>
      <c r="G121" s="21">
        <f>SUM(K121:AE121)</f>
        <v>0.35235931249999997</v>
      </c>
      <c r="I121" s="18">
        <f>SUM(I119:I120)</f>
        <v>0</v>
      </c>
      <c r="J121" s="18">
        <f>SUM(J119:J120)</f>
        <v>0</v>
      </c>
      <c r="K121" s="18">
        <f>SUM(K119:K120)</f>
        <v>0</v>
      </c>
      <c r="L121" s="18">
        <f t="shared" ref="L121:V121" si="56">SUM(L119:L120)</f>
        <v>0</v>
      </c>
      <c r="M121" s="18">
        <f t="shared" si="56"/>
        <v>0</v>
      </c>
      <c r="N121" s="18">
        <f t="shared" si="56"/>
        <v>0</v>
      </c>
      <c r="O121" s="18">
        <f t="shared" si="56"/>
        <v>0</v>
      </c>
      <c r="P121" s="18">
        <f t="shared" si="56"/>
        <v>0</v>
      </c>
      <c r="Q121" s="18">
        <f t="shared" si="56"/>
        <v>0</v>
      </c>
      <c r="R121" s="18">
        <f t="shared" si="56"/>
        <v>0</v>
      </c>
      <c r="S121" s="18">
        <f t="shared" si="56"/>
        <v>5.4209124999999997E-2</v>
      </c>
      <c r="T121" s="18">
        <f t="shared" si="56"/>
        <v>8.1313687499999995E-2</v>
      </c>
      <c r="U121" s="18">
        <f t="shared" si="56"/>
        <v>0.10841824999999999</v>
      </c>
      <c r="V121" s="18">
        <f t="shared" si="56"/>
        <v>0.10841824999999999</v>
      </c>
      <c r="W121" s="568"/>
      <c r="X121" s="568"/>
      <c r="Y121" s="568"/>
      <c r="Z121" s="568"/>
      <c r="AA121" s="568"/>
      <c r="AB121" s="568"/>
      <c r="AC121" s="568"/>
      <c r="AD121" s="568"/>
      <c r="AE121" s="568"/>
    </row>
    <row r="122" spans="2:36" x14ac:dyDescent="0.2">
      <c r="B122" s="10"/>
      <c r="C122" s="5"/>
      <c r="D122" s="302"/>
      <c r="E122" s="303"/>
      <c r="G122" s="21"/>
      <c r="I122" s="18"/>
      <c r="J122" s="18"/>
      <c r="K122" s="18"/>
      <c r="L122" s="18"/>
      <c r="M122" s="18"/>
      <c r="N122" s="18"/>
      <c r="O122" s="18"/>
      <c r="P122" s="18"/>
      <c r="Q122" s="18"/>
      <c r="R122" s="18"/>
      <c r="S122" s="18"/>
      <c r="T122" s="18"/>
      <c r="U122" s="18"/>
      <c r="V122" s="18"/>
      <c r="W122" s="568"/>
      <c r="X122" s="568"/>
      <c r="Y122" s="568"/>
      <c r="Z122" s="568"/>
      <c r="AA122" s="568"/>
      <c r="AB122" s="568"/>
      <c r="AC122" s="568"/>
      <c r="AD122" s="568"/>
      <c r="AE122" s="568"/>
    </row>
    <row r="123" spans="2:36" s="5" customFormat="1" x14ac:dyDescent="0.2">
      <c r="B123" s="273"/>
      <c r="C123" s="5" t="s">
        <v>16</v>
      </c>
      <c r="D123" s="120"/>
      <c r="E123" s="269">
        <f>'Plant model'!E123</f>
        <v>0.159</v>
      </c>
      <c r="F123" s="5" t="s">
        <v>519</v>
      </c>
      <c r="I123" s="45">
        <f>$E$123</f>
        <v>0.159</v>
      </c>
      <c r="J123" s="45">
        <f>$E$123</f>
        <v>0.159</v>
      </c>
      <c r="K123" s="45">
        <f>$E$123</f>
        <v>0.159</v>
      </c>
      <c r="L123" s="45">
        <f>$E$123</f>
        <v>0.159</v>
      </c>
      <c r="M123" s="45">
        <f t="shared" ref="M123:V123" si="57">$E$123</f>
        <v>0.159</v>
      </c>
      <c r="N123" s="45">
        <f t="shared" si="57"/>
        <v>0.159</v>
      </c>
      <c r="O123" s="45">
        <f t="shared" si="57"/>
        <v>0.159</v>
      </c>
      <c r="P123" s="45">
        <f t="shared" si="57"/>
        <v>0.159</v>
      </c>
      <c r="Q123" s="45">
        <f t="shared" si="57"/>
        <v>0.159</v>
      </c>
      <c r="R123" s="45">
        <f t="shared" si="57"/>
        <v>0.159</v>
      </c>
      <c r="S123" s="45">
        <f t="shared" si="57"/>
        <v>0.159</v>
      </c>
      <c r="T123" s="45">
        <f t="shared" si="57"/>
        <v>0.159</v>
      </c>
      <c r="U123" s="45">
        <f t="shared" si="57"/>
        <v>0.159</v>
      </c>
      <c r="V123" s="45">
        <f t="shared" si="57"/>
        <v>0.159</v>
      </c>
      <c r="W123" s="568"/>
      <c r="X123" s="568"/>
      <c r="Y123" s="568"/>
      <c r="Z123" s="568"/>
      <c r="AA123" s="568"/>
      <c r="AB123" s="568"/>
      <c r="AC123" s="568"/>
      <c r="AD123" s="568"/>
      <c r="AE123" s="568"/>
      <c r="AF123" s="67"/>
      <c r="AG123" s="67"/>
      <c r="AH123" s="67"/>
      <c r="AI123" s="67"/>
      <c r="AJ123" s="67"/>
    </row>
    <row r="124" spans="2:36" s="5" customFormat="1" x14ac:dyDescent="0.2">
      <c r="B124" s="273"/>
      <c r="C124" s="5" t="s">
        <v>17</v>
      </c>
      <c r="F124" s="1" t="s">
        <v>914</v>
      </c>
      <c r="G124" s="52">
        <f>SUM(K124:AE124)</f>
        <v>5.6025130687499994E-2</v>
      </c>
      <c r="I124" s="52">
        <f t="shared" ref="I124" si="58">I123*I104</f>
        <v>0</v>
      </c>
      <c r="J124" s="52">
        <f t="shared" ref="J124" si="59">J123*J104</f>
        <v>0</v>
      </c>
      <c r="K124" s="52">
        <f t="shared" ref="K124:V124" si="60">K123*K104</f>
        <v>0</v>
      </c>
      <c r="L124" s="52">
        <f t="shared" si="60"/>
        <v>0</v>
      </c>
      <c r="M124" s="52">
        <f t="shared" si="60"/>
        <v>0</v>
      </c>
      <c r="N124" s="52">
        <f t="shared" si="60"/>
        <v>0</v>
      </c>
      <c r="O124" s="52">
        <f t="shared" si="60"/>
        <v>0</v>
      </c>
      <c r="P124" s="52">
        <f t="shared" si="60"/>
        <v>0</v>
      </c>
      <c r="Q124" s="52">
        <f t="shared" si="60"/>
        <v>0</v>
      </c>
      <c r="R124" s="52">
        <f t="shared" si="60"/>
        <v>0</v>
      </c>
      <c r="S124" s="52">
        <f t="shared" si="60"/>
        <v>8.6192508749999997E-3</v>
      </c>
      <c r="T124" s="52">
        <f t="shared" si="60"/>
        <v>1.2928876312499999E-2</v>
      </c>
      <c r="U124" s="52">
        <f t="shared" si="60"/>
        <v>1.7238501749999999E-2</v>
      </c>
      <c r="V124" s="52">
        <f t="shared" si="60"/>
        <v>1.7238501749999999E-2</v>
      </c>
      <c r="W124" s="563"/>
      <c r="X124" s="563"/>
      <c r="Y124" s="563"/>
      <c r="Z124" s="563"/>
      <c r="AA124" s="563"/>
      <c r="AB124" s="563"/>
      <c r="AC124" s="563"/>
      <c r="AD124" s="563"/>
      <c r="AE124" s="563"/>
      <c r="AF124" s="67"/>
      <c r="AG124" s="67"/>
      <c r="AH124" s="67"/>
      <c r="AI124" s="67"/>
      <c r="AJ124" s="67"/>
    </row>
    <row r="125" spans="2:36" x14ac:dyDescent="0.2">
      <c r="B125" s="10"/>
      <c r="C125" s="5"/>
      <c r="D125" s="5"/>
      <c r="E125" s="259"/>
    </row>
    <row r="126" spans="2:36" x14ac:dyDescent="0.2">
      <c r="B126" s="10"/>
      <c r="C126" s="271"/>
      <c r="D126" s="271"/>
      <c r="E126" s="272"/>
      <c r="F126" s="271"/>
      <c r="G126" s="271"/>
      <c r="H126" s="271"/>
      <c r="I126" s="271"/>
      <c r="J126" s="271"/>
      <c r="K126" s="271"/>
      <c r="L126" s="271"/>
      <c r="M126" s="271"/>
      <c r="N126" s="271"/>
      <c r="O126" s="271"/>
      <c r="P126" s="271"/>
      <c r="Q126" s="271"/>
      <c r="R126" s="271"/>
      <c r="S126" s="271"/>
      <c r="T126" s="271"/>
      <c r="U126" s="271"/>
      <c r="V126" s="271"/>
    </row>
    <row r="127" spans="2:36" x14ac:dyDescent="0.2">
      <c r="B127" s="10"/>
      <c r="C127" s="5"/>
      <c r="D127" s="5"/>
      <c r="E127" s="259"/>
    </row>
    <row r="128" spans="2:36" x14ac:dyDescent="0.2">
      <c r="B128" s="10">
        <f>B93+0.1</f>
        <v>2.2000000000000002</v>
      </c>
      <c r="C128" s="20" t="s">
        <v>104</v>
      </c>
      <c r="D128" s="5"/>
      <c r="E128" s="259"/>
    </row>
    <row r="129" spans="2:31" x14ac:dyDescent="0.2">
      <c r="B129" s="10"/>
      <c r="C129" s="5"/>
      <c r="D129" s="5"/>
      <c r="E129" s="259"/>
    </row>
    <row r="130" spans="2:31" x14ac:dyDescent="0.2">
      <c r="B130" s="10"/>
      <c r="C130" s="5" t="s">
        <v>874</v>
      </c>
      <c r="D130" s="5"/>
      <c r="E130" s="259"/>
      <c r="F130" s="1" t="s">
        <v>55</v>
      </c>
      <c r="G130" s="21">
        <f t="shared" ref="G130" si="61">SUM(K130:AE130)</f>
        <v>0</v>
      </c>
      <c r="I130" s="18">
        <f t="shared" ref="I130:K131" si="62">I108*I21</f>
        <v>0</v>
      </c>
      <c r="J130" s="18">
        <f t="shared" si="62"/>
        <v>0</v>
      </c>
      <c r="K130" s="18">
        <f t="shared" si="62"/>
        <v>0</v>
      </c>
      <c r="L130" s="18">
        <f t="shared" ref="L130:V131" si="63">L108*L21</f>
        <v>0</v>
      </c>
      <c r="M130" s="18">
        <f t="shared" si="63"/>
        <v>0</v>
      </c>
      <c r="N130" s="18">
        <f t="shared" si="63"/>
        <v>0</v>
      </c>
      <c r="O130" s="18">
        <f t="shared" si="63"/>
        <v>0</v>
      </c>
      <c r="P130" s="18">
        <f t="shared" si="63"/>
        <v>0</v>
      </c>
      <c r="Q130" s="18">
        <f t="shared" si="63"/>
        <v>0</v>
      </c>
      <c r="R130" s="18">
        <f t="shared" si="63"/>
        <v>0</v>
      </c>
      <c r="S130" s="18">
        <f t="shared" si="63"/>
        <v>0</v>
      </c>
      <c r="T130" s="18">
        <f t="shared" si="63"/>
        <v>0</v>
      </c>
      <c r="U130" s="18">
        <f t="shared" si="63"/>
        <v>0</v>
      </c>
      <c r="V130" s="18">
        <f t="shared" si="63"/>
        <v>0</v>
      </c>
      <c r="W130" s="568"/>
      <c r="X130" s="568"/>
      <c r="Y130" s="568"/>
      <c r="Z130" s="568"/>
      <c r="AA130" s="568"/>
      <c r="AB130" s="568"/>
      <c r="AC130" s="568"/>
      <c r="AD130" s="568"/>
      <c r="AE130" s="568"/>
    </row>
    <row r="131" spans="2:31" x14ac:dyDescent="0.2">
      <c r="B131" s="10"/>
      <c r="C131" s="5" t="s">
        <v>876</v>
      </c>
      <c r="D131" s="5"/>
      <c r="E131" s="259"/>
      <c r="F131" s="1" t="s">
        <v>55</v>
      </c>
      <c r="G131" s="21">
        <f t="shared" ref="G131:G137" si="64">SUM(K131:AE131)</f>
        <v>0</v>
      </c>
      <c r="I131" s="18">
        <f t="shared" si="62"/>
        <v>0</v>
      </c>
      <c r="J131" s="18">
        <f t="shared" si="62"/>
        <v>0</v>
      </c>
      <c r="K131" s="18">
        <f t="shared" si="62"/>
        <v>0</v>
      </c>
      <c r="L131" s="18">
        <f t="shared" si="63"/>
        <v>0</v>
      </c>
      <c r="M131" s="18">
        <f t="shared" si="63"/>
        <v>0</v>
      </c>
      <c r="N131" s="18">
        <f t="shared" si="63"/>
        <v>0</v>
      </c>
      <c r="O131" s="18">
        <f t="shared" si="63"/>
        <v>0</v>
      </c>
      <c r="P131" s="18">
        <f t="shared" si="63"/>
        <v>0</v>
      </c>
      <c r="Q131" s="18">
        <f t="shared" si="63"/>
        <v>0</v>
      </c>
      <c r="R131" s="18">
        <f t="shared" si="63"/>
        <v>0</v>
      </c>
      <c r="S131" s="18">
        <f t="shared" si="63"/>
        <v>0</v>
      </c>
      <c r="T131" s="18">
        <f t="shared" si="63"/>
        <v>0</v>
      </c>
      <c r="U131" s="18">
        <f t="shared" si="63"/>
        <v>0</v>
      </c>
      <c r="V131" s="18">
        <f t="shared" si="63"/>
        <v>0</v>
      </c>
      <c r="W131" s="568"/>
      <c r="X131" s="568"/>
      <c r="Y131" s="568"/>
      <c r="Z131" s="568"/>
      <c r="AA131" s="568"/>
      <c r="AB131" s="568"/>
      <c r="AC131" s="568"/>
      <c r="AD131" s="568"/>
      <c r="AE131" s="568"/>
    </row>
    <row r="132" spans="2:31" x14ac:dyDescent="0.2">
      <c r="B132" s="10"/>
      <c r="C132" s="5" t="s">
        <v>879</v>
      </c>
      <c r="D132" s="5"/>
      <c r="E132" s="259"/>
      <c r="F132" s="1" t="s">
        <v>55</v>
      </c>
      <c r="G132" s="21">
        <f t="shared" si="64"/>
        <v>118.39272899999997</v>
      </c>
      <c r="I132" s="18">
        <f t="shared" ref="I132:K133" si="65">I112*I24</f>
        <v>0</v>
      </c>
      <c r="J132" s="18">
        <f t="shared" si="65"/>
        <v>0</v>
      </c>
      <c r="K132" s="18">
        <f t="shared" si="65"/>
        <v>0</v>
      </c>
      <c r="L132" s="18">
        <f t="shared" ref="L132:V133" si="66">L112*L24</f>
        <v>0</v>
      </c>
      <c r="M132" s="18">
        <f t="shared" si="66"/>
        <v>0</v>
      </c>
      <c r="N132" s="18">
        <f t="shared" si="66"/>
        <v>0</v>
      </c>
      <c r="O132" s="18">
        <f t="shared" si="66"/>
        <v>0</v>
      </c>
      <c r="P132" s="18">
        <f t="shared" si="66"/>
        <v>0</v>
      </c>
      <c r="Q132" s="18">
        <f t="shared" si="66"/>
        <v>0</v>
      </c>
      <c r="R132" s="18">
        <f t="shared" si="66"/>
        <v>0</v>
      </c>
      <c r="S132" s="18">
        <f t="shared" si="66"/>
        <v>18.214265999999999</v>
      </c>
      <c r="T132" s="18">
        <f t="shared" si="66"/>
        <v>27.321399</v>
      </c>
      <c r="U132" s="18">
        <f t="shared" si="66"/>
        <v>36.428531999999997</v>
      </c>
      <c r="V132" s="18">
        <f t="shared" si="66"/>
        <v>36.428531999999997</v>
      </c>
      <c r="W132" s="568"/>
      <c r="X132" s="568"/>
      <c r="Y132" s="568"/>
      <c r="Z132" s="568"/>
      <c r="AA132" s="568"/>
      <c r="AB132" s="568"/>
      <c r="AC132" s="568"/>
      <c r="AD132" s="568"/>
      <c r="AE132" s="568"/>
    </row>
    <row r="133" spans="2:31" x14ac:dyDescent="0.2">
      <c r="B133" s="10"/>
      <c r="C133" s="5" t="s">
        <v>878</v>
      </c>
      <c r="D133" s="5"/>
      <c r="E133" s="259"/>
      <c r="F133" s="1" t="s">
        <v>55</v>
      </c>
      <c r="G133" s="21">
        <f t="shared" si="64"/>
        <v>119.80216624999997</v>
      </c>
      <c r="I133" s="18">
        <f t="shared" si="65"/>
        <v>0</v>
      </c>
      <c r="J133" s="18">
        <f t="shared" si="65"/>
        <v>0</v>
      </c>
      <c r="K133" s="18">
        <f t="shared" si="65"/>
        <v>0</v>
      </c>
      <c r="L133" s="18">
        <f t="shared" si="66"/>
        <v>0</v>
      </c>
      <c r="M133" s="18">
        <f t="shared" si="66"/>
        <v>0</v>
      </c>
      <c r="N133" s="18">
        <f t="shared" si="66"/>
        <v>0</v>
      </c>
      <c r="O133" s="18">
        <f t="shared" si="66"/>
        <v>0</v>
      </c>
      <c r="P133" s="18">
        <f t="shared" si="66"/>
        <v>0</v>
      </c>
      <c r="Q133" s="18">
        <f t="shared" si="66"/>
        <v>0</v>
      </c>
      <c r="R133" s="18">
        <f t="shared" si="66"/>
        <v>0</v>
      </c>
      <c r="S133" s="18">
        <f t="shared" si="66"/>
        <v>18.431102499999998</v>
      </c>
      <c r="T133" s="18">
        <f t="shared" si="66"/>
        <v>27.646653749999999</v>
      </c>
      <c r="U133" s="18">
        <f t="shared" si="66"/>
        <v>36.862204999999996</v>
      </c>
      <c r="V133" s="18">
        <f t="shared" si="66"/>
        <v>36.862204999999996</v>
      </c>
      <c r="W133" s="568"/>
      <c r="X133" s="568"/>
      <c r="Y133" s="568"/>
      <c r="Z133" s="568"/>
      <c r="AA133" s="568"/>
      <c r="AB133" s="568"/>
      <c r="AC133" s="568"/>
      <c r="AD133" s="568"/>
      <c r="AE133" s="568"/>
    </row>
    <row r="134" spans="2:31" x14ac:dyDescent="0.2">
      <c r="B134" s="10"/>
      <c r="C134" s="5" t="str">
        <f>C101</f>
        <v>Nodular off-spec</v>
      </c>
      <c r="D134" s="5"/>
      <c r="E134" s="259"/>
      <c r="F134" s="1" t="s">
        <v>55</v>
      </c>
      <c r="G134" s="21">
        <f t="shared" si="64"/>
        <v>0</v>
      </c>
      <c r="I134" s="18">
        <f t="shared" ref="I134" si="67">I101*I23</f>
        <v>0</v>
      </c>
      <c r="J134" s="18">
        <f t="shared" ref="J134" si="68">J101*J23</f>
        <v>0</v>
      </c>
      <c r="K134" s="18">
        <f t="shared" ref="K134:V134" si="69">K101*K23</f>
        <v>0</v>
      </c>
      <c r="L134" s="18">
        <f t="shared" si="69"/>
        <v>0</v>
      </c>
      <c r="M134" s="18">
        <f t="shared" si="69"/>
        <v>0</v>
      </c>
      <c r="N134" s="18">
        <f t="shared" si="69"/>
        <v>0</v>
      </c>
      <c r="O134" s="18">
        <f t="shared" si="69"/>
        <v>0</v>
      </c>
      <c r="P134" s="18">
        <f t="shared" si="69"/>
        <v>0</v>
      </c>
      <c r="Q134" s="18">
        <f t="shared" si="69"/>
        <v>0</v>
      </c>
      <c r="R134" s="18">
        <f t="shared" si="69"/>
        <v>0</v>
      </c>
      <c r="S134" s="18">
        <f t="shared" si="69"/>
        <v>0</v>
      </c>
      <c r="T134" s="18">
        <f t="shared" si="69"/>
        <v>0</v>
      </c>
      <c r="U134" s="18">
        <f t="shared" si="69"/>
        <v>0</v>
      </c>
      <c r="V134" s="18">
        <f t="shared" si="69"/>
        <v>0</v>
      </c>
      <c r="W134" s="568"/>
      <c r="X134" s="568"/>
      <c r="Y134" s="568"/>
      <c r="Z134" s="568"/>
      <c r="AA134" s="568"/>
      <c r="AB134" s="568"/>
      <c r="AC134" s="568"/>
      <c r="AD134" s="568"/>
      <c r="AE134" s="568"/>
    </row>
    <row r="135" spans="2:31" x14ac:dyDescent="0.2">
      <c r="B135" s="10"/>
      <c r="C135" s="5" t="str">
        <f>C103</f>
        <v>Scrap Grade</v>
      </c>
      <c r="D135" s="5"/>
      <c r="E135" s="259"/>
      <c r="F135" s="1" t="s">
        <v>55</v>
      </c>
      <c r="G135" s="21">
        <f t="shared" si="64"/>
        <v>0</v>
      </c>
      <c r="I135" s="18">
        <f t="shared" ref="I135" si="70">I103*I26</f>
        <v>0</v>
      </c>
      <c r="J135" s="18">
        <f t="shared" ref="J135" si="71">J103*J26</f>
        <v>0</v>
      </c>
      <c r="K135" s="18">
        <f t="shared" ref="K135:V135" si="72">K103*K26</f>
        <v>0</v>
      </c>
      <c r="L135" s="18">
        <f t="shared" si="72"/>
        <v>0</v>
      </c>
      <c r="M135" s="18">
        <f t="shared" si="72"/>
        <v>0</v>
      </c>
      <c r="N135" s="18">
        <f t="shared" si="72"/>
        <v>0</v>
      </c>
      <c r="O135" s="18">
        <f t="shared" si="72"/>
        <v>0</v>
      </c>
      <c r="P135" s="18">
        <f t="shared" si="72"/>
        <v>0</v>
      </c>
      <c r="Q135" s="18">
        <f t="shared" si="72"/>
        <v>0</v>
      </c>
      <c r="R135" s="18">
        <f t="shared" si="72"/>
        <v>0</v>
      </c>
      <c r="S135" s="18">
        <f t="shared" si="72"/>
        <v>0</v>
      </c>
      <c r="T135" s="18">
        <f t="shared" si="72"/>
        <v>0</v>
      </c>
      <c r="U135" s="18">
        <f t="shared" si="72"/>
        <v>0</v>
      </c>
      <c r="V135" s="18">
        <f t="shared" si="72"/>
        <v>0</v>
      </c>
      <c r="W135" s="568"/>
      <c r="X135" s="568"/>
      <c r="Y135" s="568"/>
      <c r="Z135" s="568"/>
      <c r="AA135" s="568"/>
      <c r="AB135" s="568"/>
      <c r="AC135" s="568"/>
      <c r="AD135" s="568"/>
      <c r="AE135" s="568"/>
    </row>
    <row r="136" spans="2:31" x14ac:dyDescent="0.2">
      <c r="B136" s="10"/>
      <c r="C136" s="5" t="s">
        <v>119</v>
      </c>
      <c r="D136" s="5"/>
      <c r="E136" s="259"/>
      <c r="F136" s="1" t="s">
        <v>55</v>
      </c>
      <c r="G136" s="21">
        <f t="shared" si="64"/>
        <v>0</v>
      </c>
      <c r="I136" s="18">
        <f t="shared" ref="I136" si="73">I124*I68</f>
        <v>0</v>
      </c>
      <c r="J136" s="18">
        <f t="shared" ref="J136" si="74">J124*J68</f>
        <v>0</v>
      </c>
      <c r="K136" s="18">
        <f t="shared" ref="K136:V136" si="75">K124*K68</f>
        <v>0</v>
      </c>
      <c r="L136" s="18">
        <f t="shared" si="75"/>
        <v>0</v>
      </c>
      <c r="M136" s="18">
        <f t="shared" si="75"/>
        <v>0</v>
      </c>
      <c r="N136" s="18">
        <f t="shared" si="75"/>
        <v>0</v>
      </c>
      <c r="O136" s="18">
        <f t="shared" si="75"/>
        <v>0</v>
      </c>
      <c r="P136" s="18">
        <f t="shared" si="75"/>
        <v>0</v>
      </c>
      <c r="Q136" s="18">
        <f t="shared" si="75"/>
        <v>0</v>
      </c>
      <c r="R136" s="18">
        <f t="shared" si="75"/>
        <v>0</v>
      </c>
      <c r="S136" s="18">
        <f t="shared" si="75"/>
        <v>0</v>
      </c>
      <c r="T136" s="18">
        <f t="shared" si="75"/>
        <v>0</v>
      </c>
      <c r="U136" s="18">
        <f t="shared" si="75"/>
        <v>0</v>
      </c>
      <c r="V136" s="18">
        <f t="shared" si="75"/>
        <v>0</v>
      </c>
      <c r="W136" s="568"/>
      <c r="X136" s="568"/>
      <c r="Y136" s="568"/>
      <c r="Z136" s="568"/>
      <c r="AA136" s="568"/>
      <c r="AB136" s="568"/>
      <c r="AC136" s="568"/>
      <c r="AD136" s="568"/>
      <c r="AE136" s="568"/>
    </row>
    <row r="137" spans="2:31" x14ac:dyDescent="0.2">
      <c r="B137" s="10"/>
      <c r="C137" s="20" t="str">
        <f>C104</f>
        <v>Total</v>
      </c>
      <c r="D137" s="5"/>
      <c r="E137" s="259"/>
      <c r="F137" s="9" t="s">
        <v>55</v>
      </c>
      <c r="G137" s="44">
        <f t="shared" si="64"/>
        <v>238.19489524999995</v>
      </c>
      <c r="I137" s="44">
        <f>SUM(I130:I136)</f>
        <v>0</v>
      </c>
      <c r="J137" s="44">
        <f>SUM(J130:J136)</f>
        <v>0</v>
      </c>
      <c r="K137" s="44">
        <f>SUM(K130:K136)</f>
        <v>0</v>
      </c>
      <c r="L137" s="44">
        <f t="shared" ref="L137:V137" si="76">SUM(L130:L136)</f>
        <v>0</v>
      </c>
      <c r="M137" s="44">
        <f t="shared" si="76"/>
        <v>0</v>
      </c>
      <c r="N137" s="44">
        <f t="shared" si="76"/>
        <v>0</v>
      </c>
      <c r="O137" s="44">
        <f t="shared" si="76"/>
        <v>0</v>
      </c>
      <c r="P137" s="44">
        <f t="shared" si="76"/>
        <v>0</v>
      </c>
      <c r="Q137" s="44">
        <f t="shared" si="76"/>
        <v>0</v>
      </c>
      <c r="R137" s="44">
        <f t="shared" si="76"/>
        <v>0</v>
      </c>
      <c r="S137" s="44">
        <f t="shared" si="76"/>
        <v>36.645368499999996</v>
      </c>
      <c r="T137" s="44">
        <f t="shared" si="76"/>
        <v>54.968052749999998</v>
      </c>
      <c r="U137" s="44">
        <f t="shared" si="76"/>
        <v>73.290736999999993</v>
      </c>
      <c r="V137" s="44">
        <f t="shared" si="76"/>
        <v>73.290736999999993</v>
      </c>
      <c r="W137" s="580"/>
      <c r="X137" s="580"/>
      <c r="Y137" s="580"/>
      <c r="Z137" s="580"/>
      <c r="AA137" s="580"/>
      <c r="AB137" s="580"/>
      <c r="AC137" s="580"/>
      <c r="AD137" s="580"/>
      <c r="AE137" s="580"/>
    </row>
    <row r="138" spans="2:31" x14ac:dyDescent="0.2">
      <c r="B138" s="10"/>
      <c r="C138" s="20"/>
      <c r="D138" s="5"/>
      <c r="E138" s="259"/>
      <c r="F138" s="9"/>
      <c r="G138" s="44"/>
      <c r="L138" s="44"/>
      <c r="M138" s="44"/>
      <c r="N138" s="44"/>
      <c r="O138" s="44"/>
      <c r="P138" s="44"/>
      <c r="Q138" s="44"/>
      <c r="R138" s="44"/>
      <c r="S138" s="44"/>
      <c r="T138" s="44"/>
      <c r="U138" s="44"/>
      <c r="V138" s="44"/>
      <c r="W138" s="580"/>
      <c r="X138" s="580"/>
      <c r="Y138" s="580"/>
      <c r="Z138" s="580"/>
      <c r="AA138" s="580"/>
      <c r="AB138" s="580"/>
      <c r="AC138" s="580"/>
      <c r="AD138" s="580"/>
      <c r="AE138" s="580"/>
    </row>
    <row r="139" spans="2:31" x14ac:dyDescent="0.2">
      <c r="B139" s="10"/>
      <c r="C139" s="5" t="s">
        <v>448</v>
      </c>
      <c r="D139" s="5"/>
      <c r="E139" s="259"/>
      <c r="F139" s="1" t="s">
        <v>3</v>
      </c>
      <c r="G139" s="21">
        <f>SUM(G134:G135)/G104</f>
        <v>0</v>
      </c>
      <c r="I139" s="21">
        <f>IFERROR(SUM(I130:I135)/I104,0)</f>
        <v>0</v>
      </c>
      <c r="J139" s="21">
        <f t="shared" ref="J139:V139" si="77">IFERROR(SUM(J130:J135)/J104,0)</f>
        <v>0</v>
      </c>
      <c r="K139" s="21">
        <f t="shared" si="77"/>
        <v>0</v>
      </c>
      <c r="L139" s="21">
        <f t="shared" si="77"/>
        <v>0</v>
      </c>
      <c r="M139" s="21">
        <f t="shared" si="77"/>
        <v>0</v>
      </c>
      <c r="N139" s="21">
        <f t="shared" si="77"/>
        <v>0</v>
      </c>
      <c r="O139" s="21">
        <f t="shared" si="77"/>
        <v>0</v>
      </c>
      <c r="P139" s="21">
        <f t="shared" si="77"/>
        <v>0</v>
      </c>
      <c r="Q139" s="21">
        <f t="shared" si="77"/>
        <v>0</v>
      </c>
      <c r="R139" s="21">
        <f t="shared" si="77"/>
        <v>0</v>
      </c>
      <c r="S139" s="21">
        <f t="shared" si="77"/>
        <v>676</v>
      </c>
      <c r="T139" s="21">
        <f t="shared" si="77"/>
        <v>676</v>
      </c>
      <c r="U139" s="21">
        <f t="shared" si="77"/>
        <v>676</v>
      </c>
      <c r="V139" s="21">
        <f t="shared" si="77"/>
        <v>676</v>
      </c>
      <c r="W139" s="563"/>
      <c r="X139" s="563"/>
      <c r="Y139" s="563"/>
      <c r="Z139" s="563"/>
      <c r="AA139" s="563"/>
      <c r="AB139" s="563"/>
      <c r="AC139" s="563"/>
      <c r="AD139" s="563"/>
      <c r="AE139" s="563"/>
    </row>
    <row r="140" spans="2:31" x14ac:dyDescent="0.2">
      <c r="C140" s="20"/>
      <c r="D140" s="20"/>
    </row>
    <row r="141" spans="2:31" x14ac:dyDescent="0.2">
      <c r="C141" s="22"/>
      <c r="D141" s="22"/>
      <c r="E141" s="23"/>
      <c r="F141" s="23"/>
      <c r="G141" s="23"/>
      <c r="H141" s="23"/>
      <c r="I141" s="23"/>
      <c r="J141" s="23"/>
      <c r="K141" s="23"/>
      <c r="L141" s="23"/>
      <c r="M141" s="23"/>
      <c r="N141" s="23"/>
      <c r="O141" s="23"/>
      <c r="P141" s="23"/>
      <c r="Q141" s="23"/>
      <c r="R141" s="23"/>
      <c r="S141" s="23"/>
      <c r="T141" s="23"/>
      <c r="U141" s="23"/>
      <c r="V141" s="23"/>
    </row>
    <row r="142" spans="2:31" x14ac:dyDescent="0.2">
      <c r="C142" s="20"/>
      <c r="D142" s="20"/>
    </row>
    <row r="143" spans="2:31" x14ac:dyDescent="0.2">
      <c r="B143" s="10">
        <f>B93+0.1</f>
        <v>2.2000000000000002</v>
      </c>
      <c r="C143" s="20" t="s">
        <v>18</v>
      </c>
      <c r="D143" s="20"/>
      <c r="L143" s="33"/>
    </row>
    <row r="144" spans="2:31" x14ac:dyDescent="0.2">
      <c r="C144" s="5"/>
      <c r="D144" s="234"/>
      <c r="E144" s="62" t="s">
        <v>519</v>
      </c>
    </row>
    <row r="145" spans="1:31" x14ac:dyDescent="0.2">
      <c r="C145" s="5" t="s">
        <v>580</v>
      </c>
      <c r="D145" s="120"/>
      <c r="E145" s="269">
        <f>'Plant model'!E145</f>
        <v>1.5782513552838198</v>
      </c>
      <c r="F145" s="1" t="s">
        <v>914</v>
      </c>
      <c r="G145" s="21">
        <f>SUM(I145:V145)</f>
        <v>0.55611156249999993</v>
      </c>
      <c r="H145" s="33"/>
      <c r="I145" s="45">
        <f t="shared" ref="I145:V147" si="78">I$104*$E145</f>
        <v>0</v>
      </c>
      <c r="J145" s="45">
        <f t="shared" si="78"/>
        <v>0</v>
      </c>
      <c r="K145" s="45">
        <f t="shared" si="78"/>
        <v>0</v>
      </c>
      <c r="L145" s="45">
        <f t="shared" si="78"/>
        <v>0</v>
      </c>
      <c r="M145" s="45">
        <f t="shared" si="78"/>
        <v>0</v>
      </c>
      <c r="N145" s="45">
        <f t="shared" si="78"/>
        <v>0</v>
      </c>
      <c r="O145" s="45">
        <f t="shared" si="78"/>
        <v>0</v>
      </c>
      <c r="P145" s="45">
        <f t="shared" si="78"/>
        <v>0</v>
      </c>
      <c r="Q145" s="45">
        <f t="shared" si="78"/>
        <v>0</v>
      </c>
      <c r="R145" s="45">
        <f t="shared" si="78"/>
        <v>0</v>
      </c>
      <c r="S145" s="45">
        <f t="shared" si="78"/>
        <v>8.5555624999999996E-2</v>
      </c>
      <c r="T145" s="45">
        <f t="shared" si="78"/>
        <v>0.12833343749999998</v>
      </c>
      <c r="U145" s="45">
        <f t="shared" si="78"/>
        <v>0.17111124999999999</v>
      </c>
      <c r="V145" s="45">
        <f t="shared" si="78"/>
        <v>0.17111124999999999</v>
      </c>
      <c r="W145" s="568"/>
      <c r="X145" s="568"/>
      <c r="Y145" s="568"/>
      <c r="Z145" s="568"/>
      <c r="AA145" s="568"/>
      <c r="AB145" s="568"/>
      <c r="AC145" s="568"/>
      <c r="AD145" s="568"/>
      <c r="AE145" s="568"/>
    </row>
    <row r="146" spans="1:31" x14ac:dyDescent="0.2">
      <c r="C146" s="5" t="s">
        <v>379</v>
      </c>
      <c r="D146" s="120"/>
      <c r="E146" s="269">
        <f>'Plant model'!E146</f>
        <v>6.6600000000000006E-2</v>
      </c>
      <c r="F146" s="1" t="s">
        <v>914</v>
      </c>
      <c r="G146" s="21">
        <f>SUM(I146:V146)</f>
        <v>2.3467130212499999E-2</v>
      </c>
      <c r="I146" s="45">
        <f t="shared" si="78"/>
        <v>0</v>
      </c>
      <c r="J146" s="45">
        <f t="shared" si="78"/>
        <v>0</v>
      </c>
      <c r="K146" s="45">
        <f t="shared" si="78"/>
        <v>0</v>
      </c>
      <c r="L146" s="45">
        <f t="shared" si="78"/>
        <v>0</v>
      </c>
      <c r="M146" s="45">
        <f t="shared" si="78"/>
        <v>0</v>
      </c>
      <c r="N146" s="45">
        <f t="shared" si="78"/>
        <v>0</v>
      </c>
      <c r="O146" s="45">
        <f t="shared" si="78"/>
        <v>0</v>
      </c>
      <c r="P146" s="45">
        <f t="shared" si="78"/>
        <v>0</v>
      </c>
      <c r="Q146" s="45">
        <f t="shared" si="78"/>
        <v>0</v>
      </c>
      <c r="R146" s="45">
        <f t="shared" si="78"/>
        <v>0</v>
      </c>
      <c r="S146" s="45">
        <f t="shared" si="78"/>
        <v>3.6103277250000001E-3</v>
      </c>
      <c r="T146" s="45">
        <f t="shared" si="78"/>
        <v>5.4154915875000006E-3</v>
      </c>
      <c r="U146" s="45">
        <f t="shared" si="78"/>
        <v>7.2206554500000002E-3</v>
      </c>
      <c r="V146" s="45">
        <f t="shared" si="78"/>
        <v>7.2206554500000002E-3</v>
      </c>
      <c r="W146" s="568"/>
      <c r="X146" s="568"/>
      <c r="Y146" s="568"/>
      <c r="Z146" s="568"/>
      <c r="AA146" s="568"/>
      <c r="AB146" s="568"/>
      <c r="AC146" s="568"/>
      <c r="AD146" s="568"/>
      <c r="AE146" s="568"/>
    </row>
    <row r="147" spans="1:31" x14ac:dyDescent="0.2">
      <c r="C147" s="5" t="s">
        <v>575</v>
      </c>
      <c r="D147" s="120"/>
      <c r="E147" s="269">
        <f>'Plant model'!E147</f>
        <v>5.8783093246970203E-2</v>
      </c>
      <c r="F147" s="1" t="s">
        <v>914</v>
      </c>
      <c r="G147" s="21">
        <f>SUM(I147:V147)</f>
        <v>2.0712770323125809E-2</v>
      </c>
      <c r="I147" s="45">
        <f t="shared" si="78"/>
        <v>0</v>
      </c>
      <c r="J147" s="45">
        <f t="shared" si="78"/>
        <v>0</v>
      </c>
      <c r="K147" s="45">
        <f t="shared" si="78"/>
        <v>0</v>
      </c>
      <c r="L147" s="45">
        <f t="shared" si="78"/>
        <v>0</v>
      </c>
      <c r="M147" s="45">
        <f t="shared" si="78"/>
        <v>0</v>
      </c>
      <c r="N147" s="45">
        <f t="shared" si="78"/>
        <v>0</v>
      </c>
      <c r="O147" s="45">
        <f t="shared" si="78"/>
        <v>0</v>
      </c>
      <c r="P147" s="45">
        <f t="shared" si="78"/>
        <v>0</v>
      </c>
      <c r="Q147" s="45">
        <f t="shared" si="78"/>
        <v>0</v>
      </c>
      <c r="R147" s="45">
        <f t="shared" si="78"/>
        <v>0</v>
      </c>
      <c r="S147" s="45">
        <f t="shared" si="78"/>
        <v>3.1865800497116632E-3</v>
      </c>
      <c r="T147" s="45">
        <f t="shared" si="78"/>
        <v>4.7798700745674948E-3</v>
      </c>
      <c r="U147" s="45">
        <f t="shared" si="78"/>
        <v>6.3731600994233265E-3</v>
      </c>
      <c r="V147" s="45">
        <f t="shared" si="78"/>
        <v>6.3731600994233265E-3</v>
      </c>
      <c r="W147" s="568"/>
      <c r="X147" s="568"/>
      <c r="Y147" s="568"/>
      <c r="Z147" s="568"/>
      <c r="AA147" s="568"/>
      <c r="AB147" s="568"/>
      <c r="AC147" s="568"/>
      <c r="AD147" s="568"/>
      <c r="AE147" s="568"/>
    </row>
    <row r="148" spans="1:31" x14ac:dyDescent="0.2">
      <c r="A148" s="27"/>
      <c r="C148" s="28"/>
      <c r="D148" s="28"/>
      <c r="E148" s="25"/>
      <c r="G148" s="25"/>
      <c r="H148" s="255"/>
      <c r="U148" s="29"/>
    </row>
    <row r="149" spans="1:31" x14ac:dyDescent="0.2">
      <c r="C149" s="22"/>
      <c r="D149" s="22"/>
      <c r="E149" s="23"/>
      <c r="F149" s="23"/>
      <c r="G149" s="23"/>
      <c r="H149" s="23"/>
      <c r="I149" s="23"/>
      <c r="J149" s="23"/>
      <c r="K149" s="23"/>
      <c r="L149" s="332"/>
      <c r="M149" s="23"/>
      <c r="N149" s="23"/>
      <c r="O149" s="23"/>
      <c r="P149" s="23"/>
      <c r="Q149" s="23"/>
      <c r="R149" s="23"/>
      <c r="S149" s="23"/>
      <c r="T149" s="23"/>
      <c r="U149" s="23"/>
      <c r="V149" s="23"/>
    </row>
    <row r="150" spans="1:31" x14ac:dyDescent="0.2">
      <c r="A150" s="27"/>
      <c r="C150" s="28"/>
      <c r="D150" s="28"/>
      <c r="E150" s="25"/>
      <c r="G150" s="25"/>
      <c r="H150" s="26"/>
      <c r="U150" s="29"/>
    </row>
    <row r="151" spans="1:31" x14ac:dyDescent="0.2">
      <c r="A151" s="27"/>
      <c r="B151" s="10">
        <f>B143+0.1</f>
        <v>2.3000000000000003</v>
      </c>
      <c r="C151" s="31" t="s">
        <v>20</v>
      </c>
      <c r="D151" s="31"/>
      <c r="E151" s="25"/>
      <c r="G151" s="25"/>
      <c r="H151" s="26"/>
      <c r="L151" s="333"/>
      <c r="U151" s="29"/>
    </row>
    <row r="152" spans="1:31" x14ac:dyDescent="0.2">
      <c r="A152" s="27"/>
      <c r="C152" s="28"/>
      <c r="D152" s="28"/>
      <c r="E152" s="25"/>
      <c r="G152" s="25"/>
      <c r="H152" s="26"/>
      <c r="I152" s="33"/>
      <c r="U152" s="29"/>
    </row>
    <row r="153" spans="1:31" x14ac:dyDescent="0.2">
      <c r="A153" s="27"/>
      <c r="C153" s="31" t="s">
        <v>392</v>
      </c>
      <c r="D153" s="28"/>
      <c r="E153" s="25"/>
      <c r="G153" s="25"/>
      <c r="H153" s="26"/>
      <c r="U153" s="29"/>
    </row>
    <row r="154" spans="1:31" x14ac:dyDescent="0.2">
      <c r="A154" s="27"/>
      <c r="C154" s="31"/>
      <c r="D154" s="28"/>
      <c r="E154" s="25"/>
      <c r="G154" s="25"/>
      <c r="H154" s="26"/>
      <c r="U154" s="29"/>
    </row>
    <row r="155" spans="1:31" x14ac:dyDescent="0.2">
      <c r="A155" s="27"/>
      <c r="C155" s="28" t="s">
        <v>21</v>
      </c>
      <c r="D155" s="28"/>
      <c r="E155" s="269">
        <f>'Plant model'!E155</f>
        <v>4.011485421176471</v>
      </c>
      <c r="F155" s="1" t="s">
        <v>394</v>
      </c>
      <c r="G155" s="25"/>
      <c r="H155" s="26"/>
      <c r="I155" s="26">
        <f t="shared" ref="I155:L156" si="79">$E155</f>
        <v>4.011485421176471</v>
      </c>
      <c r="J155" s="26">
        <f t="shared" si="79"/>
        <v>4.011485421176471</v>
      </c>
      <c r="K155" s="26">
        <f t="shared" si="79"/>
        <v>4.011485421176471</v>
      </c>
      <c r="L155" s="26">
        <f t="shared" si="79"/>
        <v>4.011485421176471</v>
      </c>
      <c r="M155" s="26">
        <f t="shared" ref="M155:V156" si="80">$E155</f>
        <v>4.011485421176471</v>
      </c>
      <c r="N155" s="26">
        <f t="shared" si="80"/>
        <v>4.011485421176471</v>
      </c>
      <c r="O155" s="26">
        <f t="shared" si="80"/>
        <v>4.011485421176471</v>
      </c>
      <c r="P155" s="26">
        <f t="shared" si="80"/>
        <v>4.011485421176471</v>
      </c>
      <c r="Q155" s="26">
        <f t="shared" si="80"/>
        <v>4.011485421176471</v>
      </c>
      <c r="R155" s="26">
        <f t="shared" si="80"/>
        <v>4.011485421176471</v>
      </c>
      <c r="S155" s="26">
        <f t="shared" si="80"/>
        <v>4.011485421176471</v>
      </c>
      <c r="T155" s="26">
        <f t="shared" si="80"/>
        <v>4.011485421176471</v>
      </c>
      <c r="U155" s="26">
        <f t="shared" si="80"/>
        <v>4.011485421176471</v>
      </c>
      <c r="V155" s="26">
        <f t="shared" si="80"/>
        <v>4.011485421176471</v>
      </c>
      <c r="W155" s="581"/>
      <c r="X155" s="581"/>
      <c r="Y155" s="581"/>
      <c r="Z155" s="581"/>
      <c r="AA155" s="581"/>
      <c r="AB155" s="581"/>
      <c r="AC155" s="581"/>
      <c r="AD155" s="581"/>
      <c r="AE155" s="581"/>
    </row>
    <row r="156" spans="1:31" x14ac:dyDescent="0.2">
      <c r="A156" s="27"/>
      <c r="C156" s="28" t="s">
        <v>395</v>
      </c>
      <c r="D156" s="28"/>
      <c r="E156" s="269">
        <f>'Plant model'!E156/4</f>
        <v>2.9707250000000001E-2</v>
      </c>
      <c r="F156" s="1" t="s">
        <v>55</v>
      </c>
      <c r="G156" s="25"/>
      <c r="H156" s="26"/>
      <c r="I156" s="26">
        <f t="shared" si="79"/>
        <v>2.9707250000000001E-2</v>
      </c>
      <c r="J156" s="26">
        <f t="shared" si="79"/>
        <v>2.9707250000000001E-2</v>
      </c>
      <c r="K156" s="26">
        <f t="shared" si="79"/>
        <v>2.9707250000000001E-2</v>
      </c>
      <c r="L156" s="26">
        <f t="shared" si="79"/>
        <v>2.9707250000000001E-2</v>
      </c>
      <c r="M156" s="26">
        <f t="shared" si="80"/>
        <v>2.9707250000000001E-2</v>
      </c>
      <c r="N156" s="26">
        <f t="shared" si="80"/>
        <v>2.9707250000000001E-2</v>
      </c>
      <c r="O156" s="26">
        <f t="shared" si="80"/>
        <v>2.9707250000000001E-2</v>
      </c>
      <c r="P156" s="26">
        <f t="shared" si="80"/>
        <v>2.9707250000000001E-2</v>
      </c>
      <c r="Q156" s="26">
        <f t="shared" si="80"/>
        <v>2.9707250000000001E-2</v>
      </c>
      <c r="R156" s="26">
        <f t="shared" si="80"/>
        <v>2.9707250000000001E-2</v>
      </c>
      <c r="S156" s="26">
        <f t="shared" si="80"/>
        <v>2.9707250000000001E-2</v>
      </c>
      <c r="T156" s="26">
        <f t="shared" si="80"/>
        <v>2.9707250000000001E-2</v>
      </c>
      <c r="U156" s="26">
        <f t="shared" si="80"/>
        <v>2.9707250000000001E-2</v>
      </c>
      <c r="V156" s="26">
        <f t="shared" si="80"/>
        <v>2.9707250000000001E-2</v>
      </c>
      <c r="W156" s="581"/>
      <c r="X156" s="581"/>
      <c r="Y156" s="581"/>
      <c r="Z156" s="581"/>
      <c r="AA156" s="581"/>
      <c r="AB156" s="581"/>
      <c r="AC156" s="581"/>
      <c r="AD156" s="581"/>
      <c r="AE156" s="581"/>
    </row>
    <row r="157" spans="1:31" x14ac:dyDescent="0.2">
      <c r="A157" s="27"/>
      <c r="C157" s="28"/>
      <c r="D157" s="28"/>
      <c r="E157" s="25"/>
      <c r="G157" s="25"/>
      <c r="H157" s="26"/>
      <c r="U157" s="29"/>
    </row>
    <row r="158" spans="1:31" x14ac:dyDescent="0.2">
      <c r="A158" s="27"/>
      <c r="C158" s="31" t="s">
        <v>528</v>
      </c>
      <c r="D158" s="28"/>
      <c r="E158" s="25"/>
      <c r="G158" s="25"/>
      <c r="H158" s="26"/>
      <c r="U158" s="29"/>
    </row>
    <row r="159" spans="1:31" x14ac:dyDescent="0.2">
      <c r="A159" s="27"/>
      <c r="C159" s="28"/>
      <c r="D159" s="28"/>
      <c r="E159" s="25"/>
      <c r="G159" s="25"/>
      <c r="H159" s="26"/>
      <c r="U159" s="29"/>
    </row>
    <row r="160" spans="1:31" x14ac:dyDescent="0.2">
      <c r="C160" s="28" t="s">
        <v>23</v>
      </c>
      <c r="E160" s="269">
        <f>'Plant model'!E160</f>
        <v>11.329231745442984</v>
      </c>
      <c r="F160" s="1" t="s">
        <v>393</v>
      </c>
      <c r="I160" s="26">
        <f t="shared" ref="I160:V163" si="81">$E160</f>
        <v>11.329231745442984</v>
      </c>
      <c r="J160" s="26">
        <f t="shared" si="81"/>
        <v>11.329231745442984</v>
      </c>
      <c r="K160" s="26">
        <f t="shared" si="81"/>
        <v>11.329231745442984</v>
      </c>
      <c r="L160" s="26">
        <f t="shared" si="81"/>
        <v>11.329231745442984</v>
      </c>
      <c r="M160" s="26">
        <f t="shared" si="81"/>
        <v>11.329231745442984</v>
      </c>
      <c r="N160" s="26">
        <f t="shared" si="81"/>
        <v>11.329231745442984</v>
      </c>
      <c r="O160" s="26">
        <f t="shared" si="81"/>
        <v>11.329231745442984</v>
      </c>
      <c r="P160" s="26">
        <f t="shared" si="81"/>
        <v>11.329231745442984</v>
      </c>
      <c r="Q160" s="26">
        <f t="shared" si="81"/>
        <v>11.329231745442984</v>
      </c>
      <c r="R160" s="26">
        <f t="shared" si="81"/>
        <v>11.329231745442984</v>
      </c>
      <c r="S160" s="26">
        <f t="shared" si="81"/>
        <v>11.329231745442984</v>
      </c>
      <c r="T160" s="26">
        <f t="shared" si="81"/>
        <v>11.329231745442984</v>
      </c>
      <c r="U160" s="26">
        <f t="shared" si="81"/>
        <v>11.329231745442984</v>
      </c>
      <c r="V160" s="26">
        <f t="shared" si="81"/>
        <v>11.329231745442984</v>
      </c>
      <c r="W160" s="581"/>
      <c r="X160" s="581"/>
      <c r="Y160" s="581"/>
      <c r="Z160" s="581"/>
      <c r="AA160" s="581"/>
      <c r="AB160" s="581"/>
      <c r="AC160" s="581"/>
      <c r="AD160" s="581"/>
      <c r="AE160" s="581"/>
    </row>
    <row r="161" spans="1:31" x14ac:dyDescent="0.2">
      <c r="C161" s="28" t="s">
        <v>21</v>
      </c>
      <c r="E161" s="269">
        <f>'Plant model'!E161</f>
        <v>90.031800808785363</v>
      </c>
      <c r="F161" s="1" t="s">
        <v>394</v>
      </c>
      <c r="I161" s="26">
        <f t="shared" si="81"/>
        <v>90.031800808785363</v>
      </c>
      <c r="J161" s="26">
        <f t="shared" si="81"/>
        <v>90.031800808785363</v>
      </c>
      <c r="K161" s="26">
        <f t="shared" si="81"/>
        <v>90.031800808785363</v>
      </c>
      <c r="L161" s="26">
        <f t="shared" si="81"/>
        <v>90.031800808785363</v>
      </c>
      <c r="M161" s="26">
        <f t="shared" si="81"/>
        <v>90.031800808785363</v>
      </c>
      <c r="N161" s="26">
        <f t="shared" si="81"/>
        <v>90.031800808785363</v>
      </c>
      <c r="O161" s="26">
        <f t="shared" si="81"/>
        <v>90.031800808785363</v>
      </c>
      <c r="P161" s="26">
        <f t="shared" si="81"/>
        <v>90.031800808785363</v>
      </c>
      <c r="Q161" s="26">
        <f t="shared" si="81"/>
        <v>90.031800808785363</v>
      </c>
      <c r="R161" s="26">
        <f t="shared" si="81"/>
        <v>90.031800808785363</v>
      </c>
      <c r="S161" s="26">
        <f t="shared" si="81"/>
        <v>90.031800808785363</v>
      </c>
      <c r="T161" s="26">
        <f t="shared" si="81"/>
        <v>90.031800808785363</v>
      </c>
      <c r="U161" s="26">
        <f t="shared" si="81"/>
        <v>90.031800808785363</v>
      </c>
      <c r="V161" s="26">
        <f t="shared" si="81"/>
        <v>90.031800808785363</v>
      </c>
      <c r="W161" s="581"/>
      <c r="X161" s="581"/>
      <c r="Y161" s="581"/>
      <c r="Z161" s="581"/>
      <c r="AA161" s="581"/>
      <c r="AB161" s="581"/>
      <c r="AC161" s="581"/>
      <c r="AD161" s="581"/>
      <c r="AE161" s="581"/>
    </row>
    <row r="162" spans="1:31" x14ac:dyDescent="0.2">
      <c r="C162" s="28" t="s">
        <v>397</v>
      </c>
      <c r="E162" s="269">
        <f>'Plant model'!E162/4</f>
        <v>0.33609699999999998</v>
      </c>
      <c r="F162" s="1" t="s">
        <v>55</v>
      </c>
      <c r="I162" s="26">
        <f t="shared" si="81"/>
        <v>0.33609699999999998</v>
      </c>
      <c r="J162" s="26">
        <f t="shared" si="81"/>
        <v>0.33609699999999998</v>
      </c>
      <c r="K162" s="26">
        <f t="shared" si="81"/>
        <v>0.33609699999999998</v>
      </c>
      <c r="L162" s="26">
        <f t="shared" si="81"/>
        <v>0.33609699999999998</v>
      </c>
      <c r="M162" s="26">
        <f t="shared" si="81"/>
        <v>0.33609699999999998</v>
      </c>
      <c r="N162" s="26">
        <f t="shared" si="81"/>
        <v>0.33609699999999998</v>
      </c>
      <c r="O162" s="26">
        <f t="shared" si="81"/>
        <v>0.33609699999999998</v>
      </c>
      <c r="P162" s="26">
        <f t="shared" si="81"/>
        <v>0.33609699999999998</v>
      </c>
      <c r="Q162" s="26">
        <f t="shared" si="81"/>
        <v>0.33609699999999998</v>
      </c>
      <c r="R162" s="26">
        <f t="shared" si="81"/>
        <v>0.33609699999999998</v>
      </c>
      <c r="S162" s="26">
        <f t="shared" si="81"/>
        <v>0.33609699999999998</v>
      </c>
      <c r="T162" s="26">
        <f t="shared" si="81"/>
        <v>0.33609699999999998</v>
      </c>
      <c r="U162" s="26">
        <f t="shared" si="81"/>
        <v>0.33609699999999998</v>
      </c>
      <c r="V162" s="26">
        <f t="shared" si="81"/>
        <v>0.33609699999999998</v>
      </c>
      <c r="W162" s="581"/>
      <c r="X162" s="581"/>
      <c r="Y162" s="581"/>
      <c r="Z162" s="581"/>
      <c r="AA162" s="581"/>
      <c r="AB162" s="581"/>
      <c r="AC162" s="581"/>
      <c r="AD162" s="581"/>
      <c r="AE162" s="581"/>
    </row>
    <row r="163" spans="1:31" x14ac:dyDescent="0.2">
      <c r="C163" s="28" t="s">
        <v>516</v>
      </c>
      <c r="E163" s="269">
        <f>'Plant model'!E163</f>
        <v>5.05</v>
      </c>
      <c r="F163" s="1" t="s">
        <v>405</v>
      </c>
      <c r="I163" s="26">
        <f>$E163</f>
        <v>5.05</v>
      </c>
      <c r="J163" s="26">
        <f>$E163</f>
        <v>5.05</v>
      </c>
      <c r="K163" s="26">
        <f>$E163</f>
        <v>5.05</v>
      </c>
      <c r="L163" s="26">
        <f>$E163</f>
        <v>5.05</v>
      </c>
      <c r="M163" s="26">
        <f t="shared" si="81"/>
        <v>5.05</v>
      </c>
      <c r="N163" s="26">
        <f t="shared" si="81"/>
        <v>5.05</v>
      </c>
      <c r="O163" s="26">
        <f t="shared" si="81"/>
        <v>5.05</v>
      </c>
      <c r="P163" s="26">
        <f t="shared" si="81"/>
        <v>5.05</v>
      </c>
      <c r="Q163" s="26">
        <f t="shared" si="81"/>
        <v>5.05</v>
      </c>
      <c r="R163" s="26">
        <f t="shared" si="81"/>
        <v>5.05</v>
      </c>
      <c r="S163" s="26">
        <f t="shared" si="81"/>
        <v>5.05</v>
      </c>
      <c r="T163" s="26">
        <f t="shared" si="81"/>
        <v>5.05</v>
      </c>
      <c r="U163" s="26">
        <f t="shared" si="81"/>
        <v>5.05</v>
      </c>
      <c r="V163" s="26">
        <f t="shared" si="81"/>
        <v>5.05</v>
      </c>
      <c r="W163" s="581"/>
      <c r="X163" s="581"/>
      <c r="Y163" s="581"/>
      <c r="Z163" s="581"/>
      <c r="AA163" s="581"/>
      <c r="AB163" s="581"/>
      <c r="AC163" s="581"/>
      <c r="AD163" s="581"/>
      <c r="AE163" s="581"/>
    </row>
    <row r="165" spans="1:31" x14ac:dyDescent="0.2">
      <c r="C165" s="9" t="s">
        <v>389</v>
      </c>
    </row>
    <row r="167" spans="1:31" x14ac:dyDescent="0.2">
      <c r="C167" s="28" t="s">
        <v>399</v>
      </c>
      <c r="E167" s="269">
        <f>'Plant model'!E167</f>
        <v>2</v>
      </c>
      <c r="F167" s="1" t="s">
        <v>398</v>
      </c>
      <c r="I167" s="26">
        <f t="shared" ref="I167:V176" si="82">$E167</f>
        <v>2</v>
      </c>
      <c r="J167" s="26">
        <f t="shared" si="82"/>
        <v>2</v>
      </c>
      <c r="K167" s="26">
        <f t="shared" si="82"/>
        <v>2</v>
      </c>
      <c r="L167" s="26">
        <f t="shared" si="82"/>
        <v>2</v>
      </c>
      <c r="M167" s="26">
        <f t="shared" si="82"/>
        <v>2</v>
      </c>
      <c r="N167" s="26">
        <f t="shared" si="82"/>
        <v>2</v>
      </c>
      <c r="O167" s="26">
        <f t="shared" si="82"/>
        <v>2</v>
      </c>
      <c r="P167" s="26">
        <f t="shared" si="82"/>
        <v>2</v>
      </c>
      <c r="Q167" s="26">
        <f t="shared" si="82"/>
        <v>2</v>
      </c>
      <c r="R167" s="26">
        <f t="shared" si="82"/>
        <v>2</v>
      </c>
      <c r="S167" s="26">
        <f t="shared" si="82"/>
        <v>2</v>
      </c>
      <c r="T167" s="26">
        <f t="shared" si="82"/>
        <v>2</v>
      </c>
      <c r="U167" s="26">
        <f t="shared" si="82"/>
        <v>2</v>
      </c>
      <c r="V167" s="26">
        <f t="shared" si="82"/>
        <v>2</v>
      </c>
      <c r="W167" s="581"/>
      <c r="X167" s="581"/>
      <c r="Y167" s="581"/>
      <c r="Z167" s="581"/>
      <c r="AA167" s="581"/>
      <c r="AB167" s="581"/>
      <c r="AC167" s="581"/>
      <c r="AD167" s="581"/>
      <c r="AE167" s="581"/>
    </row>
    <row r="168" spans="1:31" x14ac:dyDescent="0.2">
      <c r="A168" s="27"/>
      <c r="B168" s="24"/>
      <c r="C168" s="28" t="s">
        <v>691</v>
      </c>
      <c r="D168" s="28"/>
      <c r="E168" s="269">
        <f>'Plant model'!E168</f>
        <v>0.5</v>
      </c>
      <c r="F168" s="1" t="s">
        <v>519</v>
      </c>
      <c r="G168" s="25"/>
      <c r="H168" s="26"/>
      <c r="I168" s="26">
        <f t="shared" si="82"/>
        <v>0.5</v>
      </c>
      <c r="J168" s="26">
        <f t="shared" si="82"/>
        <v>0.5</v>
      </c>
      <c r="K168" s="26">
        <f t="shared" si="82"/>
        <v>0.5</v>
      </c>
      <c r="L168" s="26">
        <f t="shared" si="82"/>
        <v>0.5</v>
      </c>
      <c r="M168" s="26">
        <f t="shared" si="82"/>
        <v>0.5</v>
      </c>
      <c r="N168" s="26">
        <f t="shared" si="82"/>
        <v>0.5</v>
      </c>
      <c r="O168" s="26">
        <f t="shared" si="82"/>
        <v>0.5</v>
      </c>
      <c r="P168" s="26">
        <f t="shared" si="82"/>
        <v>0.5</v>
      </c>
      <c r="Q168" s="26">
        <f t="shared" si="82"/>
        <v>0.5</v>
      </c>
      <c r="R168" s="26">
        <f t="shared" si="82"/>
        <v>0.5</v>
      </c>
      <c r="S168" s="26">
        <f t="shared" si="82"/>
        <v>0.5</v>
      </c>
      <c r="T168" s="26">
        <f t="shared" si="82"/>
        <v>0.5</v>
      </c>
      <c r="U168" s="26">
        <f t="shared" si="82"/>
        <v>0.5</v>
      </c>
      <c r="V168" s="26">
        <f t="shared" si="82"/>
        <v>0.5</v>
      </c>
      <c r="W168" s="581"/>
      <c r="X168" s="581"/>
      <c r="Y168" s="581"/>
      <c r="Z168" s="581"/>
      <c r="AA168" s="581"/>
      <c r="AB168" s="581"/>
      <c r="AC168" s="581"/>
      <c r="AD168" s="581"/>
      <c r="AE168" s="581"/>
    </row>
    <row r="169" spans="1:31" x14ac:dyDescent="0.2">
      <c r="C169" s="28" t="s">
        <v>686</v>
      </c>
      <c r="E169" s="269">
        <f>'Plant model'!E169</f>
        <v>2.5</v>
      </c>
      <c r="F169" s="1" t="s">
        <v>398</v>
      </c>
      <c r="I169" s="26">
        <f t="shared" si="82"/>
        <v>2.5</v>
      </c>
      <c r="J169" s="26">
        <f t="shared" si="82"/>
        <v>2.5</v>
      </c>
      <c r="K169" s="26">
        <f t="shared" si="82"/>
        <v>2.5</v>
      </c>
      <c r="L169" s="26">
        <f t="shared" si="82"/>
        <v>2.5</v>
      </c>
      <c r="M169" s="26">
        <f t="shared" si="82"/>
        <v>2.5</v>
      </c>
      <c r="N169" s="26">
        <f t="shared" si="82"/>
        <v>2.5</v>
      </c>
      <c r="O169" s="26">
        <f t="shared" si="82"/>
        <v>2.5</v>
      </c>
      <c r="P169" s="26">
        <f t="shared" si="82"/>
        <v>2.5</v>
      </c>
      <c r="Q169" s="26">
        <f t="shared" si="82"/>
        <v>2.5</v>
      </c>
      <c r="R169" s="26">
        <f t="shared" si="82"/>
        <v>2.5</v>
      </c>
      <c r="S169" s="26">
        <f t="shared" si="82"/>
        <v>2.5</v>
      </c>
      <c r="T169" s="26">
        <f t="shared" si="82"/>
        <v>2.5</v>
      </c>
      <c r="U169" s="26">
        <f t="shared" si="82"/>
        <v>2.5</v>
      </c>
      <c r="V169" s="26">
        <f t="shared" si="82"/>
        <v>2.5</v>
      </c>
      <c r="W169" s="581"/>
      <c r="X169" s="581"/>
      <c r="Y169" s="581"/>
      <c r="Z169" s="581"/>
      <c r="AA169" s="581"/>
      <c r="AB169" s="581"/>
      <c r="AC169" s="581"/>
      <c r="AD169" s="581"/>
      <c r="AE169" s="581"/>
    </row>
    <row r="170" spans="1:31" x14ac:dyDescent="0.2">
      <c r="C170" s="28" t="s">
        <v>687</v>
      </c>
      <c r="E170" s="269">
        <f>'Plant model'!E170</f>
        <v>1</v>
      </c>
      <c r="F170" s="1" t="s">
        <v>398</v>
      </c>
      <c r="I170" s="26">
        <f t="shared" si="82"/>
        <v>1</v>
      </c>
      <c r="J170" s="26">
        <f t="shared" si="82"/>
        <v>1</v>
      </c>
      <c r="K170" s="26">
        <f t="shared" si="82"/>
        <v>1</v>
      </c>
      <c r="L170" s="26">
        <f t="shared" si="82"/>
        <v>1</v>
      </c>
      <c r="M170" s="26">
        <f t="shared" si="82"/>
        <v>1</v>
      </c>
      <c r="N170" s="26">
        <f t="shared" si="82"/>
        <v>1</v>
      </c>
      <c r="O170" s="26">
        <f t="shared" si="82"/>
        <v>1</v>
      </c>
      <c r="P170" s="26">
        <f t="shared" si="82"/>
        <v>1</v>
      </c>
      <c r="Q170" s="26">
        <f t="shared" si="82"/>
        <v>1</v>
      </c>
      <c r="R170" s="26">
        <f t="shared" si="82"/>
        <v>1</v>
      </c>
      <c r="S170" s="26">
        <f t="shared" si="82"/>
        <v>1</v>
      </c>
      <c r="T170" s="26">
        <f t="shared" si="82"/>
        <v>1</v>
      </c>
      <c r="U170" s="26">
        <f t="shared" si="82"/>
        <v>1</v>
      </c>
      <c r="V170" s="26">
        <f t="shared" si="82"/>
        <v>1</v>
      </c>
      <c r="W170" s="581"/>
      <c r="X170" s="581"/>
      <c r="Y170" s="581"/>
      <c r="Z170" s="581"/>
      <c r="AA170" s="581"/>
      <c r="AB170" s="581"/>
      <c r="AC170" s="581"/>
      <c r="AD170" s="581"/>
      <c r="AE170" s="581"/>
    </row>
    <row r="171" spans="1:31" x14ac:dyDescent="0.2">
      <c r="A171" s="27"/>
      <c r="B171" s="24"/>
      <c r="C171" s="28" t="s">
        <v>404</v>
      </c>
      <c r="D171" s="28"/>
      <c r="E171" s="269">
        <f>'Plant model'!E171/4</f>
        <v>1.8422499999999999E-3</v>
      </c>
      <c r="F171" s="1" t="s">
        <v>55</v>
      </c>
      <c r="G171" s="25"/>
      <c r="H171" s="26"/>
      <c r="I171" s="26">
        <f t="shared" si="82"/>
        <v>1.8422499999999999E-3</v>
      </c>
      <c r="J171" s="26">
        <f t="shared" si="82"/>
        <v>1.8422499999999999E-3</v>
      </c>
      <c r="K171" s="26">
        <f t="shared" si="82"/>
        <v>1.8422499999999999E-3</v>
      </c>
      <c r="L171" s="26">
        <f t="shared" si="82"/>
        <v>1.8422499999999999E-3</v>
      </c>
      <c r="M171" s="26">
        <f t="shared" si="82"/>
        <v>1.8422499999999999E-3</v>
      </c>
      <c r="N171" s="26">
        <f t="shared" si="82"/>
        <v>1.8422499999999999E-3</v>
      </c>
      <c r="O171" s="26">
        <f t="shared" si="82"/>
        <v>1.8422499999999999E-3</v>
      </c>
      <c r="P171" s="26">
        <f t="shared" si="82"/>
        <v>1.8422499999999999E-3</v>
      </c>
      <c r="Q171" s="26">
        <f t="shared" si="82"/>
        <v>1.8422499999999999E-3</v>
      </c>
      <c r="R171" s="26">
        <f t="shared" si="82"/>
        <v>1.8422499999999999E-3</v>
      </c>
      <c r="S171" s="26">
        <f t="shared" si="82"/>
        <v>1.8422499999999999E-3</v>
      </c>
      <c r="T171" s="26">
        <f t="shared" si="82"/>
        <v>1.8422499999999999E-3</v>
      </c>
      <c r="U171" s="26">
        <f t="shared" si="82"/>
        <v>1.8422499999999999E-3</v>
      </c>
      <c r="V171" s="26">
        <f t="shared" si="82"/>
        <v>1.8422499999999999E-3</v>
      </c>
      <c r="W171" s="581"/>
      <c r="X171" s="581"/>
      <c r="Y171" s="581"/>
      <c r="Z171" s="581"/>
      <c r="AA171" s="581"/>
      <c r="AB171" s="581"/>
      <c r="AC171" s="581"/>
      <c r="AD171" s="581"/>
      <c r="AE171" s="581"/>
    </row>
    <row r="172" spans="1:31" x14ac:dyDescent="0.2">
      <c r="C172" s="28" t="s">
        <v>400</v>
      </c>
      <c r="E172" s="269">
        <f>'Plant model'!E172</f>
        <v>0.5464941176470588</v>
      </c>
      <c r="F172" s="1" t="s">
        <v>394</v>
      </c>
      <c r="I172" s="26">
        <f t="shared" si="82"/>
        <v>0.5464941176470588</v>
      </c>
      <c r="J172" s="26">
        <f t="shared" si="82"/>
        <v>0.5464941176470588</v>
      </c>
      <c r="K172" s="26">
        <f t="shared" si="82"/>
        <v>0.5464941176470588</v>
      </c>
      <c r="L172" s="26">
        <f t="shared" si="82"/>
        <v>0.5464941176470588</v>
      </c>
      <c r="M172" s="26">
        <f t="shared" si="82"/>
        <v>0.5464941176470588</v>
      </c>
      <c r="N172" s="26">
        <f t="shared" si="82"/>
        <v>0.5464941176470588</v>
      </c>
      <c r="O172" s="26">
        <f t="shared" si="82"/>
        <v>0.5464941176470588</v>
      </c>
      <c r="P172" s="26">
        <f t="shared" si="82"/>
        <v>0.5464941176470588</v>
      </c>
      <c r="Q172" s="26">
        <f t="shared" si="82"/>
        <v>0.5464941176470588</v>
      </c>
      <c r="R172" s="26">
        <f t="shared" si="82"/>
        <v>0.5464941176470588</v>
      </c>
      <c r="S172" s="26">
        <f t="shared" si="82"/>
        <v>0.5464941176470588</v>
      </c>
      <c r="T172" s="26">
        <f t="shared" si="82"/>
        <v>0.5464941176470588</v>
      </c>
      <c r="U172" s="26">
        <f t="shared" si="82"/>
        <v>0.5464941176470588</v>
      </c>
      <c r="V172" s="26">
        <f t="shared" si="82"/>
        <v>0.5464941176470588</v>
      </c>
      <c r="W172" s="581"/>
      <c r="X172" s="581"/>
      <c r="Y172" s="581"/>
      <c r="Z172" s="581"/>
      <c r="AA172" s="581"/>
      <c r="AB172" s="581"/>
      <c r="AC172" s="581"/>
      <c r="AD172" s="581"/>
      <c r="AE172" s="581"/>
    </row>
    <row r="173" spans="1:31" x14ac:dyDescent="0.2">
      <c r="C173" s="28" t="s">
        <v>401</v>
      </c>
      <c r="E173" s="269">
        <f>'Plant model'!E173</f>
        <v>511</v>
      </c>
      <c r="F173" s="1" t="s">
        <v>394</v>
      </c>
      <c r="I173" s="26">
        <f t="shared" si="82"/>
        <v>511</v>
      </c>
      <c r="J173" s="26">
        <f t="shared" si="82"/>
        <v>511</v>
      </c>
      <c r="K173" s="26">
        <f t="shared" si="82"/>
        <v>511</v>
      </c>
      <c r="L173" s="26">
        <f t="shared" si="82"/>
        <v>511</v>
      </c>
      <c r="M173" s="26">
        <f t="shared" si="82"/>
        <v>511</v>
      </c>
      <c r="N173" s="26">
        <f t="shared" si="82"/>
        <v>511</v>
      </c>
      <c r="O173" s="26">
        <f t="shared" si="82"/>
        <v>511</v>
      </c>
      <c r="P173" s="26">
        <f t="shared" si="82"/>
        <v>511</v>
      </c>
      <c r="Q173" s="26">
        <f t="shared" si="82"/>
        <v>511</v>
      </c>
      <c r="R173" s="26">
        <f t="shared" si="82"/>
        <v>511</v>
      </c>
      <c r="S173" s="26">
        <f t="shared" si="82"/>
        <v>511</v>
      </c>
      <c r="T173" s="26">
        <f t="shared" si="82"/>
        <v>511</v>
      </c>
      <c r="U173" s="26">
        <f t="shared" si="82"/>
        <v>511</v>
      </c>
      <c r="V173" s="26">
        <f t="shared" si="82"/>
        <v>511</v>
      </c>
      <c r="W173" s="581"/>
      <c r="X173" s="581"/>
      <c r="Y173" s="581"/>
      <c r="Z173" s="581"/>
      <c r="AA173" s="581"/>
      <c r="AB173" s="581"/>
      <c r="AC173" s="581"/>
      <c r="AD173" s="581"/>
      <c r="AE173" s="581"/>
    </row>
    <row r="174" spans="1:31" x14ac:dyDescent="0.2">
      <c r="C174" s="28" t="s">
        <v>402</v>
      </c>
      <c r="E174" s="269">
        <f>'Plant model'!E174</f>
        <v>3.1750616470588238</v>
      </c>
      <c r="F174" s="1" t="s">
        <v>405</v>
      </c>
      <c r="I174" s="26">
        <f t="shared" si="82"/>
        <v>3.1750616470588238</v>
      </c>
      <c r="J174" s="26">
        <f t="shared" si="82"/>
        <v>3.1750616470588238</v>
      </c>
      <c r="K174" s="26">
        <f t="shared" si="82"/>
        <v>3.1750616470588238</v>
      </c>
      <c r="L174" s="26">
        <f t="shared" si="82"/>
        <v>3.1750616470588238</v>
      </c>
      <c r="M174" s="26">
        <f t="shared" si="82"/>
        <v>3.1750616470588238</v>
      </c>
      <c r="N174" s="26">
        <f t="shared" si="82"/>
        <v>3.1750616470588238</v>
      </c>
      <c r="O174" s="26">
        <f t="shared" si="82"/>
        <v>3.1750616470588238</v>
      </c>
      <c r="P174" s="26">
        <f t="shared" si="82"/>
        <v>3.1750616470588238</v>
      </c>
      <c r="Q174" s="26">
        <f t="shared" si="82"/>
        <v>3.1750616470588238</v>
      </c>
      <c r="R174" s="26">
        <f t="shared" si="82"/>
        <v>3.1750616470588238</v>
      </c>
      <c r="S174" s="26">
        <f t="shared" si="82"/>
        <v>3.1750616470588238</v>
      </c>
      <c r="T174" s="26">
        <f t="shared" si="82"/>
        <v>3.1750616470588238</v>
      </c>
      <c r="U174" s="26">
        <f t="shared" si="82"/>
        <v>3.1750616470588238</v>
      </c>
      <c r="V174" s="26">
        <f t="shared" si="82"/>
        <v>3.1750616470588238</v>
      </c>
      <c r="W174" s="581"/>
      <c r="X174" s="581"/>
      <c r="Y174" s="581"/>
      <c r="Z174" s="581"/>
      <c r="AA174" s="581"/>
      <c r="AB174" s="581"/>
      <c r="AC174" s="581"/>
      <c r="AD174" s="581"/>
      <c r="AE174" s="581"/>
    </row>
    <row r="175" spans="1:31" x14ac:dyDescent="0.2">
      <c r="C175" s="28" t="s">
        <v>693</v>
      </c>
      <c r="E175" s="269">
        <f>'Plant model'!E175/4</f>
        <v>0.02</v>
      </c>
      <c r="F175" s="1" t="s">
        <v>55</v>
      </c>
      <c r="I175" s="26">
        <f t="shared" si="82"/>
        <v>0.02</v>
      </c>
      <c r="J175" s="26">
        <f t="shared" si="82"/>
        <v>0.02</v>
      </c>
      <c r="K175" s="26">
        <f t="shared" si="82"/>
        <v>0.02</v>
      </c>
      <c r="L175" s="26">
        <f t="shared" si="82"/>
        <v>0.02</v>
      </c>
      <c r="M175" s="26">
        <f t="shared" si="82"/>
        <v>0.02</v>
      </c>
      <c r="N175" s="26">
        <f t="shared" si="82"/>
        <v>0.02</v>
      </c>
      <c r="O175" s="26">
        <f t="shared" si="82"/>
        <v>0.02</v>
      </c>
      <c r="P175" s="26">
        <f t="shared" si="82"/>
        <v>0.02</v>
      </c>
      <c r="Q175" s="26">
        <f t="shared" si="82"/>
        <v>0.02</v>
      </c>
      <c r="R175" s="26">
        <f t="shared" si="82"/>
        <v>0.02</v>
      </c>
      <c r="S175" s="26">
        <f t="shared" si="82"/>
        <v>0.02</v>
      </c>
      <c r="T175" s="26">
        <f t="shared" si="82"/>
        <v>0.02</v>
      </c>
      <c r="U175" s="26">
        <f t="shared" si="82"/>
        <v>0.02</v>
      </c>
      <c r="V175" s="26">
        <f t="shared" si="82"/>
        <v>0.02</v>
      </c>
      <c r="W175" s="581"/>
      <c r="X175" s="581"/>
      <c r="Y175" s="581"/>
      <c r="Z175" s="581"/>
      <c r="AA175" s="581"/>
      <c r="AB175" s="581"/>
      <c r="AC175" s="581"/>
      <c r="AD175" s="581"/>
      <c r="AE175" s="581"/>
    </row>
    <row r="176" spans="1:31" x14ac:dyDescent="0.2">
      <c r="C176" s="28" t="s">
        <v>403</v>
      </c>
      <c r="E176" s="269">
        <f>'Plant model'!E176/4</f>
        <v>3.6094500000000002E-2</v>
      </c>
      <c r="F176" s="1" t="s">
        <v>55</v>
      </c>
      <c r="I176" s="26">
        <f t="shared" si="82"/>
        <v>3.6094500000000002E-2</v>
      </c>
      <c r="J176" s="26">
        <f t="shared" si="82"/>
        <v>3.6094500000000002E-2</v>
      </c>
      <c r="K176" s="26">
        <f t="shared" si="82"/>
        <v>3.6094500000000002E-2</v>
      </c>
      <c r="L176" s="26">
        <f t="shared" si="82"/>
        <v>3.6094500000000002E-2</v>
      </c>
      <c r="M176" s="26">
        <f t="shared" si="82"/>
        <v>3.6094500000000002E-2</v>
      </c>
      <c r="N176" s="26">
        <f t="shared" si="82"/>
        <v>3.6094500000000002E-2</v>
      </c>
      <c r="O176" s="26">
        <f t="shared" si="82"/>
        <v>3.6094500000000002E-2</v>
      </c>
      <c r="P176" s="26">
        <f t="shared" si="82"/>
        <v>3.6094500000000002E-2</v>
      </c>
      <c r="Q176" s="26">
        <f t="shared" si="82"/>
        <v>3.6094500000000002E-2</v>
      </c>
      <c r="R176" s="26">
        <f t="shared" si="82"/>
        <v>3.6094500000000002E-2</v>
      </c>
      <c r="S176" s="26">
        <f t="shared" si="82"/>
        <v>3.6094500000000002E-2</v>
      </c>
      <c r="T176" s="26">
        <f t="shared" si="82"/>
        <v>3.6094500000000002E-2</v>
      </c>
      <c r="U176" s="26">
        <f t="shared" si="82"/>
        <v>3.6094500000000002E-2</v>
      </c>
      <c r="V176" s="26">
        <f t="shared" si="82"/>
        <v>3.6094500000000002E-2</v>
      </c>
      <c r="W176" s="581"/>
      <c r="X176" s="581"/>
      <c r="Y176" s="581"/>
      <c r="Z176" s="581"/>
      <c r="AA176" s="581"/>
      <c r="AB176" s="581"/>
      <c r="AC176" s="581"/>
      <c r="AD176" s="581"/>
      <c r="AE176" s="581"/>
    </row>
    <row r="178" spans="1:31" x14ac:dyDescent="0.2">
      <c r="A178" s="27"/>
      <c r="B178" s="24"/>
      <c r="C178" s="31" t="s">
        <v>692</v>
      </c>
      <c r="D178" s="28"/>
      <c r="E178" s="25"/>
      <c r="G178" s="25"/>
      <c r="H178" s="26"/>
      <c r="U178" s="29"/>
    </row>
    <row r="179" spans="1:31" x14ac:dyDescent="0.2">
      <c r="A179" s="27"/>
      <c r="B179" s="24"/>
      <c r="C179" s="28"/>
      <c r="D179" s="28"/>
      <c r="E179" s="25"/>
      <c r="G179" s="25"/>
      <c r="H179" s="26"/>
      <c r="U179" s="29"/>
    </row>
    <row r="180" spans="1:31" x14ac:dyDescent="0.2">
      <c r="A180" s="27"/>
      <c r="B180" s="24"/>
      <c r="C180" s="28" t="s">
        <v>403</v>
      </c>
      <c r="D180" s="28"/>
      <c r="E180" s="269">
        <f>'Plant model'!E180/4</f>
        <v>0.20775125</v>
      </c>
      <c r="F180" s="1" t="s">
        <v>55</v>
      </c>
      <c r="G180" s="25"/>
      <c r="H180" s="26"/>
      <c r="I180" s="26">
        <f t="shared" ref="I180:V183" si="83">$E180</f>
        <v>0.20775125</v>
      </c>
      <c r="J180" s="26">
        <f t="shared" si="83"/>
        <v>0.20775125</v>
      </c>
      <c r="K180" s="26">
        <f t="shared" si="83"/>
        <v>0.20775125</v>
      </c>
      <c r="L180" s="26">
        <f t="shared" si="83"/>
        <v>0.20775125</v>
      </c>
      <c r="M180" s="26">
        <f t="shared" si="83"/>
        <v>0.20775125</v>
      </c>
      <c r="N180" s="26">
        <f t="shared" si="83"/>
        <v>0.20775125</v>
      </c>
      <c r="O180" s="26">
        <f t="shared" si="83"/>
        <v>0.20775125</v>
      </c>
      <c r="P180" s="26">
        <f t="shared" si="83"/>
        <v>0.20775125</v>
      </c>
      <c r="Q180" s="26">
        <f t="shared" si="83"/>
        <v>0.20775125</v>
      </c>
      <c r="R180" s="26">
        <f t="shared" si="83"/>
        <v>0.20775125</v>
      </c>
      <c r="S180" s="26">
        <f t="shared" si="83"/>
        <v>0.20775125</v>
      </c>
      <c r="T180" s="26">
        <f t="shared" si="83"/>
        <v>0.20775125</v>
      </c>
      <c r="U180" s="26">
        <f t="shared" si="83"/>
        <v>0.20775125</v>
      </c>
      <c r="V180" s="26">
        <f t="shared" si="83"/>
        <v>0.20775125</v>
      </c>
      <c r="W180" s="581"/>
      <c r="X180" s="581"/>
      <c r="Y180" s="581"/>
      <c r="Z180" s="581"/>
      <c r="AA180" s="581"/>
      <c r="AB180" s="581"/>
      <c r="AC180" s="581"/>
      <c r="AD180" s="581"/>
      <c r="AE180" s="581"/>
    </row>
    <row r="181" spans="1:31" x14ac:dyDescent="0.2">
      <c r="A181" s="27"/>
      <c r="B181" s="24"/>
      <c r="C181" s="28" t="s">
        <v>579</v>
      </c>
      <c r="D181" s="28"/>
      <c r="E181" s="269">
        <f>'Plant model'!E181</f>
        <v>1.75</v>
      </c>
      <c r="F181" s="1" t="s">
        <v>405</v>
      </c>
      <c r="G181" s="25"/>
      <c r="H181" s="26"/>
      <c r="I181" s="26">
        <f t="shared" si="83"/>
        <v>1.75</v>
      </c>
      <c r="J181" s="26">
        <f t="shared" si="83"/>
        <v>1.75</v>
      </c>
      <c r="K181" s="26">
        <f t="shared" si="83"/>
        <v>1.75</v>
      </c>
      <c r="L181" s="26">
        <f t="shared" si="83"/>
        <v>1.75</v>
      </c>
      <c r="M181" s="26">
        <f t="shared" si="83"/>
        <v>1.75</v>
      </c>
      <c r="N181" s="26">
        <f t="shared" si="83"/>
        <v>1.75</v>
      </c>
      <c r="O181" s="26">
        <f t="shared" si="83"/>
        <v>1.75</v>
      </c>
      <c r="P181" s="26">
        <f t="shared" si="83"/>
        <v>1.75</v>
      </c>
      <c r="Q181" s="26">
        <f t="shared" si="83"/>
        <v>1.75</v>
      </c>
      <c r="R181" s="26">
        <f t="shared" si="83"/>
        <v>1.75</v>
      </c>
      <c r="S181" s="26">
        <f t="shared" si="83"/>
        <v>1.75</v>
      </c>
      <c r="T181" s="26">
        <f t="shared" si="83"/>
        <v>1.75</v>
      </c>
      <c r="U181" s="26">
        <f t="shared" si="83"/>
        <v>1.75</v>
      </c>
      <c r="V181" s="26">
        <f t="shared" si="83"/>
        <v>1.75</v>
      </c>
      <c r="W181" s="581"/>
      <c r="X181" s="581"/>
      <c r="Y181" s="581"/>
      <c r="Z181" s="581"/>
      <c r="AA181" s="581"/>
      <c r="AB181" s="581"/>
      <c r="AC181" s="581"/>
      <c r="AD181" s="581"/>
      <c r="AE181" s="581"/>
    </row>
    <row r="182" spans="1:31" x14ac:dyDescent="0.2">
      <c r="A182" s="27"/>
      <c r="B182" s="24"/>
      <c r="C182" s="28" t="s">
        <v>517</v>
      </c>
      <c r="D182" s="28"/>
      <c r="E182" s="269">
        <f>'Plant model'!E182</f>
        <v>2.2988452655889144</v>
      </c>
      <c r="F182" s="1" t="s">
        <v>684</v>
      </c>
      <c r="G182" s="25"/>
      <c r="H182" s="26"/>
      <c r="I182" s="26">
        <f>$E$182</f>
        <v>2.2988452655889144</v>
      </c>
      <c r="J182" s="26">
        <f>$E$182</f>
        <v>2.2988452655889144</v>
      </c>
      <c r="K182" s="26">
        <f>$E$182</f>
        <v>2.2988452655889144</v>
      </c>
      <c r="L182" s="26">
        <f t="shared" ref="L182:V182" si="84">$E$182</f>
        <v>2.2988452655889144</v>
      </c>
      <c r="M182" s="26">
        <f t="shared" si="84"/>
        <v>2.2988452655889144</v>
      </c>
      <c r="N182" s="26">
        <f t="shared" si="84"/>
        <v>2.2988452655889144</v>
      </c>
      <c r="O182" s="26">
        <f t="shared" si="84"/>
        <v>2.2988452655889144</v>
      </c>
      <c r="P182" s="26">
        <f t="shared" si="84"/>
        <v>2.2988452655889144</v>
      </c>
      <c r="Q182" s="26">
        <f t="shared" si="84"/>
        <v>2.2988452655889144</v>
      </c>
      <c r="R182" s="26">
        <f t="shared" si="84"/>
        <v>2.2988452655889144</v>
      </c>
      <c r="S182" s="26">
        <f t="shared" si="84"/>
        <v>2.2988452655889144</v>
      </c>
      <c r="T182" s="26">
        <f t="shared" si="84"/>
        <v>2.2988452655889144</v>
      </c>
      <c r="U182" s="26">
        <f t="shared" si="84"/>
        <v>2.2988452655889144</v>
      </c>
      <c r="V182" s="26">
        <f t="shared" si="84"/>
        <v>2.2988452655889144</v>
      </c>
      <c r="W182" s="581"/>
      <c r="X182" s="581"/>
      <c r="Y182" s="581"/>
      <c r="Z182" s="581"/>
      <c r="AA182" s="581"/>
      <c r="AB182" s="581"/>
      <c r="AC182" s="581"/>
      <c r="AD182" s="581"/>
      <c r="AE182" s="581"/>
    </row>
    <row r="183" spans="1:31" x14ac:dyDescent="0.2">
      <c r="A183" s="27"/>
      <c r="B183" s="24"/>
      <c r="C183" s="28" t="s">
        <v>21</v>
      </c>
      <c r="D183" s="28"/>
      <c r="E183" s="269">
        <f>'Plant model'!E183</f>
        <v>98.351755522497101</v>
      </c>
      <c r="F183" s="1" t="s">
        <v>394</v>
      </c>
      <c r="G183" s="25"/>
      <c r="H183" s="26"/>
      <c r="I183" s="26">
        <f t="shared" si="83"/>
        <v>98.351755522497101</v>
      </c>
      <c r="J183" s="26">
        <f t="shared" si="83"/>
        <v>98.351755522497101</v>
      </c>
      <c r="K183" s="26">
        <f t="shared" si="83"/>
        <v>98.351755522497101</v>
      </c>
      <c r="L183" s="26">
        <f t="shared" si="83"/>
        <v>98.351755522497101</v>
      </c>
      <c r="M183" s="26">
        <f t="shared" si="83"/>
        <v>98.351755522497101</v>
      </c>
      <c r="N183" s="26">
        <f t="shared" si="83"/>
        <v>98.351755522497101</v>
      </c>
      <c r="O183" s="26">
        <f t="shared" si="83"/>
        <v>98.351755522497101</v>
      </c>
      <c r="P183" s="26">
        <f t="shared" si="83"/>
        <v>98.351755522497101</v>
      </c>
      <c r="Q183" s="26">
        <f t="shared" si="83"/>
        <v>98.351755522497101</v>
      </c>
      <c r="R183" s="26">
        <f t="shared" si="83"/>
        <v>98.351755522497101</v>
      </c>
      <c r="S183" s="26">
        <f t="shared" si="83"/>
        <v>98.351755522497101</v>
      </c>
      <c r="T183" s="26">
        <f t="shared" si="83"/>
        <v>98.351755522497101</v>
      </c>
      <c r="U183" s="26">
        <f t="shared" si="83"/>
        <v>98.351755522497101</v>
      </c>
      <c r="V183" s="26">
        <f t="shared" si="83"/>
        <v>98.351755522497101</v>
      </c>
      <c r="W183" s="581"/>
      <c r="X183" s="581"/>
      <c r="Y183" s="581"/>
      <c r="Z183" s="581"/>
      <c r="AA183" s="581"/>
      <c r="AB183" s="581"/>
      <c r="AC183" s="581"/>
      <c r="AD183" s="581"/>
      <c r="AE183" s="581"/>
    </row>
    <row r="184" spans="1:31" x14ac:dyDescent="0.2">
      <c r="A184" s="27"/>
      <c r="C184" s="28"/>
      <c r="D184" s="28"/>
      <c r="E184" s="25"/>
      <c r="G184" s="25"/>
      <c r="H184" s="26"/>
      <c r="U184" s="29"/>
    </row>
    <row r="185" spans="1:31" x14ac:dyDescent="0.2">
      <c r="B185" s="6"/>
      <c r="C185" s="6"/>
      <c r="D185" s="6"/>
      <c r="E185" s="7"/>
      <c r="F185" s="6"/>
      <c r="G185" s="6"/>
      <c r="H185" s="6"/>
      <c r="I185" s="6"/>
      <c r="J185" s="6"/>
      <c r="K185" s="6"/>
      <c r="L185" s="6"/>
      <c r="M185" s="6"/>
      <c r="N185" s="6"/>
      <c r="O185" s="6"/>
      <c r="P185" s="6"/>
      <c r="Q185" s="6"/>
      <c r="R185" s="6"/>
      <c r="S185" s="6"/>
      <c r="T185" s="6"/>
      <c r="U185" s="6"/>
      <c r="V185" s="6"/>
    </row>
    <row r="186" spans="1:31" x14ac:dyDescent="0.2">
      <c r="C186" s="30"/>
      <c r="D186" s="30"/>
    </row>
    <row r="187" spans="1:31" x14ac:dyDescent="0.2">
      <c r="B187" s="8">
        <f>B91+1</f>
        <v>3</v>
      </c>
      <c r="C187" s="38" t="s">
        <v>25</v>
      </c>
      <c r="D187" s="38"/>
    </row>
    <row r="188" spans="1:31" x14ac:dyDescent="0.2">
      <c r="C188" s="39"/>
      <c r="D188" s="39"/>
      <c r="L188" s="50"/>
      <c r="M188" s="50"/>
      <c r="N188" s="50"/>
      <c r="O188" s="50"/>
      <c r="P188" s="50"/>
      <c r="Q188" s="50"/>
      <c r="R188" s="50"/>
      <c r="S188" s="50"/>
      <c r="T188" s="50"/>
      <c r="U188" s="50"/>
      <c r="V188" s="50"/>
      <c r="W188" s="582"/>
      <c r="X188" s="582"/>
      <c r="Y188" s="582"/>
      <c r="Z188" s="582"/>
      <c r="AA188" s="582"/>
      <c r="AB188" s="582"/>
      <c r="AC188" s="582"/>
      <c r="AD188" s="582"/>
      <c r="AE188" s="582"/>
    </row>
    <row r="189" spans="1:31" x14ac:dyDescent="0.2">
      <c r="B189" s="10">
        <f>B187+0.1</f>
        <v>3.1</v>
      </c>
      <c r="C189" s="40" t="s">
        <v>26</v>
      </c>
      <c r="D189" s="40"/>
      <c r="L189" s="50"/>
      <c r="M189" s="50"/>
      <c r="N189" s="50"/>
      <c r="O189" s="50"/>
      <c r="P189" s="50"/>
      <c r="Q189" s="50"/>
      <c r="R189" s="50"/>
      <c r="S189" s="50"/>
      <c r="T189" s="50"/>
      <c r="U189" s="50"/>
      <c r="V189" s="50"/>
      <c r="W189" s="582"/>
      <c r="X189" s="582"/>
      <c r="Y189" s="582"/>
      <c r="Z189" s="582"/>
      <c r="AA189" s="582"/>
      <c r="AB189" s="582"/>
      <c r="AC189" s="582"/>
      <c r="AD189" s="582"/>
      <c r="AE189" s="582"/>
    </row>
    <row r="190" spans="1:31" x14ac:dyDescent="0.2">
      <c r="B190" s="24"/>
      <c r="C190" s="40"/>
      <c r="D190" s="40"/>
    </row>
    <row r="191" spans="1:31" x14ac:dyDescent="0.2">
      <c r="B191" s="24"/>
      <c r="C191" s="39" t="s">
        <v>522</v>
      </c>
      <c r="D191" s="39"/>
      <c r="F191" s="1" t="s">
        <v>15</v>
      </c>
      <c r="G191" s="21">
        <f>SUM(I191:V191)</f>
        <v>0.55611156249999993</v>
      </c>
      <c r="I191" s="45">
        <f t="shared" ref="I191:V191" si="85">I145</f>
        <v>0</v>
      </c>
      <c r="J191" s="45">
        <f t="shared" si="85"/>
        <v>0</v>
      </c>
      <c r="K191" s="45">
        <f t="shared" si="85"/>
        <v>0</v>
      </c>
      <c r="L191" s="45">
        <f t="shared" si="85"/>
        <v>0</v>
      </c>
      <c r="M191" s="45">
        <f t="shared" si="85"/>
        <v>0</v>
      </c>
      <c r="N191" s="45">
        <f t="shared" si="85"/>
        <v>0</v>
      </c>
      <c r="O191" s="45">
        <f t="shared" si="85"/>
        <v>0</v>
      </c>
      <c r="P191" s="45">
        <f t="shared" si="85"/>
        <v>0</v>
      </c>
      <c r="Q191" s="45">
        <f t="shared" si="85"/>
        <v>0</v>
      </c>
      <c r="R191" s="45">
        <f t="shared" si="85"/>
        <v>0</v>
      </c>
      <c r="S191" s="45">
        <f t="shared" si="85"/>
        <v>8.5555624999999996E-2</v>
      </c>
      <c r="T191" s="45">
        <f t="shared" si="85"/>
        <v>0.12833343749999998</v>
      </c>
      <c r="U191" s="45">
        <f t="shared" si="85"/>
        <v>0.17111124999999999</v>
      </c>
      <c r="V191" s="45">
        <f t="shared" si="85"/>
        <v>0.17111124999999999</v>
      </c>
      <c r="W191" s="568"/>
      <c r="X191" s="568"/>
      <c r="Y191" s="568"/>
      <c r="Z191" s="568"/>
      <c r="AA191" s="568"/>
      <c r="AB191" s="568"/>
      <c r="AC191" s="568"/>
      <c r="AD191" s="568"/>
      <c r="AE191" s="568"/>
    </row>
    <row r="192" spans="1:31" x14ac:dyDescent="0.2">
      <c r="B192" s="24"/>
      <c r="C192" s="40"/>
      <c r="D192" s="261"/>
      <c r="E192" s="261"/>
    </row>
    <row r="193" spans="2:31" x14ac:dyDescent="0.2">
      <c r="B193" s="24"/>
      <c r="C193" s="5" t="s">
        <v>454</v>
      </c>
      <c r="D193" s="316"/>
      <c r="E193" s="321">
        <v>0</v>
      </c>
    </row>
    <row r="194" spans="2:31" x14ac:dyDescent="0.2">
      <c r="B194" s="24"/>
      <c r="C194" s="5"/>
      <c r="D194" s="316"/>
      <c r="E194" s="316"/>
    </row>
    <row r="195" spans="2:31" x14ac:dyDescent="0.2">
      <c r="B195" s="24"/>
      <c r="C195" s="90" t="str">
        <f>"Case Running - "&amp;IF(E193=0,"Current Prices","LT Project Price")</f>
        <v>Case Running - Current Prices</v>
      </c>
      <c r="D195" s="316"/>
      <c r="E195" s="316"/>
    </row>
    <row r="196" spans="2:31" x14ac:dyDescent="0.2">
      <c r="C196" s="39" t="s">
        <v>311</v>
      </c>
      <c r="D196" s="39"/>
      <c r="F196" s="1" t="s">
        <v>3</v>
      </c>
      <c r="G196" s="21">
        <f>AVERAGE(K196:AE196)</f>
        <v>115</v>
      </c>
      <c r="I196" s="45">
        <f t="shared" ref="I196" si="86">I206*($E$193=0)+I213*($E$193=1)</f>
        <v>115</v>
      </c>
      <c r="J196" s="45">
        <f t="shared" ref="J196" si="87">J206*($E$193=0)+J213*($E$193=1)</f>
        <v>115</v>
      </c>
      <c r="K196" s="45">
        <f t="shared" ref="K196:V196" si="88">K206*($E$193=0)+K213*($E$193=1)</f>
        <v>115</v>
      </c>
      <c r="L196" s="45">
        <f t="shared" si="88"/>
        <v>115</v>
      </c>
      <c r="M196" s="45">
        <f t="shared" si="88"/>
        <v>115</v>
      </c>
      <c r="N196" s="45">
        <f t="shared" si="88"/>
        <v>115</v>
      </c>
      <c r="O196" s="45">
        <f t="shared" si="88"/>
        <v>115</v>
      </c>
      <c r="P196" s="45">
        <f t="shared" si="88"/>
        <v>115</v>
      </c>
      <c r="Q196" s="45">
        <f t="shared" si="88"/>
        <v>115</v>
      </c>
      <c r="R196" s="45">
        <f t="shared" si="88"/>
        <v>115</v>
      </c>
      <c r="S196" s="45">
        <f t="shared" si="88"/>
        <v>115</v>
      </c>
      <c r="T196" s="45">
        <f t="shared" si="88"/>
        <v>115</v>
      </c>
      <c r="U196" s="45">
        <f t="shared" si="88"/>
        <v>115</v>
      </c>
      <c r="V196" s="45">
        <f t="shared" si="88"/>
        <v>115</v>
      </c>
      <c r="W196" s="568"/>
      <c r="X196" s="568"/>
      <c r="Y196" s="568"/>
      <c r="Z196" s="568"/>
      <c r="AA196" s="568"/>
      <c r="AB196" s="568"/>
      <c r="AC196" s="568"/>
      <c r="AD196" s="568"/>
      <c r="AE196" s="568"/>
    </row>
    <row r="197" spans="2:31" x14ac:dyDescent="0.2">
      <c r="C197" s="39" t="s">
        <v>27</v>
      </c>
      <c r="D197" s="146">
        <f>$E$84</f>
        <v>1</v>
      </c>
      <c r="F197" s="1" t="s">
        <v>3</v>
      </c>
      <c r="G197" s="21">
        <f>AVERAGE(K197:AE197)</f>
        <v>1.7142857142857142</v>
      </c>
      <c r="I197" s="18">
        <f>IFERROR(I237*$D197,0)</f>
        <v>1.7142857142857142</v>
      </c>
      <c r="J197" s="18">
        <f t="shared" ref="J197:V197" si="89">IFERROR(J237*$D197,0)</f>
        <v>1.7142857142857142</v>
      </c>
      <c r="K197" s="18">
        <f t="shared" si="89"/>
        <v>1.7142857142857142</v>
      </c>
      <c r="L197" s="18">
        <f t="shared" si="89"/>
        <v>1.7142857142857142</v>
      </c>
      <c r="M197" s="18">
        <f t="shared" si="89"/>
        <v>1.7142857142857142</v>
      </c>
      <c r="N197" s="18">
        <f t="shared" si="89"/>
        <v>1.7142857142857142</v>
      </c>
      <c r="O197" s="18">
        <f t="shared" si="89"/>
        <v>1.7142857142857142</v>
      </c>
      <c r="P197" s="18">
        <f t="shared" si="89"/>
        <v>1.7142857142857142</v>
      </c>
      <c r="Q197" s="18">
        <f t="shared" si="89"/>
        <v>1.7142857142857142</v>
      </c>
      <c r="R197" s="18">
        <f t="shared" si="89"/>
        <v>1.7142857142857142</v>
      </c>
      <c r="S197" s="18">
        <f t="shared" si="89"/>
        <v>1.7142857142857142</v>
      </c>
      <c r="T197" s="18">
        <f t="shared" si="89"/>
        <v>1.7142857142857142</v>
      </c>
      <c r="U197" s="18">
        <f t="shared" si="89"/>
        <v>1.7142857142857142</v>
      </c>
      <c r="V197" s="18">
        <f t="shared" si="89"/>
        <v>1.7142857142857142</v>
      </c>
      <c r="W197" s="568"/>
      <c r="X197" s="568"/>
      <c r="Y197" s="568"/>
      <c r="Z197" s="568"/>
      <c r="AA197" s="568"/>
      <c r="AB197" s="568"/>
      <c r="AC197" s="568"/>
      <c r="AD197" s="568"/>
      <c r="AE197" s="568"/>
    </row>
    <row r="198" spans="2:31" x14ac:dyDescent="0.2">
      <c r="C198" s="39" t="s">
        <v>28</v>
      </c>
      <c r="D198" s="146">
        <f>$E$84</f>
        <v>1</v>
      </c>
      <c r="F198" s="1" t="s">
        <v>3</v>
      </c>
      <c r="G198" s="21">
        <f>AVERAGE(K198:AE198)</f>
        <v>2.6565000000000007</v>
      </c>
      <c r="I198" s="18">
        <f t="shared" ref="I198" si="90">I245*$D198</f>
        <v>2.6565000000000003</v>
      </c>
      <c r="J198" s="18">
        <f t="shared" ref="J198" si="91">J245*$D198</f>
        <v>2.6565000000000003</v>
      </c>
      <c r="K198" s="18">
        <f t="shared" ref="K198:V198" si="92">K245*$D198</f>
        <v>2.6565000000000003</v>
      </c>
      <c r="L198" s="18">
        <f t="shared" si="92"/>
        <v>2.6565000000000003</v>
      </c>
      <c r="M198" s="18">
        <f t="shared" si="92"/>
        <v>2.6565000000000003</v>
      </c>
      <c r="N198" s="18">
        <f t="shared" si="92"/>
        <v>2.6565000000000003</v>
      </c>
      <c r="O198" s="18">
        <f t="shared" si="92"/>
        <v>2.6565000000000003</v>
      </c>
      <c r="P198" s="18">
        <f t="shared" si="92"/>
        <v>2.6565000000000003</v>
      </c>
      <c r="Q198" s="18">
        <f t="shared" si="92"/>
        <v>2.6565000000000003</v>
      </c>
      <c r="R198" s="18">
        <f t="shared" si="92"/>
        <v>2.6565000000000003</v>
      </c>
      <c r="S198" s="18">
        <f t="shared" si="92"/>
        <v>2.6565000000000003</v>
      </c>
      <c r="T198" s="18">
        <f t="shared" si="92"/>
        <v>2.6565000000000003</v>
      </c>
      <c r="U198" s="18">
        <f t="shared" si="92"/>
        <v>2.6565000000000003</v>
      </c>
      <c r="V198" s="18">
        <f t="shared" si="92"/>
        <v>2.6565000000000003</v>
      </c>
      <c r="W198" s="568"/>
      <c r="X198" s="568"/>
      <c r="Y198" s="568"/>
      <c r="Z198" s="568"/>
      <c r="AA198" s="568"/>
      <c r="AB198" s="568"/>
      <c r="AC198" s="568"/>
      <c r="AD198" s="568"/>
      <c r="AE198" s="568"/>
    </row>
    <row r="199" spans="2:31" x14ac:dyDescent="0.2">
      <c r="C199" s="39" t="s">
        <v>29</v>
      </c>
      <c r="D199" s="317"/>
      <c r="F199" s="1" t="s">
        <v>3</v>
      </c>
      <c r="G199" s="21">
        <f>AVERAGE(K199:AE199)</f>
        <v>119.37078571428567</v>
      </c>
      <c r="I199" s="18">
        <f>SUM(I196:I198)</f>
        <v>119.3707857142857</v>
      </c>
      <c r="J199" s="18">
        <f>SUM(J196:J198)</f>
        <v>119.3707857142857</v>
      </c>
      <c r="K199" s="18">
        <f>SUM(K196:K198)</f>
        <v>119.3707857142857</v>
      </c>
      <c r="L199" s="18">
        <f t="shared" ref="L199:V199" si="93">SUM(L196:L198)</f>
        <v>119.3707857142857</v>
      </c>
      <c r="M199" s="18">
        <f t="shared" si="93"/>
        <v>119.3707857142857</v>
      </c>
      <c r="N199" s="18">
        <f t="shared" si="93"/>
        <v>119.3707857142857</v>
      </c>
      <c r="O199" s="18">
        <f t="shared" si="93"/>
        <v>119.3707857142857</v>
      </c>
      <c r="P199" s="18">
        <f t="shared" si="93"/>
        <v>119.3707857142857</v>
      </c>
      <c r="Q199" s="18">
        <f t="shared" si="93"/>
        <v>119.3707857142857</v>
      </c>
      <c r="R199" s="18">
        <f t="shared" si="93"/>
        <v>119.3707857142857</v>
      </c>
      <c r="S199" s="18">
        <f t="shared" si="93"/>
        <v>119.3707857142857</v>
      </c>
      <c r="T199" s="18">
        <f t="shared" si="93"/>
        <v>119.3707857142857</v>
      </c>
      <c r="U199" s="18">
        <f t="shared" si="93"/>
        <v>119.3707857142857</v>
      </c>
      <c r="V199" s="18">
        <f t="shared" si="93"/>
        <v>119.3707857142857</v>
      </c>
      <c r="W199" s="568"/>
      <c r="X199" s="568"/>
      <c r="Y199" s="568"/>
      <c r="Z199" s="568"/>
      <c r="AA199" s="568"/>
      <c r="AB199" s="568"/>
      <c r="AC199" s="568"/>
      <c r="AD199" s="568"/>
      <c r="AE199" s="568"/>
    </row>
    <row r="200" spans="2:31" x14ac:dyDescent="0.2">
      <c r="B200" s="24"/>
      <c r="C200" s="5"/>
      <c r="D200" s="316"/>
      <c r="E200" s="316"/>
    </row>
    <row r="201" spans="2:31" x14ac:dyDescent="0.2">
      <c r="B201" s="24"/>
      <c r="C201" s="90" t="s">
        <v>750</v>
      </c>
      <c r="D201" s="316"/>
      <c r="E201" s="316"/>
    </row>
    <row r="202" spans="2:31" x14ac:dyDescent="0.2">
      <c r="B202" s="24"/>
      <c r="C202" s="5" t="s">
        <v>731</v>
      </c>
      <c r="D202" s="146">
        <f>$E$84</f>
        <v>1</v>
      </c>
      <c r="E202" s="269">
        <f>'Plant model'!E202</f>
        <v>105</v>
      </c>
      <c r="F202" s="5" t="s">
        <v>3</v>
      </c>
      <c r="I202" s="21">
        <f t="shared" ref="I202:K203" si="94">$E202*$D202</f>
        <v>105</v>
      </c>
      <c r="J202" s="21">
        <f t="shared" si="94"/>
        <v>105</v>
      </c>
      <c r="K202" s="21">
        <f t="shared" si="94"/>
        <v>105</v>
      </c>
      <c r="L202" s="21">
        <f t="shared" ref="L202:V203" si="95">$E202*$D202</f>
        <v>105</v>
      </c>
      <c r="M202" s="21">
        <f t="shared" si="95"/>
        <v>105</v>
      </c>
      <c r="N202" s="21">
        <f t="shared" si="95"/>
        <v>105</v>
      </c>
      <c r="O202" s="21">
        <f t="shared" si="95"/>
        <v>105</v>
      </c>
      <c r="P202" s="21">
        <f t="shared" si="95"/>
        <v>105</v>
      </c>
      <c r="Q202" s="21">
        <f t="shared" si="95"/>
        <v>105</v>
      </c>
      <c r="R202" s="21">
        <f t="shared" si="95"/>
        <v>105</v>
      </c>
      <c r="S202" s="21">
        <f t="shared" si="95"/>
        <v>105</v>
      </c>
      <c r="T202" s="21">
        <f t="shared" si="95"/>
        <v>105</v>
      </c>
      <c r="U202" s="21">
        <f t="shared" si="95"/>
        <v>105</v>
      </c>
      <c r="V202" s="21">
        <f t="shared" si="95"/>
        <v>105</v>
      </c>
      <c r="W202" s="563"/>
      <c r="X202" s="563"/>
      <c r="Y202" s="563"/>
      <c r="Z202" s="563"/>
      <c r="AA202" s="563"/>
      <c r="AB202" s="563"/>
      <c r="AC202" s="563"/>
      <c r="AD202" s="563"/>
      <c r="AE202" s="563"/>
    </row>
    <row r="203" spans="2:31" x14ac:dyDescent="0.2">
      <c r="B203" s="24"/>
      <c r="C203" s="5" t="s">
        <v>733</v>
      </c>
      <c r="D203" s="146">
        <f>$E$84</f>
        <v>1</v>
      </c>
      <c r="E203" s="269">
        <f>'Plant model'!E203</f>
        <v>40</v>
      </c>
      <c r="F203" s="5" t="s">
        <v>3</v>
      </c>
      <c r="I203" s="21">
        <f t="shared" si="94"/>
        <v>40</v>
      </c>
      <c r="J203" s="21">
        <f t="shared" si="94"/>
        <v>40</v>
      </c>
      <c r="K203" s="21">
        <f t="shared" si="94"/>
        <v>40</v>
      </c>
      <c r="L203" s="21">
        <f t="shared" si="95"/>
        <v>40</v>
      </c>
      <c r="M203" s="21">
        <f t="shared" si="95"/>
        <v>40</v>
      </c>
      <c r="N203" s="21">
        <f t="shared" si="95"/>
        <v>40</v>
      </c>
      <c r="O203" s="21">
        <f t="shared" si="95"/>
        <v>40</v>
      </c>
      <c r="P203" s="21">
        <f t="shared" si="95"/>
        <v>40</v>
      </c>
      <c r="Q203" s="21">
        <f t="shared" si="95"/>
        <v>40</v>
      </c>
      <c r="R203" s="21">
        <f t="shared" si="95"/>
        <v>40</v>
      </c>
      <c r="S203" s="21">
        <f t="shared" si="95"/>
        <v>40</v>
      </c>
      <c r="T203" s="21">
        <f t="shared" si="95"/>
        <v>40</v>
      </c>
      <c r="U203" s="21">
        <f t="shared" si="95"/>
        <v>40</v>
      </c>
      <c r="V203" s="21">
        <f t="shared" si="95"/>
        <v>40</v>
      </c>
      <c r="W203" s="563"/>
      <c r="X203" s="563"/>
      <c r="Y203" s="563"/>
      <c r="Z203" s="563"/>
      <c r="AA203" s="563"/>
      <c r="AB203" s="563"/>
      <c r="AC203" s="563"/>
      <c r="AD203" s="563"/>
      <c r="AE203" s="563"/>
    </row>
    <row r="204" spans="2:31" x14ac:dyDescent="0.2">
      <c r="B204" s="24"/>
      <c r="C204" s="5" t="s">
        <v>732</v>
      </c>
      <c r="D204" s="120"/>
      <c r="E204" s="429">
        <f>E202+E203</f>
        <v>145</v>
      </c>
      <c r="F204" s="5" t="s">
        <v>3</v>
      </c>
      <c r="I204" s="21">
        <f>SUM(I202:I203)</f>
        <v>145</v>
      </c>
      <c r="J204" s="21">
        <f>SUM(J202:J203)</f>
        <v>145</v>
      </c>
      <c r="K204" s="21">
        <f>SUM(K202:K203)</f>
        <v>145</v>
      </c>
      <c r="L204" s="21">
        <f t="shared" ref="L204:V204" si="96">SUM(L202:L203)</f>
        <v>145</v>
      </c>
      <c r="M204" s="21">
        <f t="shared" si="96"/>
        <v>145</v>
      </c>
      <c r="N204" s="21">
        <f t="shared" si="96"/>
        <v>145</v>
      </c>
      <c r="O204" s="21">
        <f t="shared" si="96"/>
        <v>145</v>
      </c>
      <c r="P204" s="21">
        <f t="shared" si="96"/>
        <v>145</v>
      </c>
      <c r="Q204" s="21">
        <f t="shared" si="96"/>
        <v>145</v>
      </c>
      <c r="R204" s="21">
        <f t="shared" si="96"/>
        <v>145</v>
      </c>
      <c r="S204" s="21">
        <f t="shared" si="96"/>
        <v>145</v>
      </c>
      <c r="T204" s="21">
        <f t="shared" si="96"/>
        <v>145</v>
      </c>
      <c r="U204" s="21">
        <f t="shared" si="96"/>
        <v>145</v>
      </c>
      <c r="V204" s="21">
        <f t="shared" si="96"/>
        <v>145</v>
      </c>
      <c r="W204" s="563"/>
      <c r="X204" s="563"/>
      <c r="Y204" s="563"/>
      <c r="Z204" s="563"/>
      <c r="AA204" s="563"/>
      <c r="AB204" s="563"/>
      <c r="AC204" s="563"/>
      <c r="AD204" s="563"/>
      <c r="AE204" s="563"/>
    </row>
    <row r="205" spans="2:31" x14ac:dyDescent="0.2">
      <c r="B205" s="24"/>
      <c r="C205" s="5" t="s">
        <v>708</v>
      </c>
      <c r="D205" s="146">
        <f>$E$84</f>
        <v>1</v>
      </c>
      <c r="E205" s="269">
        <f>'Plant model'!E205</f>
        <v>30</v>
      </c>
      <c r="F205" s="5" t="s">
        <v>3</v>
      </c>
      <c r="I205" s="21">
        <f>$E205*$D205</f>
        <v>30</v>
      </c>
      <c r="J205" s="21">
        <f>$E205*$D205</f>
        <v>30</v>
      </c>
      <c r="K205" s="21">
        <f>$E205*$D205</f>
        <v>30</v>
      </c>
      <c r="L205" s="21">
        <f t="shared" ref="L205:V205" si="97">$E205*$D205</f>
        <v>30</v>
      </c>
      <c r="M205" s="21">
        <f t="shared" si="97"/>
        <v>30</v>
      </c>
      <c r="N205" s="21">
        <f t="shared" si="97"/>
        <v>30</v>
      </c>
      <c r="O205" s="21">
        <f t="shared" si="97"/>
        <v>30</v>
      </c>
      <c r="P205" s="21">
        <f t="shared" si="97"/>
        <v>30</v>
      </c>
      <c r="Q205" s="21">
        <f t="shared" si="97"/>
        <v>30</v>
      </c>
      <c r="R205" s="21">
        <f t="shared" si="97"/>
        <v>30</v>
      </c>
      <c r="S205" s="21">
        <f t="shared" si="97"/>
        <v>30</v>
      </c>
      <c r="T205" s="21">
        <f t="shared" si="97"/>
        <v>30</v>
      </c>
      <c r="U205" s="21">
        <f t="shared" si="97"/>
        <v>30</v>
      </c>
      <c r="V205" s="21">
        <f t="shared" si="97"/>
        <v>30</v>
      </c>
      <c r="W205" s="563"/>
      <c r="X205" s="563"/>
      <c r="Y205" s="563"/>
      <c r="Z205" s="563"/>
      <c r="AA205" s="563"/>
      <c r="AB205" s="563"/>
      <c r="AC205" s="563"/>
      <c r="AD205" s="563"/>
      <c r="AE205" s="563"/>
    </row>
    <row r="206" spans="2:31" x14ac:dyDescent="0.2">
      <c r="B206" s="24"/>
      <c r="C206" s="5" t="s">
        <v>310</v>
      </c>
      <c r="D206" s="120"/>
      <c r="E206" s="429">
        <f>E204-E205</f>
        <v>115</v>
      </c>
      <c r="F206" s="5" t="s">
        <v>3</v>
      </c>
      <c r="I206" s="18">
        <f>I204-I205</f>
        <v>115</v>
      </c>
      <c r="J206" s="18">
        <f>J204-J205</f>
        <v>115</v>
      </c>
      <c r="K206" s="18">
        <f>K204-K205</f>
        <v>115</v>
      </c>
      <c r="L206" s="18">
        <f t="shared" ref="L206:V206" si="98">L204-L205</f>
        <v>115</v>
      </c>
      <c r="M206" s="18">
        <f t="shared" si="98"/>
        <v>115</v>
      </c>
      <c r="N206" s="18">
        <f t="shared" si="98"/>
        <v>115</v>
      </c>
      <c r="O206" s="18">
        <f t="shared" si="98"/>
        <v>115</v>
      </c>
      <c r="P206" s="18">
        <f t="shared" si="98"/>
        <v>115</v>
      </c>
      <c r="Q206" s="18">
        <f t="shared" si="98"/>
        <v>115</v>
      </c>
      <c r="R206" s="18">
        <f t="shared" si="98"/>
        <v>115</v>
      </c>
      <c r="S206" s="18">
        <f t="shared" si="98"/>
        <v>115</v>
      </c>
      <c r="T206" s="18">
        <f t="shared" si="98"/>
        <v>115</v>
      </c>
      <c r="U206" s="18">
        <f t="shared" si="98"/>
        <v>115</v>
      </c>
      <c r="V206" s="18">
        <f t="shared" si="98"/>
        <v>115</v>
      </c>
      <c r="W206" s="568"/>
      <c r="X206" s="568"/>
      <c r="Y206" s="568"/>
      <c r="Z206" s="568"/>
      <c r="AA206" s="568"/>
      <c r="AB206" s="568"/>
      <c r="AC206" s="568"/>
      <c r="AD206" s="568"/>
      <c r="AE206" s="568"/>
    </row>
    <row r="207" spans="2:31" x14ac:dyDescent="0.2">
      <c r="B207" s="24"/>
      <c r="C207" s="5"/>
      <c r="D207" s="120"/>
      <c r="E207" s="432"/>
      <c r="F207" s="5"/>
      <c r="I207" s="5"/>
      <c r="K207" s="18"/>
      <c r="L207" s="18"/>
      <c r="M207" s="18"/>
      <c r="N207" s="18"/>
      <c r="O207" s="18"/>
      <c r="P207" s="18"/>
      <c r="Q207" s="18"/>
      <c r="R207" s="18"/>
      <c r="S207" s="18"/>
      <c r="T207" s="18"/>
      <c r="U207" s="18"/>
      <c r="V207" s="18"/>
      <c r="W207" s="568"/>
      <c r="X207" s="568"/>
      <c r="Y207" s="568"/>
      <c r="Z207" s="568"/>
      <c r="AA207" s="568"/>
      <c r="AB207" s="568"/>
      <c r="AC207" s="568"/>
      <c r="AD207" s="568"/>
      <c r="AE207" s="568"/>
    </row>
    <row r="208" spans="2:31" x14ac:dyDescent="0.2">
      <c r="B208" s="24"/>
      <c r="C208" s="90" t="s">
        <v>749</v>
      </c>
      <c r="D208" s="120"/>
      <c r="E208" s="432"/>
      <c r="F208" s="5"/>
      <c r="K208" s="18"/>
      <c r="L208" s="18"/>
      <c r="M208" s="18"/>
      <c r="N208" s="18"/>
      <c r="O208" s="18"/>
      <c r="P208" s="18"/>
      <c r="Q208" s="18"/>
      <c r="R208" s="18"/>
      <c r="S208" s="18"/>
      <c r="T208" s="18"/>
      <c r="U208" s="18"/>
      <c r="V208" s="18"/>
      <c r="W208" s="568"/>
      <c r="X208" s="568"/>
      <c r="Y208" s="568"/>
      <c r="Z208" s="568"/>
      <c r="AA208" s="568"/>
      <c r="AB208" s="568"/>
      <c r="AC208" s="568"/>
      <c r="AD208" s="568"/>
      <c r="AE208" s="568"/>
    </row>
    <row r="209" spans="2:36" x14ac:dyDescent="0.2">
      <c r="B209" s="24"/>
      <c r="C209" s="5" t="s">
        <v>734</v>
      </c>
      <c r="D209" s="146">
        <f>$E$84</f>
        <v>1</v>
      </c>
      <c r="E209" s="269">
        <f>'Plant model'!E209</f>
        <v>115</v>
      </c>
      <c r="F209" s="5" t="s">
        <v>3</v>
      </c>
      <c r="I209" s="18">
        <f t="shared" ref="I209:K210" si="99">$E209*$D209</f>
        <v>115</v>
      </c>
      <c r="J209" s="18">
        <f t="shared" si="99"/>
        <v>115</v>
      </c>
      <c r="K209" s="18">
        <f t="shared" si="99"/>
        <v>115</v>
      </c>
      <c r="L209" s="18">
        <f t="shared" ref="L209:V210" si="100">$E209*$D209</f>
        <v>115</v>
      </c>
      <c r="M209" s="18">
        <f t="shared" si="100"/>
        <v>115</v>
      </c>
      <c r="N209" s="18">
        <f t="shared" si="100"/>
        <v>115</v>
      </c>
      <c r="O209" s="18">
        <f t="shared" si="100"/>
        <v>115</v>
      </c>
      <c r="P209" s="18">
        <f t="shared" si="100"/>
        <v>115</v>
      </c>
      <c r="Q209" s="18">
        <f t="shared" si="100"/>
        <v>115</v>
      </c>
      <c r="R209" s="18">
        <f t="shared" si="100"/>
        <v>115</v>
      </c>
      <c r="S209" s="18">
        <f t="shared" si="100"/>
        <v>115</v>
      </c>
      <c r="T209" s="18">
        <f t="shared" si="100"/>
        <v>115</v>
      </c>
      <c r="U209" s="18">
        <f t="shared" si="100"/>
        <v>115</v>
      </c>
      <c r="V209" s="18">
        <f t="shared" si="100"/>
        <v>115</v>
      </c>
      <c r="W209" s="568"/>
      <c r="X209" s="568"/>
      <c r="Y209" s="568"/>
      <c r="Z209" s="568"/>
      <c r="AA209" s="568"/>
      <c r="AB209" s="568"/>
      <c r="AC209" s="568"/>
      <c r="AD209" s="568"/>
      <c r="AE209" s="568"/>
    </row>
    <row r="210" spans="2:36" x14ac:dyDescent="0.2">
      <c r="B210" s="24"/>
      <c r="C210" s="5" t="s">
        <v>735</v>
      </c>
      <c r="D210" s="146">
        <f>$E$84</f>
        <v>1</v>
      </c>
      <c r="E210" s="269">
        <f>'Plant model'!E210</f>
        <v>40</v>
      </c>
      <c r="F210" s="5" t="s">
        <v>3</v>
      </c>
      <c r="I210" s="18">
        <f t="shared" si="99"/>
        <v>40</v>
      </c>
      <c r="J210" s="18">
        <f t="shared" si="99"/>
        <v>40</v>
      </c>
      <c r="K210" s="18">
        <f t="shared" si="99"/>
        <v>40</v>
      </c>
      <c r="L210" s="18">
        <f t="shared" si="100"/>
        <v>40</v>
      </c>
      <c r="M210" s="18">
        <f t="shared" si="100"/>
        <v>40</v>
      </c>
      <c r="N210" s="18">
        <f t="shared" si="100"/>
        <v>40</v>
      </c>
      <c r="O210" s="18">
        <f t="shared" si="100"/>
        <v>40</v>
      </c>
      <c r="P210" s="18">
        <f t="shared" si="100"/>
        <v>40</v>
      </c>
      <c r="Q210" s="18">
        <f t="shared" si="100"/>
        <v>40</v>
      </c>
      <c r="R210" s="18">
        <f t="shared" si="100"/>
        <v>40</v>
      </c>
      <c r="S210" s="18">
        <f t="shared" si="100"/>
        <v>40</v>
      </c>
      <c r="T210" s="18">
        <f t="shared" si="100"/>
        <v>40</v>
      </c>
      <c r="U210" s="18">
        <f t="shared" si="100"/>
        <v>40</v>
      </c>
      <c r="V210" s="18">
        <f t="shared" si="100"/>
        <v>40</v>
      </c>
      <c r="W210" s="568"/>
      <c r="X210" s="568"/>
      <c r="Y210" s="568"/>
      <c r="Z210" s="568"/>
      <c r="AA210" s="568"/>
      <c r="AB210" s="568"/>
      <c r="AC210" s="568"/>
      <c r="AD210" s="568"/>
      <c r="AE210" s="568"/>
    </row>
    <row r="211" spans="2:36" x14ac:dyDescent="0.2">
      <c r="B211" s="24"/>
      <c r="C211" s="5" t="s">
        <v>709</v>
      </c>
      <c r="D211" s="120"/>
      <c r="E211" s="429">
        <f>SUM(E209:E210)</f>
        <v>155</v>
      </c>
      <c r="F211" s="5" t="s">
        <v>3</v>
      </c>
      <c r="I211" s="18">
        <f>SUM(I209:I210)</f>
        <v>155</v>
      </c>
      <c r="J211" s="18">
        <f>SUM(J209:J210)</f>
        <v>155</v>
      </c>
      <c r="K211" s="18">
        <f>SUM(K209:K210)</f>
        <v>155</v>
      </c>
      <c r="L211" s="18">
        <f t="shared" ref="L211:V211" si="101">SUM(L209:L210)</f>
        <v>155</v>
      </c>
      <c r="M211" s="18">
        <f t="shared" si="101"/>
        <v>155</v>
      </c>
      <c r="N211" s="18">
        <f t="shared" si="101"/>
        <v>155</v>
      </c>
      <c r="O211" s="18">
        <f t="shared" si="101"/>
        <v>155</v>
      </c>
      <c r="P211" s="18">
        <f t="shared" si="101"/>
        <v>155</v>
      </c>
      <c r="Q211" s="18">
        <f t="shared" si="101"/>
        <v>155</v>
      </c>
      <c r="R211" s="18">
        <f t="shared" si="101"/>
        <v>155</v>
      </c>
      <c r="S211" s="18">
        <f t="shared" si="101"/>
        <v>155</v>
      </c>
      <c r="T211" s="18">
        <f t="shared" si="101"/>
        <v>155</v>
      </c>
      <c r="U211" s="18">
        <f t="shared" si="101"/>
        <v>155</v>
      </c>
      <c r="V211" s="18">
        <f t="shared" si="101"/>
        <v>155</v>
      </c>
      <c r="W211" s="568"/>
      <c r="X211" s="568"/>
      <c r="Y211" s="568"/>
      <c r="Z211" s="568"/>
      <c r="AA211" s="568"/>
      <c r="AB211" s="568"/>
      <c r="AC211" s="568"/>
      <c r="AD211" s="568"/>
      <c r="AE211" s="568"/>
    </row>
    <row r="212" spans="2:36" x14ac:dyDescent="0.2">
      <c r="B212" s="24"/>
      <c r="C212" s="5" t="s">
        <v>710</v>
      </c>
      <c r="D212" s="146">
        <f>$E$84</f>
        <v>1</v>
      </c>
      <c r="E212" s="269">
        <f>'Plant model'!E212</f>
        <v>25</v>
      </c>
      <c r="F212" s="5" t="s">
        <v>3</v>
      </c>
      <c r="I212" s="18">
        <f>$E212*$D212</f>
        <v>25</v>
      </c>
      <c r="J212" s="18">
        <f>$E212*$D212</f>
        <v>25</v>
      </c>
      <c r="K212" s="18">
        <f>$E212*$D212</f>
        <v>25</v>
      </c>
      <c r="L212" s="18">
        <f t="shared" ref="L212:V212" si="102">$E212*$D212</f>
        <v>25</v>
      </c>
      <c r="M212" s="18">
        <f t="shared" si="102"/>
        <v>25</v>
      </c>
      <c r="N212" s="18">
        <f t="shared" si="102"/>
        <v>25</v>
      </c>
      <c r="O212" s="18">
        <f t="shared" si="102"/>
        <v>25</v>
      </c>
      <c r="P212" s="18">
        <f t="shared" si="102"/>
        <v>25</v>
      </c>
      <c r="Q212" s="18">
        <f t="shared" si="102"/>
        <v>25</v>
      </c>
      <c r="R212" s="18">
        <f t="shared" si="102"/>
        <v>25</v>
      </c>
      <c r="S212" s="18">
        <f t="shared" si="102"/>
        <v>25</v>
      </c>
      <c r="T212" s="18">
        <f t="shared" si="102"/>
        <v>25</v>
      </c>
      <c r="U212" s="18">
        <f t="shared" si="102"/>
        <v>25</v>
      </c>
      <c r="V212" s="18">
        <f t="shared" si="102"/>
        <v>25</v>
      </c>
      <c r="W212" s="568"/>
      <c r="X212" s="568"/>
      <c r="Y212" s="568"/>
      <c r="Z212" s="568"/>
      <c r="AA212" s="568"/>
      <c r="AB212" s="568"/>
      <c r="AC212" s="568"/>
      <c r="AD212" s="568"/>
      <c r="AE212" s="568"/>
    </row>
    <row r="213" spans="2:36" s="5" customFormat="1" x14ac:dyDescent="0.2">
      <c r="B213" s="119"/>
      <c r="C213" s="5" t="s">
        <v>523</v>
      </c>
      <c r="D213" s="20"/>
      <c r="E213" s="429">
        <f>E211-E212</f>
        <v>130</v>
      </c>
      <c r="F213" s="5" t="s">
        <v>3</v>
      </c>
      <c r="I213" s="18">
        <f>I211-I212</f>
        <v>130</v>
      </c>
      <c r="J213" s="18">
        <f>J211-J212</f>
        <v>130</v>
      </c>
      <c r="K213" s="18">
        <f>K211-K212</f>
        <v>130</v>
      </c>
      <c r="L213" s="18">
        <f t="shared" ref="L213:V213" si="103">L211-L212</f>
        <v>130</v>
      </c>
      <c r="M213" s="18">
        <f t="shared" si="103"/>
        <v>130</v>
      </c>
      <c r="N213" s="18">
        <f t="shared" si="103"/>
        <v>130</v>
      </c>
      <c r="O213" s="18">
        <f t="shared" si="103"/>
        <v>130</v>
      </c>
      <c r="P213" s="18">
        <f t="shared" si="103"/>
        <v>130</v>
      </c>
      <c r="Q213" s="18">
        <f t="shared" si="103"/>
        <v>130</v>
      </c>
      <c r="R213" s="18">
        <f t="shared" si="103"/>
        <v>130</v>
      </c>
      <c r="S213" s="18">
        <f t="shared" si="103"/>
        <v>130</v>
      </c>
      <c r="T213" s="18">
        <f t="shared" si="103"/>
        <v>130</v>
      </c>
      <c r="U213" s="18">
        <f t="shared" si="103"/>
        <v>130</v>
      </c>
      <c r="V213" s="18">
        <f t="shared" si="103"/>
        <v>130</v>
      </c>
      <c r="W213" s="568"/>
      <c r="X213" s="568"/>
      <c r="Y213" s="568"/>
      <c r="Z213" s="568"/>
      <c r="AA213" s="568"/>
      <c r="AB213" s="568"/>
      <c r="AC213" s="568"/>
      <c r="AD213" s="568"/>
      <c r="AE213" s="568"/>
      <c r="AF213" s="67"/>
      <c r="AG213" s="67"/>
      <c r="AH213" s="67"/>
      <c r="AI213" s="67"/>
      <c r="AJ213" s="67"/>
    </row>
    <row r="214" spans="2:36" x14ac:dyDescent="0.2">
      <c r="C214" s="30"/>
      <c r="D214" s="30"/>
    </row>
    <row r="215" spans="2:36" x14ac:dyDescent="0.2">
      <c r="B215" s="24">
        <f>B189+0.01</f>
        <v>3.11</v>
      </c>
      <c r="C215" s="42" t="s">
        <v>30</v>
      </c>
      <c r="D215" s="42"/>
    </row>
    <row r="216" spans="2:36" x14ac:dyDescent="0.2">
      <c r="C216" s="30"/>
      <c r="D216" s="261"/>
      <c r="E216" s="261"/>
      <c r="M216" s="17"/>
      <c r="N216" s="17"/>
      <c r="O216" s="17"/>
      <c r="P216" s="17"/>
      <c r="Q216" s="17"/>
    </row>
    <row r="217" spans="2:36" x14ac:dyDescent="0.2">
      <c r="C217" s="30" t="s">
        <v>712</v>
      </c>
      <c r="D217" s="261"/>
      <c r="E217" s="269">
        <f>'Plant model'!E217</f>
        <v>30000</v>
      </c>
      <c r="F217" s="1" t="s">
        <v>39</v>
      </c>
      <c r="M217" s="17"/>
      <c r="N217" s="17"/>
      <c r="O217" s="17"/>
      <c r="P217" s="17"/>
      <c r="Q217" s="17"/>
    </row>
    <row r="218" spans="2:36" x14ac:dyDescent="0.2">
      <c r="C218" s="30" t="s">
        <v>713</v>
      </c>
      <c r="D218" s="261"/>
      <c r="E218" s="269">
        <f>'Plant model'!E218</f>
        <v>2</v>
      </c>
      <c r="F218" s="1" t="s">
        <v>6</v>
      </c>
      <c r="M218" s="17"/>
      <c r="N218" s="17"/>
      <c r="O218" s="17"/>
      <c r="P218" s="17"/>
      <c r="Q218" s="17"/>
    </row>
    <row r="219" spans="2:36" x14ac:dyDescent="0.2">
      <c r="C219" s="30" t="s">
        <v>714</v>
      </c>
      <c r="D219" s="261"/>
      <c r="E219" s="269">
        <f>'Plant model'!E219</f>
        <v>35000</v>
      </c>
      <c r="F219" s="1" t="s">
        <v>715</v>
      </c>
      <c r="M219" s="17"/>
      <c r="N219" s="17"/>
      <c r="O219" s="17"/>
      <c r="P219" s="17"/>
      <c r="Q219" s="17"/>
    </row>
    <row r="220" spans="2:36" x14ac:dyDescent="0.2">
      <c r="C220" s="30" t="s">
        <v>711</v>
      </c>
      <c r="D220" s="120"/>
      <c r="E220" s="431">
        <f>E217*E218/E219</f>
        <v>1.7142857142857142</v>
      </c>
      <c r="F220" s="1" t="s">
        <v>3</v>
      </c>
      <c r="I220" s="18">
        <f>$E220</f>
        <v>1.7142857142857142</v>
      </c>
      <c r="J220" s="18">
        <f>$E220</f>
        <v>1.7142857142857142</v>
      </c>
      <c r="K220" s="18">
        <f>$E220</f>
        <v>1.7142857142857142</v>
      </c>
      <c r="L220" s="18">
        <f>$E220</f>
        <v>1.7142857142857142</v>
      </c>
      <c r="M220" s="18">
        <f t="shared" ref="M220:V225" si="104">$E220</f>
        <v>1.7142857142857142</v>
      </c>
      <c r="N220" s="18">
        <f t="shared" si="104"/>
        <v>1.7142857142857142</v>
      </c>
      <c r="O220" s="18">
        <f t="shared" si="104"/>
        <v>1.7142857142857142</v>
      </c>
      <c r="P220" s="18">
        <f t="shared" si="104"/>
        <v>1.7142857142857142</v>
      </c>
      <c r="Q220" s="18">
        <f t="shared" si="104"/>
        <v>1.7142857142857142</v>
      </c>
      <c r="R220" s="18">
        <f t="shared" si="104"/>
        <v>1.7142857142857142</v>
      </c>
      <c r="S220" s="18">
        <f t="shared" si="104"/>
        <v>1.7142857142857142</v>
      </c>
      <c r="T220" s="18">
        <f t="shared" si="104"/>
        <v>1.7142857142857142</v>
      </c>
      <c r="U220" s="18">
        <f t="shared" si="104"/>
        <v>1.7142857142857142</v>
      </c>
      <c r="V220" s="18">
        <f t="shared" si="104"/>
        <v>1.7142857142857142</v>
      </c>
      <c r="W220" s="568"/>
      <c r="X220" s="568"/>
      <c r="Y220" s="568"/>
      <c r="Z220" s="568"/>
      <c r="AA220" s="568"/>
      <c r="AB220" s="568"/>
      <c r="AC220" s="568"/>
      <c r="AD220" s="568"/>
      <c r="AE220" s="568"/>
    </row>
    <row r="221" spans="2:36" x14ac:dyDescent="0.2">
      <c r="C221" s="30" t="s">
        <v>31</v>
      </c>
      <c r="D221" s="120"/>
      <c r="E221" s="269">
        <f>'Plant model'!E221</f>
        <v>0</v>
      </c>
      <c r="F221" s="1" t="s">
        <v>3</v>
      </c>
      <c r="I221" s="18">
        <f t="shared" ref="I221:L225" si="105">$E221</f>
        <v>0</v>
      </c>
      <c r="J221" s="18">
        <f t="shared" si="105"/>
        <v>0</v>
      </c>
      <c r="K221" s="18">
        <f t="shared" si="105"/>
        <v>0</v>
      </c>
      <c r="L221" s="18">
        <f t="shared" si="105"/>
        <v>0</v>
      </c>
      <c r="M221" s="18">
        <f t="shared" si="104"/>
        <v>0</v>
      </c>
      <c r="N221" s="18">
        <f t="shared" si="104"/>
        <v>0</v>
      </c>
      <c r="O221" s="18">
        <f t="shared" si="104"/>
        <v>0</v>
      </c>
      <c r="P221" s="18">
        <f t="shared" si="104"/>
        <v>0</v>
      </c>
      <c r="Q221" s="18">
        <f t="shared" si="104"/>
        <v>0</v>
      </c>
      <c r="R221" s="18">
        <f t="shared" si="104"/>
        <v>0</v>
      </c>
      <c r="S221" s="18">
        <f t="shared" si="104"/>
        <v>0</v>
      </c>
      <c r="T221" s="18">
        <f t="shared" si="104"/>
        <v>0</v>
      </c>
      <c r="U221" s="18">
        <f t="shared" si="104"/>
        <v>0</v>
      </c>
      <c r="V221" s="18">
        <f t="shared" si="104"/>
        <v>0</v>
      </c>
      <c r="W221" s="568"/>
      <c r="X221" s="568"/>
      <c r="Y221" s="568"/>
      <c r="Z221" s="568"/>
      <c r="AA221" s="568"/>
      <c r="AB221" s="568"/>
      <c r="AC221" s="568"/>
      <c r="AD221" s="568"/>
      <c r="AE221" s="568"/>
    </row>
    <row r="222" spans="2:36" x14ac:dyDescent="0.2">
      <c r="C222" s="30" t="s">
        <v>32</v>
      </c>
      <c r="D222" s="120"/>
      <c r="E222" s="269">
        <f>'Plant model'!E222</f>
        <v>0</v>
      </c>
      <c r="F222" s="1" t="s">
        <v>3</v>
      </c>
      <c r="I222" s="18">
        <f t="shared" si="105"/>
        <v>0</v>
      </c>
      <c r="J222" s="18">
        <f t="shared" si="105"/>
        <v>0</v>
      </c>
      <c r="K222" s="18">
        <f t="shared" si="105"/>
        <v>0</v>
      </c>
      <c r="L222" s="18">
        <f t="shared" si="105"/>
        <v>0</v>
      </c>
      <c r="M222" s="18">
        <f t="shared" si="104"/>
        <v>0</v>
      </c>
      <c r="N222" s="18">
        <f t="shared" si="104"/>
        <v>0</v>
      </c>
      <c r="O222" s="18">
        <f t="shared" si="104"/>
        <v>0</v>
      </c>
      <c r="P222" s="18">
        <f t="shared" si="104"/>
        <v>0</v>
      </c>
      <c r="Q222" s="18">
        <f t="shared" si="104"/>
        <v>0</v>
      </c>
      <c r="R222" s="18">
        <f t="shared" si="104"/>
        <v>0</v>
      </c>
      <c r="S222" s="18">
        <f t="shared" si="104"/>
        <v>0</v>
      </c>
      <c r="T222" s="18">
        <f t="shared" si="104"/>
        <v>0</v>
      </c>
      <c r="U222" s="18">
        <f t="shared" si="104"/>
        <v>0</v>
      </c>
      <c r="V222" s="18">
        <f t="shared" si="104"/>
        <v>0</v>
      </c>
      <c r="W222" s="568"/>
      <c r="X222" s="568"/>
      <c r="Y222" s="568"/>
      <c r="Z222" s="568"/>
      <c r="AA222" s="568"/>
      <c r="AB222" s="568"/>
      <c r="AC222" s="568"/>
      <c r="AD222" s="568"/>
      <c r="AE222" s="568"/>
    </row>
    <row r="223" spans="2:36" x14ac:dyDescent="0.2">
      <c r="C223" s="30" t="s">
        <v>31</v>
      </c>
      <c r="D223" s="120"/>
      <c r="E223" s="269">
        <f>'Plant model'!E223</f>
        <v>0</v>
      </c>
      <c r="F223" s="1" t="s">
        <v>3</v>
      </c>
      <c r="I223" s="18">
        <f t="shared" si="105"/>
        <v>0</v>
      </c>
      <c r="J223" s="18">
        <f t="shared" si="105"/>
        <v>0</v>
      </c>
      <c r="K223" s="18">
        <f t="shared" si="105"/>
        <v>0</v>
      </c>
      <c r="L223" s="18">
        <f t="shared" si="105"/>
        <v>0</v>
      </c>
      <c r="M223" s="18">
        <f t="shared" si="104"/>
        <v>0</v>
      </c>
      <c r="N223" s="18">
        <f t="shared" si="104"/>
        <v>0</v>
      </c>
      <c r="O223" s="18">
        <f t="shared" si="104"/>
        <v>0</v>
      </c>
      <c r="P223" s="18">
        <f t="shared" si="104"/>
        <v>0</v>
      </c>
      <c r="Q223" s="18">
        <f t="shared" si="104"/>
        <v>0</v>
      </c>
      <c r="R223" s="18">
        <f t="shared" si="104"/>
        <v>0</v>
      </c>
      <c r="S223" s="18">
        <f t="shared" si="104"/>
        <v>0</v>
      </c>
      <c r="T223" s="18">
        <f t="shared" si="104"/>
        <v>0</v>
      </c>
      <c r="U223" s="18">
        <f t="shared" si="104"/>
        <v>0</v>
      </c>
      <c r="V223" s="18">
        <f t="shared" si="104"/>
        <v>0</v>
      </c>
      <c r="W223" s="568"/>
      <c r="X223" s="568"/>
      <c r="Y223" s="568"/>
      <c r="Z223" s="568"/>
      <c r="AA223" s="568"/>
      <c r="AB223" s="568"/>
      <c r="AC223" s="568"/>
      <c r="AD223" s="568"/>
      <c r="AE223" s="568"/>
    </row>
    <row r="224" spans="2:36" x14ac:dyDescent="0.2">
      <c r="C224" s="28" t="s">
        <v>33</v>
      </c>
      <c r="D224" s="120"/>
      <c r="E224" s="269">
        <f>'Plant model'!E224</f>
        <v>0</v>
      </c>
      <c r="F224" s="1" t="s">
        <v>3</v>
      </c>
      <c r="I224" s="18">
        <f t="shared" si="105"/>
        <v>0</v>
      </c>
      <c r="J224" s="18">
        <f t="shared" si="105"/>
        <v>0</v>
      </c>
      <c r="K224" s="18">
        <f t="shared" si="105"/>
        <v>0</v>
      </c>
      <c r="L224" s="18">
        <f t="shared" si="105"/>
        <v>0</v>
      </c>
      <c r="M224" s="18">
        <f t="shared" si="104"/>
        <v>0</v>
      </c>
      <c r="N224" s="18">
        <f t="shared" si="104"/>
        <v>0</v>
      </c>
      <c r="O224" s="18">
        <f t="shared" si="104"/>
        <v>0</v>
      </c>
      <c r="P224" s="18">
        <f t="shared" si="104"/>
        <v>0</v>
      </c>
      <c r="Q224" s="18">
        <f t="shared" si="104"/>
        <v>0</v>
      </c>
      <c r="R224" s="18">
        <f t="shared" si="104"/>
        <v>0</v>
      </c>
      <c r="S224" s="18">
        <f t="shared" si="104"/>
        <v>0</v>
      </c>
      <c r="T224" s="18">
        <f t="shared" si="104"/>
        <v>0</v>
      </c>
      <c r="U224" s="18">
        <f t="shared" si="104"/>
        <v>0</v>
      </c>
      <c r="V224" s="18">
        <f t="shared" si="104"/>
        <v>0</v>
      </c>
      <c r="W224" s="568"/>
      <c r="X224" s="568"/>
      <c r="Y224" s="568"/>
      <c r="Z224" s="568"/>
      <c r="AA224" s="568"/>
      <c r="AB224" s="568"/>
      <c r="AC224" s="568"/>
      <c r="AD224" s="568"/>
      <c r="AE224" s="568"/>
    </row>
    <row r="225" spans="1:31" x14ac:dyDescent="0.2">
      <c r="C225" s="5" t="s">
        <v>34</v>
      </c>
      <c r="D225" s="120"/>
      <c r="E225" s="269">
        <f>'Plant model'!E225</f>
        <v>0</v>
      </c>
      <c r="F225" s="1" t="s">
        <v>3</v>
      </c>
      <c r="I225" s="18">
        <f t="shared" si="105"/>
        <v>0</v>
      </c>
      <c r="J225" s="18">
        <f t="shared" si="105"/>
        <v>0</v>
      </c>
      <c r="K225" s="18">
        <f t="shared" si="105"/>
        <v>0</v>
      </c>
      <c r="L225" s="18">
        <f t="shared" si="105"/>
        <v>0</v>
      </c>
      <c r="M225" s="18">
        <f t="shared" si="104"/>
        <v>0</v>
      </c>
      <c r="N225" s="18">
        <f t="shared" si="104"/>
        <v>0</v>
      </c>
      <c r="O225" s="18">
        <f t="shared" si="104"/>
        <v>0</v>
      </c>
      <c r="P225" s="18">
        <f t="shared" si="104"/>
        <v>0</v>
      </c>
      <c r="Q225" s="18">
        <f t="shared" si="104"/>
        <v>0</v>
      </c>
      <c r="R225" s="18">
        <f t="shared" si="104"/>
        <v>0</v>
      </c>
      <c r="S225" s="18">
        <f t="shared" si="104"/>
        <v>0</v>
      </c>
      <c r="T225" s="18">
        <f t="shared" si="104"/>
        <v>0</v>
      </c>
      <c r="U225" s="18">
        <f t="shared" si="104"/>
        <v>0</v>
      </c>
      <c r="V225" s="18">
        <f t="shared" si="104"/>
        <v>0</v>
      </c>
      <c r="W225" s="568"/>
      <c r="X225" s="568"/>
      <c r="Y225" s="568"/>
      <c r="Z225" s="568"/>
      <c r="AA225" s="568"/>
      <c r="AB225" s="568"/>
      <c r="AC225" s="568"/>
      <c r="AD225" s="568"/>
      <c r="AE225" s="568"/>
    </row>
    <row r="226" spans="1:31" x14ac:dyDescent="0.2">
      <c r="C226" s="5"/>
      <c r="D226" s="5"/>
    </row>
    <row r="227" spans="1:31" x14ac:dyDescent="0.2">
      <c r="C227" s="5" t="s">
        <v>35</v>
      </c>
      <c r="D227" s="120"/>
      <c r="E227" s="269">
        <f>'Plant model'!E227</f>
        <v>0</v>
      </c>
      <c r="F227" s="1" t="s">
        <v>6</v>
      </c>
      <c r="I227" s="18">
        <f t="shared" ref="I227:V229" si="106">$E227</f>
        <v>0</v>
      </c>
      <c r="J227" s="18">
        <f t="shared" si="106"/>
        <v>0</v>
      </c>
      <c r="K227" s="18">
        <f t="shared" si="106"/>
        <v>0</v>
      </c>
      <c r="L227" s="18">
        <f t="shared" si="106"/>
        <v>0</v>
      </c>
      <c r="M227" s="18">
        <f t="shared" si="106"/>
        <v>0</v>
      </c>
      <c r="N227" s="18">
        <f t="shared" si="106"/>
        <v>0</v>
      </c>
      <c r="O227" s="18">
        <f t="shared" si="106"/>
        <v>0</v>
      </c>
      <c r="P227" s="18">
        <f t="shared" si="106"/>
        <v>0</v>
      </c>
      <c r="Q227" s="18">
        <f t="shared" si="106"/>
        <v>0</v>
      </c>
      <c r="R227" s="18">
        <f t="shared" si="106"/>
        <v>0</v>
      </c>
      <c r="S227" s="18">
        <f t="shared" si="106"/>
        <v>0</v>
      </c>
      <c r="T227" s="18">
        <f t="shared" si="106"/>
        <v>0</v>
      </c>
      <c r="U227" s="18">
        <f t="shared" si="106"/>
        <v>0</v>
      </c>
      <c r="V227" s="18">
        <f t="shared" si="106"/>
        <v>0</v>
      </c>
      <c r="W227" s="568"/>
      <c r="X227" s="568"/>
      <c r="Y227" s="568"/>
      <c r="Z227" s="568"/>
      <c r="AA227" s="568"/>
      <c r="AB227" s="568"/>
      <c r="AC227" s="568"/>
      <c r="AD227" s="568"/>
      <c r="AE227" s="568"/>
    </row>
    <row r="228" spans="1:31" x14ac:dyDescent="0.2">
      <c r="C228" s="5" t="s">
        <v>36</v>
      </c>
      <c r="D228" s="120"/>
      <c r="E228" s="269">
        <f>'Plant model'!E228</f>
        <v>0</v>
      </c>
      <c r="F228" s="1" t="s">
        <v>37</v>
      </c>
      <c r="I228" s="18">
        <f t="shared" si="106"/>
        <v>0</v>
      </c>
      <c r="J228" s="18">
        <f t="shared" si="106"/>
        <v>0</v>
      </c>
      <c r="K228" s="18">
        <f t="shared" si="106"/>
        <v>0</v>
      </c>
      <c r="L228" s="18">
        <f t="shared" si="106"/>
        <v>0</v>
      </c>
      <c r="M228" s="18">
        <f t="shared" si="106"/>
        <v>0</v>
      </c>
      <c r="N228" s="18">
        <f t="shared" si="106"/>
        <v>0</v>
      </c>
      <c r="O228" s="18">
        <f t="shared" si="106"/>
        <v>0</v>
      </c>
      <c r="P228" s="18">
        <f t="shared" si="106"/>
        <v>0</v>
      </c>
      <c r="Q228" s="18">
        <f t="shared" si="106"/>
        <v>0</v>
      </c>
      <c r="R228" s="18">
        <f t="shared" si="106"/>
        <v>0</v>
      </c>
      <c r="S228" s="18">
        <f t="shared" si="106"/>
        <v>0</v>
      </c>
      <c r="T228" s="18">
        <f t="shared" si="106"/>
        <v>0</v>
      </c>
      <c r="U228" s="18">
        <f t="shared" si="106"/>
        <v>0</v>
      </c>
      <c r="V228" s="18">
        <f t="shared" si="106"/>
        <v>0</v>
      </c>
      <c r="W228" s="568"/>
      <c r="X228" s="568"/>
      <c r="Y228" s="568"/>
      <c r="Z228" s="568"/>
      <c r="AA228" s="568"/>
      <c r="AB228" s="568"/>
      <c r="AC228" s="568"/>
      <c r="AD228" s="568"/>
      <c r="AE228" s="568"/>
    </row>
    <row r="229" spans="1:31" x14ac:dyDescent="0.2">
      <c r="C229" s="5" t="s">
        <v>38</v>
      </c>
      <c r="D229" s="120"/>
      <c r="E229" s="269">
        <f>'Plant model'!E229</f>
        <v>0</v>
      </c>
      <c r="F229" s="1" t="s">
        <v>39</v>
      </c>
      <c r="I229" s="18">
        <f t="shared" si="106"/>
        <v>0</v>
      </c>
      <c r="J229" s="18">
        <f t="shared" si="106"/>
        <v>0</v>
      </c>
      <c r="K229" s="18">
        <f t="shared" si="106"/>
        <v>0</v>
      </c>
      <c r="L229" s="18">
        <f t="shared" si="106"/>
        <v>0</v>
      </c>
      <c r="M229" s="18">
        <f t="shared" si="106"/>
        <v>0</v>
      </c>
      <c r="N229" s="18">
        <f t="shared" si="106"/>
        <v>0</v>
      </c>
      <c r="O229" s="18">
        <f t="shared" si="106"/>
        <v>0</v>
      </c>
      <c r="P229" s="18">
        <f t="shared" si="106"/>
        <v>0</v>
      </c>
      <c r="Q229" s="18">
        <f t="shared" si="106"/>
        <v>0</v>
      </c>
      <c r="R229" s="18">
        <f t="shared" si="106"/>
        <v>0</v>
      </c>
      <c r="S229" s="18">
        <f t="shared" si="106"/>
        <v>0</v>
      </c>
      <c r="T229" s="18">
        <f t="shared" si="106"/>
        <v>0</v>
      </c>
      <c r="U229" s="18">
        <f t="shared" si="106"/>
        <v>0</v>
      </c>
      <c r="V229" s="18">
        <f t="shared" si="106"/>
        <v>0</v>
      </c>
      <c r="W229" s="568"/>
      <c r="X229" s="568"/>
      <c r="Y229" s="568"/>
      <c r="Z229" s="568"/>
      <c r="AA229" s="568"/>
      <c r="AB229" s="568"/>
      <c r="AC229" s="568"/>
      <c r="AD229" s="568"/>
      <c r="AE229" s="568"/>
    </row>
    <row r="230" spans="1:31" x14ac:dyDescent="0.2">
      <c r="C230" s="5" t="s">
        <v>363</v>
      </c>
      <c r="D230" s="5"/>
      <c r="F230" s="1" t="s">
        <v>3</v>
      </c>
      <c r="I230" s="21">
        <f>IFERROR(I227*I228*I229/I$191/1000000,0)</f>
        <v>0</v>
      </c>
      <c r="J230" s="21">
        <f t="shared" ref="J230:V230" si="107">IFERROR(J227*J228*J229/J$191/1000000,0)</f>
        <v>0</v>
      </c>
      <c r="K230" s="21">
        <f t="shared" si="107"/>
        <v>0</v>
      </c>
      <c r="L230" s="21">
        <f t="shared" si="107"/>
        <v>0</v>
      </c>
      <c r="M230" s="21">
        <f t="shared" si="107"/>
        <v>0</v>
      </c>
      <c r="N230" s="21">
        <f t="shared" si="107"/>
        <v>0</v>
      </c>
      <c r="O230" s="21">
        <f t="shared" si="107"/>
        <v>0</v>
      </c>
      <c r="P230" s="21">
        <f t="shared" si="107"/>
        <v>0</v>
      </c>
      <c r="Q230" s="21">
        <f t="shared" si="107"/>
        <v>0</v>
      </c>
      <c r="R230" s="21">
        <f t="shared" si="107"/>
        <v>0</v>
      </c>
      <c r="S230" s="21">
        <f t="shared" si="107"/>
        <v>0</v>
      </c>
      <c r="T230" s="21">
        <f t="shared" si="107"/>
        <v>0</v>
      </c>
      <c r="U230" s="21">
        <f t="shared" si="107"/>
        <v>0</v>
      </c>
      <c r="V230" s="21">
        <f t="shared" si="107"/>
        <v>0</v>
      </c>
      <c r="W230" s="563"/>
      <c r="X230" s="563"/>
      <c r="Y230" s="563"/>
      <c r="Z230" s="563"/>
      <c r="AA230" s="563"/>
      <c r="AB230" s="563"/>
      <c r="AC230" s="563"/>
      <c r="AD230" s="563"/>
      <c r="AE230" s="563"/>
    </row>
    <row r="231" spans="1:31" x14ac:dyDescent="0.2">
      <c r="C231" s="5"/>
      <c r="D231" s="5"/>
    </row>
    <row r="232" spans="1:31" x14ac:dyDescent="0.2">
      <c r="C232" s="5" t="s">
        <v>40</v>
      </c>
      <c r="D232" s="120"/>
      <c r="E232" s="269">
        <f>'Plant model'!E232</f>
        <v>0</v>
      </c>
      <c r="F232" s="1" t="s">
        <v>6</v>
      </c>
      <c r="I232" s="18">
        <f t="shared" ref="I232:V234" si="108">$E232</f>
        <v>0</v>
      </c>
      <c r="J232" s="18">
        <f t="shared" si="108"/>
        <v>0</v>
      </c>
      <c r="K232" s="18">
        <f t="shared" si="108"/>
        <v>0</v>
      </c>
      <c r="L232" s="18">
        <f t="shared" si="108"/>
        <v>0</v>
      </c>
      <c r="M232" s="18">
        <f t="shared" si="108"/>
        <v>0</v>
      </c>
      <c r="N232" s="18">
        <f t="shared" si="108"/>
        <v>0</v>
      </c>
      <c r="O232" s="18">
        <f t="shared" si="108"/>
        <v>0</v>
      </c>
      <c r="P232" s="18">
        <f t="shared" si="108"/>
        <v>0</v>
      </c>
      <c r="Q232" s="18">
        <f t="shared" si="108"/>
        <v>0</v>
      </c>
      <c r="R232" s="18">
        <f t="shared" si="108"/>
        <v>0</v>
      </c>
      <c r="S232" s="18">
        <f t="shared" si="108"/>
        <v>0</v>
      </c>
      <c r="T232" s="18">
        <f t="shared" si="108"/>
        <v>0</v>
      </c>
      <c r="U232" s="18">
        <f t="shared" si="108"/>
        <v>0</v>
      </c>
      <c r="V232" s="18">
        <f t="shared" si="108"/>
        <v>0</v>
      </c>
      <c r="W232" s="568"/>
      <c r="X232" s="568"/>
      <c r="Y232" s="568"/>
      <c r="Z232" s="568"/>
      <c r="AA232" s="568"/>
      <c r="AB232" s="568"/>
      <c r="AC232" s="568"/>
      <c r="AD232" s="568"/>
      <c r="AE232" s="568"/>
    </row>
    <row r="233" spans="1:31" x14ac:dyDescent="0.2">
      <c r="C233" s="5" t="s">
        <v>36</v>
      </c>
      <c r="D233" s="120"/>
      <c r="E233" s="269">
        <f>'Plant model'!E233</f>
        <v>0</v>
      </c>
      <c r="F233" s="1" t="s">
        <v>37</v>
      </c>
      <c r="I233" s="18">
        <f t="shared" si="108"/>
        <v>0</v>
      </c>
      <c r="J233" s="18">
        <f t="shared" si="108"/>
        <v>0</v>
      </c>
      <c r="K233" s="18">
        <f t="shared" si="108"/>
        <v>0</v>
      </c>
      <c r="L233" s="18">
        <f t="shared" si="108"/>
        <v>0</v>
      </c>
      <c r="M233" s="18">
        <f t="shared" si="108"/>
        <v>0</v>
      </c>
      <c r="N233" s="18">
        <f t="shared" si="108"/>
        <v>0</v>
      </c>
      <c r="O233" s="18">
        <f t="shared" si="108"/>
        <v>0</v>
      </c>
      <c r="P233" s="18">
        <f t="shared" si="108"/>
        <v>0</v>
      </c>
      <c r="Q233" s="18">
        <f t="shared" si="108"/>
        <v>0</v>
      </c>
      <c r="R233" s="18">
        <f t="shared" si="108"/>
        <v>0</v>
      </c>
      <c r="S233" s="18">
        <f t="shared" si="108"/>
        <v>0</v>
      </c>
      <c r="T233" s="18">
        <f t="shared" si="108"/>
        <v>0</v>
      </c>
      <c r="U233" s="18">
        <f t="shared" si="108"/>
        <v>0</v>
      </c>
      <c r="V233" s="18">
        <f t="shared" si="108"/>
        <v>0</v>
      </c>
      <c r="W233" s="568"/>
      <c r="X233" s="568"/>
      <c r="Y233" s="568"/>
      <c r="Z233" s="568"/>
      <c r="AA233" s="568"/>
      <c r="AB233" s="568"/>
      <c r="AC233" s="568"/>
      <c r="AD233" s="568"/>
      <c r="AE233" s="568"/>
    </row>
    <row r="234" spans="1:31" x14ac:dyDescent="0.2">
      <c r="C234" s="5" t="s">
        <v>41</v>
      </c>
      <c r="D234" s="120"/>
      <c r="E234" s="269">
        <f>'Plant model'!E234</f>
        <v>0</v>
      </c>
      <c r="F234" s="1" t="s">
        <v>39</v>
      </c>
      <c r="I234" s="18">
        <f t="shared" si="108"/>
        <v>0</v>
      </c>
      <c r="J234" s="18">
        <f t="shared" si="108"/>
        <v>0</v>
      </c>
      <c r="K234" s="18">
        <f t="shared" si="108"/>
        <v>0</v>
      </c>
      <c r="L234" s="18">
        <f t="shared" si="108"/>
        <v>0</v>
      </c>
      <c r="M234" s="18">
        <f t="shared" si="108"/>
        <v>0</v>
      </c>
      <c r="N234" s="18">
        <f t="shared" si="108"/>
        <v>0</v>
      </c>
      <c r="O234" s="18">
        <f t="shared" si="108"/>
        <v>0</v>
      </c>
      <c r="P234" s="18">
        <f t="shared" si="108"/>
        <v>0</v>
      </c>
      <c r="Q234" s="18">
        <f t="shared" si="108"/>
        <v>0</v>
      </c>
      <c r="R234" s="18">
        <f t="shared" si="108"/>
        <v>0</v>
      </c>
      <c r="S234" s="18">
        <f t="shared" si="108"/>
        <v>0</v>
      </c>
      <c r="T234" s="18">
        <f t="shared" si="108"/>
        <v>0</v>
      </c>
      <c r="U234" s="18">
        <f t="shared" si="108"/>
        <v>0</v>
      </c>
      <c r="V234" s="18">
        <f t="shared" si="108"/>
        <v>0</v>
      </c>
      <c r="W234" s="568"/>
      <c r="X234" s="568"/>
      <c r="Y234" s="568"/>
      <c r="Z234" s="568"/>
      <c r="AA234" s="568"/>
      <c r="AB234" s="568"/>
      <c r="AC234" s="568"/>
      <c r="AD234" s="568"/>
      <c r="AE234" s="568"/>
    </row>
    <row r="235" spans="1:31" x14ac:dyDescent="0.2">
      <c r="C235" s="5" t="s">
        <v>42</v>
      </c>
      <c r="D235" s="5"/>
      <c r="F235" s="1" t="s">
        <v>3</v>
      </c>
      <c r="I235" s="21">
        <f>IFERROR(I232*I233*I234/I$191/1000000,0)</f>
        <v>0</v>
      </c>
      <c r="J235" s="21">
        <f>IFERROR(J232*J233*J234/J$191/1000000,0)</f>
        <v>0</v>
      </c>
      <c r="K235" s="21">
        <f>IFERROR(K232*K233*K234/K$191/1000000,0)</f>
        <v>0</v>
      </c>
      <c r="L235" s="21">
        <f t="shared" ref="L235:V235" si="109">IFERROR(L232*L233*L234/L$191/1000000,0)</f>
        <v>0</v>
      </c>
      <c r="M235" s="21">
        <f t="shared" si="109"/>
        <v>0</v>
      </c>
      <c r="N235" s="21">
        <f t="shared" si="109"/>
        <v>0</v>
      </c>
      <c r="O235" s="21">
        <f t="shared" si="109"/>
        <v>0</v>
      </c>
      <c r="P235" s="21">
        <f t="shared" si="109"/>
        <v>0</v>
      </c>
      <c r="Q235" s="21">
        <f t="shared" si="109"/>
        <v>0</v>
      </c>
      <c r="R235" s="21">
        <f t="shared" si="109"/>
        <v>0</v>
      </c>
      <c r="S235" s="21">
        <f t="shared" si="109"/>
        <v>0</v>
      </c>
      <c r="T235" s="21">
        <f t="shared" si="109"/>
        <v>0</v>
      </c>
      <c r="U235" s="21">
        <f t="shared" si="109"/>
        <v>0</v>
      </c>
      <c r="V235" s="21">
        <f t="shared" si="109"/>
        <v>0</v>
      </c>
      <c r="W235" s="563"/>
      <c r="X235" s="563"/>
      <c r="Y235" s="563"/>
      <c r="Z235" s="563"/>
      <c r="AA235" s="563"/>
      <c r="AB235" s="563"/>
      <c r="AC235" s="563"/>
      <c r="AD235" s="563"/>
      <c r="AE235" s="563"/>
    </row>
    <row r="236" spans="1:31" x14ac:dyDescent="0.2">
      <c r="C236" s="5"/>
      <c r="D236" s="5"/>
    </row>
    <row r="237" spans="1:31" x14ac:dyDescent="0.2">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V237" si="110">M235+M230+SUM(M220:M225)</f>
        <v>1.7142857142857142</v>
      </c>
      <c r="N237" s="44">
        <f t="shared" si="110"/>
        <v>1.7142857142857142</v>
      </c>
      <c r="O237" s="44">
        <f t="shared" si="110"/>
        <v>1.7142857142857142</v>
      </c>
      <c r="P237" s="44">
        <f t="shared" si="110"/>
        <v>1.7142857142857142</v>
      </c>
      <c r="Q237" s="44">
        <f t="shared" si="110"/>
        <v>1.7142857142857142</v>
      </c>
      <c r="R237" s="44">
        <f t="shared" si="110"/>
        <v>1.7142857142857142</v>
      </c>
      <c r="S237" s="44">
        <f t="shared" si="110"/>
        <v>1.7142857142857142</v>
      </c>
      <c r="T237" s="44">
        <f t="shared" si="110"/>
        <v>1.7142857142857142</v>
      </c>
      <c r="U237" s="44">
        <f t="shared" si="110"/>
        <v>1.7142857142857142</v>
      </c>
      <c r="V237" s="44">
        <f t="shared" si="110"/>
        <v>1.7142857142857142</v>
      </c>
      <c r="W237" s="580"/>
      <c r="X237" s="580"/>
      <c r="Y237" s="580"/>
      <c r="Z237" s="580"/>
      <c r="AA237" s="580"/>
      <c r="AB237" s="580"/>
      <c r="AC237" s="580"/>
      <c r="AD237" s="580"/>
      <c r="AE237" s="580"/>
    </row>
    <row r="238" spans="1:31" x14ac:dyDescent="0.2">
      <c r="A238" s="5"/>
      <c r="C238" s="5"/>
      <c r="D238" s="5"/>
    </row>
    <row r="239" spans="1:31" x14ac:dyDescent="0.2">
      <c r="B239" s="24">
        <f>B215+0.01</f>
        <v>3.1199999999999997</v>
      </c>
      <c r="C239" s="20" t="s">
        <v>780</v>
      </c>
      <c r="D239" s="5"/>
    </row>
    <row r="240" spans="1:31" x14ac:dyDescent="0.2">
      <c r="C240" s="5"/>
      <c r="D240" s="11" t="s">
        <v>685</v>
      </c>
    </row>
    <row r="241" spans="2:31" x14ac:dyDescent="0.2">
      <c r="C241" s="5" t="s">
        <v>781</v>
      </c>
      <c r="D241" s="269">
        <f>'Plant model'!D241</f>
        <v>1.45</v>
      </c>
      <c r="E241" s="431">
        <f>D241*E14</f>
        <v>1.1165</v>
      </c>
      <c r="F241" s="1" t="s">
        <v>3</v>
      </c>
      <c r="I241" s="18">
        <f t="shared" ref="I241:V243" si="111">$E241</f>
        <v>1.1165</v>
      </c>
      <c r="J241" s="18">
        <f t="shared" si="111"/>
        <v>1.1165</v>
      </c>
      <c r="K241" s="18">
        <f t="shared" si="111"/>
        <v>1.1165</v>
      </c>
      <c r="L241" s="18">
        <f t="shared" si="111"/>
        <v>1.1165</v>
      </c>
      <c r="M241" s="18">
        <f t="shared" si="111"/>
        <v>1.1165</v>
      </c>
      <c r="N241" s="18">
        <f t="shared" si="111"/>
        <v>1.1165</v>
      </c>
      <c r="O241" s="18">
        <f t="shared" si="111"/>
        <v>1.1165</v>
      </c>
      <c r="P241" s="18">
        <f t="shared" si="111"/>
        <v>1.1165</v>
      </c>
      <c r="Q241" s="18">
        <f t="shared" si="111"/>
        <v>1.1165</v>
      </c>
      <c r="R241" s="18">
        <f t="shared" si="111"/>
        <v>1.1165</v>
      </c>
      <c r="S241" s="18">
        <f t="shared" si="111"/>
        <v>1.1165</v>
      </c>
      <c r="T241" s="18">
        <f t="shared" si="111"/>
        <v>1.1165</v>
      </c>
      <c r="U241" s="18">
        <f t="shared" si="111"/>
        <v>1.1165</v>
      </c>
      <c r="V241" s="18">
        <f t="shared" si="111"/>
        <v>1.1165</v>
      </c>
      <c r="W241" s="568"/>
      <c r="X241" s="568"/>
      <c r="Y241" s="568"/>
      <c r="Z241" s="568"/>
      <c r="AA241" s="568"/>
      <c r="AB241" s="568"/>
      <c r="AC241" s="568"/>
      <c r="AD241" s="568"/>
      <c r="AE241" s="568"/>
    </row>
    <row r="242" spans="2:31" x14ac:dyDescent="0.2">
      <c r="C242" s="5" t="s">
        <v>705</v>
      </c>
      <c r="D242" s="120"/>
      <c r="E242" s="269">
        <f>'Plant model'!E242</f>
        <v>0</v>
      </c>
      <c r="F242" s="1" t="s">
        <v>3</v>
      </c>
      <c r="I242" s="18">
        <f t="shared" si="111"/>
        <v>0</v>
      </c>
      <c r="J242" s="18">
        <f t="shared" si="111"/>
        <v>0</v>
      </c>
      <c r="K242" s="18">
        <f t="shared" si="111"/>
        <v>0</v>
      </c>
      <c r="L242" s="18">
        <f t="shared" si="111"/>
        <v>0</v>
      </c>
      <c r="M242" s="18">
        <f t="shared" si="111"/>
        <v>0</v>
      </c>
      <c r="N242" s="18">
        <f t="shared" si="111"/>
        <v>0</v>
      </c>
      <c r="O242" s="18">
        <f t="shared" si="111"/>
        <v>0</v>
      </c>
      <c r="P242" s="18">
        <f t="shared" si="111"/>
        <v>0</v>
      </c>
      <c r="Q242" s="18">
        <f t="shared" si="111"/>
        <v>0</v>
      </c>
      <c r="R242" s="18">
        <f t="shared" si="111"/>
        <v>0</v>
      </c>
      <c r="S242" s="18">
        <f t="shared" si="111"/>
        <v>0</v>
      </c>
      <c r="T242" s="18">
        <f t="shared" si="111"/>
        <v>0</v>
      </c>
      <c r="U242" s="18">
        <f t="shared" si="111"/>
        <v>0</v>
      </c>
      <c r="V242" s="18">
        <f t="shared" si="111"/>
        <v>0</v>
      </c>
      <c r="W242" s="568"/>
      <c r="X242" s="568"/>
      <c r="Y242" s="568"/>
      <c r="Z242" s="568"/>
      <c r="AA242" s="568"/>
      <c r="AB242" s="568"/>
      <c r="AC242" s="568"/>
      <c r="AD242" s="568"/>
      <c r="AE242" s="568"/>
    </row>
    <row r="243" spans="2:31" x14ac:dyDescent="0.2">
      <c r="C243" s="5" t="s">
        <v>44</v>
      </c>
      <c r="D243" s="269">
        <f>'Plant model'!D243</f>
        <v>2</v>
      </c>
      <c r="E243" s="431">
        <f>D243*E14</f>
        <v>1.54</v>
      </c>
      <c r="F243" s="1" t="s">
        <v>3</v>
      </c>
      <c r="I243" s="18">
        <f t="shared" si="111"/>
        <v>1.54</v>
      </c>
      <c r="J243" s="18">
        <f t="shared" si="111"/>
        <v>1.54</v>
      </c>
      <c r="K243" s="18">
        <f t="shared" si="111"/>
        <v>1.54</v>
      </c>
      <c r="L243" s="18">
        <f t="shared" si="111"/>
        <v>1.54</v>
      </c>
      <c r="M243" s="18">
        <f t="shared" si="111"/>
        <v>1.54</v>
      </c>
      <c r="N243" s="18">
        <f t="shared" si="111"/>
        <v>1.54</v>
      </c>
      <c r="O243" s="18">
        <f t="shared" si="111"/>
        <v>1.54</v>
      </c>
      <c r="P243" s="18">
        <f t="shared" si="111"/>
        <v>1.54</v>
      </c>
      <c r="Q243" s="18">
        <f t="shared" si="111"/>
        <v>1.54</v>
      </c>
      <c r="R243" s="18">
        <f t="shared" si="111"/>
        <v>1.54</v>
      </c>
      <c r="S243" s="18">
        <f t="shared" si="111"/>
        <v>1.54</v>
      </c>
      <c r="T243" s="18">
        <f t="shared" si="111"/>
        <v>1.54</v>
      </c>
      <c r="U243" s="18">
        <f t="shared" si="111"/>
        <v>1.54</v>
      </c>
      <c r="V243" s="18">
        <f t="shared" si="111"/>
        <v>1.54</v>
      </c>
      <c r="W243" s="568"/>
      <c r="X243" s="568"/>
      <c r="Y243" s="568"/>
      <c r="Z243" s="568"/>
      <c r="AA243" s="568"/>
      <c r="AB243" s="568"/>
      <c r="AC243" s="568"/>
      <c r="AD243" s="568"/>
      <c r="AE243" s="568"/>
    </row>
    <row r="244" spans="2:31" ht="14.25" x14ac:dyDescent="0.2">
      <c r="C244" s="5"/>
      <c r="D244" s="5"/>
      <c r="K244" s="150"/>
      <c r="L244" s="150"/>
      <c r="M244" s="21"/>
      <c r="N244" s="21"/>
      <c r="O244" s="21"/>
      <c r="P244" s="21"/>
      <c r="Q244" s="21"/>
      <c r="R244" s="21"/>
      <c r="S244" s="21"/>
      <c r="T244" s="21"/>
      <c r="U244" s="21"/>
      <c r="V244" s="21"/>
      <c r="W244" s="563"/>
      <c r="X244" s="563"/>
      <c r="Y244" s="563"/>
      <c r="Z244" s="563"/>
      <c r="AA244" s="563"/>
      <c r="AB244" s="563"/>
      <c r="AC244" s="563"/>
      <c r="AD244" s="563"/>
      <c r="AE244" s="563"/>
    </row>
    <row r="245" spans="2:31" x14ac:dyDescent="0.2">
      <c r="C245" s="20" t="s">
        <v>45</v>
      </c>
      <c r="D245" s="20"/>
      <c r="E245" s="9"/>
      <c r="F245" s="9" t="s">
        <v>3</v>
      </c>
      <c r="G245" s="9"/>
      <c r="H245" s="9"/>
      <c r="I245" s="44">
        <f>I241+I242+I243</f>
        <v>2.6565000000000003</v>
      </c>
      <c r="J245" s="44">
        <f>J241+J242+J243</f>
        <v>2.6565000000000003</v>
      </c>
      <c r="K245" s="44">
        <f>K241+K242+K243</f>
        <v>2.6565000000000003</v>
      </c>
      <c r="L245" s="44">
        <f>L241+L242+L243</f>
        <v>2.6565000000000003</v>
      </c>
      <c r="M245" s="44">
        <f t="shared" ref="M245:V245" si="112">M241+M242+M243</f>
        <v>2.6565000000000003</v>
      </c>
      <c r="N245" s="44">
        <f t="shared" si="112"/>
        <v>2.6565000000000003</v>
      </c>
      <c r="O245" s="44">
        <f t="shared" si="112"/>
        <v>2.6565000000000003</v>
      </c>
      <c r="P245" s="44">
        <f t="shared" si="112"/>
        <v>2.6565000000000003</v>
      </c>
      <c r="Q245" s="44">
        <f t="shared" si="112"/>
        <v>2.6565000000000003</v>
      </c>
      <c r="R245" s="44">
        <f t="shared" si="112"/>
        <v>2.6565000000000003</v>
      </c>
      <c r="S245" s="44">
        <f t="shared" si="112"/>
        <v>2.6565000000000003</v>
      </c>
      <c r="T245" s="44">
        <f t="shared" si="112"/>
        <v>2.6565000000000003</v>
      </c>
      <c r="U245" s="44">
        <f t="shared" si="112"/>
        <v>2.6565000000000003</v>
      </c>
      <c r="V245" s="44">
        <f t="shared" si="112"/>
        <v>2.6565000000000003</v>
      </c>
      <c r="W245" s="580"/>
      <c r="X245" s="580"/>
      <c r="Y245" s="580"/>
      <c r="Z245" s="580"/>
      <c r="AA245" s="580"/>
      <c r="AB245" s="580"/>
      <c r="AC245" s="580"/>
      <c r="AD245" s="580"/>
      <c r="AE245" s="580"/>
    </row>
    <row r="246" spans="2:31" x14ac:dyDescent="0.2">
      <c r="C246" s="5"/>
      <c r="D246" s="5"/>
      <c r="K246" s="21"/>
    </row>
    <row r="247" spans="2:31" x14ac:dyDescent="0.2">
      <c r="C247" s="23"/>
      <c r="D247" s="23"/>
      <c r="E247" s="23"/>
      <c r="F247" s="23"/>
      <c r="G247" s="23"/>
      <c r="H247" s="23"/>
      <c r="I247" s="23"/>
      <c r="J247" s="23"/>
      <c r="K247" s="23"/>
      <c r="L247" s="23"/>
      <c r="M247" s="23"/>
      <c r="N247" s="23"/>
      <c r="O247" s="23"/>
      <c r="P247" s="23"/>
      <c r="Q247" s="23"/>
      <c r="R247" s="23"/>
      <c r="S247" s="23"/>
      <c r="T247" s="23"/>
      <c r="U247" s="23"/>
      <c r="V247" s="23"/>
    </row>
    <row r="248" spans="2:31" x14ac:dyDescent="0.2">
      <c r="C248" s="5"/>
      <c r="D248" s="5"/>
    </row>
    <row r="249" spans="2:31" x14ac:dyDescent="0.2">
      <c r="B249" s="10">
        <f>B189+0.1</f>
        <v>3.2</v>
      </c>
      <c r="C249" s="20" t="s">
        <v>379</v>
      </c>
      <c r="D249" s="20"/>
      <c r="M249" s="33"/>
    </row>
    <row r="250" spans="2:31" x14ac:dyDescent="0.2">
      <c r="C250" s="5"/>
      <c r="D250" s="5"/>
      <c r="M250" s="33"/>
    </row>
    <row r="251" spans="2:31" x14ac:dyDescent="0.2">
      <c r="C251" s="5" t="s">
        <v>380</v>
      </c>
      <c r="D251" s="5"/>
      <c r="F251" s="1" t="s">
        <v>914</v>
      </c>
      <c r="I251" s="45">
        <f t="shared" ref="I251" si="113">I146</f>
        <v>0</v>
      </c>
      <c r="J251" s="45">
        <f t="shared" ref="J251:V251" si="114">J146</f>
        <v>0</v>
      </c>
      <c r="K251" s="45">
        <f t="shared" si="114"/>
        <v>0</v>
      </c>
      <c r="L251" s="45">
        <f t="shared" si="114"/>
        <v>0</v>
      </c>
      <c r="M251" s="45">
        <f t="shared" si="114"/>
        <v>0</v>
      </c>
      <c r="N251" s="45">
        <f t="shared" si="114"/>
        <v>0</v>
      </c>
      <c r="O251" s="45">
        <f t="shared" si="114"/>
        <v>0</v>
      </c>
      <c r="P251" s="45">
        <f t="shared" si="114"/>
        <v>0</v>
      </c>
      <c r="Q251" s="45">
        <f t="shared" si="114"/>
        <v>0</v>
      </c>
      <c r="R251" s="45">
        <f t="shared" si="114"/>
        <v>0</v>
      </c>
      <c r="S251" s="45">
        <f t="shared" si="114"/>
        <v>3.6103277250000001E-3</v>
      </c>
      <c r="T251" s="45">
        <f t="shared" si="114"/>
        <v>5.4154915875000006E-3</v>
      </c>
      <c r="U251" s="45">
        <f t="shared" si="114"/>
        <v>7.2206554500000002E-3</v>
      </c>
      <c r="V251" s="45">
        <f t="shared" si="114"/>
        <v>7.2206554500000002E-3</v>
      </c>
      <c r="W251" s="568"/>
      <c r="X251" s="568"/>
      <c r="Y251" s="568"/>
      <c r="Z251" s="568"/>
      <c r="AA251" s="568"/>
      <c r="AB251" s="568"/>
      <c r="AC251" s="568"/>
      <c r="AD251" s="568"/>
      <c r="AE251" s="568"/>
    </row>
    <row r="252" spans="2:31" x14ac:dyDescent="0.2">
      <c r="C252" s="5"/>
      <c r="D252" s="237"/>
      <c r="E252" s="237"/>
    </row>
    <row r="253" spans="2:31" x14ac:dyDescent="0.2">
      <c r="C253" s="5" t="s">
        <v>381</v>
      </c>
      <c r="D253" s="120"/>
      <c r="E253" s="269">
        <f>'Plant model'!E253</f>
        <v>100</v>
      </c>
      <c r="F253" s="1" t="s">
        <v>3</v>
      </c>
      <c r="I253" s="18">
        <f t="shared" ref="I253:L254" si="115">$E253</f>
        <v>100</v>
      </c>
      <c r="J253" s="18">
        <f t="shared" si="115"/>
        <v>100</v>
      </c>
      <c r="K253" s="18">
        <f t="shared" si="115"/>
        <v>100</v>
      </c>
      <c r="L253" s="18">
        <f t="shared" si="115"/>
        <v>100</v>
      </c>
      <c r="M253" s="18">
        <f t="shared" ref="M253:V254" si="116">$E253</f>
        <v>100</v>
      </c>
      <c r="N253" s="18">
        <f t="shared" si="116"/>
        <v>100</v>
      </c>
      <c r="O253" s="18">
        <f t="shared" si="116"/>
        <v>100</v>
      </c>
      <c r="P253" s="18">
        <f t="shared" si="116"/>
        <v>100</v>
      </c>
      <c r="Q253" s="18">
        <f t="shared" si="116"/>
        <v>100</v>
      </c>
      <c r="R253" s="18">
        <f t="shared" si="116"/>
        <v>100</v>
      </c>
      <c r="S253" s="18">
        <f t="shared" si="116"/>
        <v>100</v>
      </c>
      <c r="T253" s="18">
        <f t="shared" si="116"/>
        <v>100</v>
      </c>
      <c r="U253" s="18">
        <f t="shared" si="116"/>
        <v>100</v>
      </c>
      <c r="V253" s="18">
        <f t="shared" si="116"/>
        <v>100</v>
      </c>
      <c r="W253" s="568"/>
      <c r="X253" s="568"/>
      <c r="Y253" s="568"/>
      <c r="Z253" s="568"/>
      <c r="AA253" s="568"/>
      <c r="AB253" s="568"/>
      <c r="AC253" s="568"/>
      <c r="AD253" s="568"/>
      <c r="AE253" s="568"/>
    </row>
    <row r="254" spans="2:31" x14ac:dyDescent="0.2">
      <c r="C254" s="5" t="s">
        <v>46</v>
      </c>
      <c r="D254" s="120"/>
      <c r="E254" s="269">
        <f>'Plant model'!E254</f>
        <v>20</v>
      </c>
      <c r="F254" s="1" t="s">
        <v>3</v>
      </c>
      <c r="I254" s="18">
        <f t="shared" si="115"/>
        <v>20</v>
      </c>
      <c r="J254" s="18">
        <f t="shared" si="115"/>
        <v>20</v>
      </c>
      <c r="K254" s="18">
        <f t="shared" si="115"/>
        <v>20</v>
      </c>
      <c r="L254" s="18">
        <f t="shared" si="115"/>
        <v>20</v>
      </c>
      <c r="M254" s="18">
        <f t="shared" si="116"/>
        <v>20</v>
      </c>
      <c r="N254" s="18">
        <f t="shared" si="116"/>
        <v>20</v>
      </c>
      <c r="O254" s="18">
        <f t="shared" si="116"/>
        <v>20</v>
      </c>
      <c r="P254" s="18">
        <f t="shared" si="116"/>
        <v>20</v>
      </c>
      <c r="Q254" s="18">
        <f t="shared" si="116"/>
        <v>20</v>
      </c>
      <c r="R254" s="18">
        <f t="shared" si="116"/>
        <v>20</v>
      </c>
      <c r="S254" s="18">
        <f t="shared" si="116"/>
        <v>20</v>
      </c>
      <c r="T254" s="18">
        <f t="shared" si="116"/>
        <v>20</v>
      </c>
      <c r="U254" s="18">
        <f t="shared" si="116"/>
        <v>20</v>
      </c>
      <c r="V254" s="18">
        <f t="shared" si="116"/>
        <v>20</v>
      </c>
      <c r="W254" s="568"/>
      <c r="X254" s="568"/>
      <c r="Y254" s="568"/>
      <c r="Z254" s="568"/>
      <c r="AA254" s="568"/>
      <c r="AB254" s="568"/>
      <c r="AC254" s="568"/>
      <c r="AD254" s="568"/>
      <c r="AE254" s="568"/>
    </row>
    <row r="255" spans="2:31" x14ac:dyDescent="0.2">
      <c r="C255" s="20" t="s">
        <v>45</v>
      </c>
      <c r="D255" s="262"/>
      <c r="E255" s="262">
        <f>SUM(E253:E254)</f>
        <v>120</v>
      </c>
      <c r="F255" s="9" t="s">
        <v>3</v>
      </c>
      <c r="G255" s="21">
        <f>AVERAGE(K255:AE255)</f>
        <v>120</v>
      </c>
      <c r="H255" s="9"/>
      <c r="I255" s="44">
        <f>SUM(I253:I254)</f>
        <v>120</v>
      </c>
      <c r="J255" s="44">
        <f>SUM(J253:J254)</f>
        <v>120</v>
      </c>
      <c r="K255" s="44">
        <f>SUM(K253:K254)</f>
        <v>120</v>
      </c>
      <c r="L255" s="44">
        <f>SUM(L253:L254)</f>
        <v>120</v>
      </c>
      <c r="M255" s="44">
        <f t="shared" ref="M255:V255" si="117">SUM(M253:M254)</f>
        <v>120</v>
      </c>
      <c r="N255" s="44">
        <f t="shared" si="117"/>
        <v>120</v>
      </c>
      <c r="O255" s="44">
        <f t="shared" si="117"/>
        <v>120</v>
      </c>
      <c r="P255" s="44">
        <f t="shared" si="117"/>
        <v>120</v>
      </c>
      <c r="Q255" s="44">
        <f t="shared" si="117"/>
        <v>120</v>
      </c>
      <c r="R255" s="44">
        <f t="shared" si="117"/>
        <v>120</v>
      </c>
      <c r="S255" s="44">
        <f t="shared" si="117"/>
        <v>120</v>
      </c>
      <c r="T255" s="44">
        <f t="shared" si="117"/>
        <v>120</v>
      </c>
      <c r="U255" s="44">
        <f t="shared" si="117"/>
        <v>120</v>
      </c>
      <c r="V255" s="44">
        <f t="shared" si="117"/>
        <v>120</v>
      </c>
      <c r="W255" s="580"/>
      <c r="X255" s="580"/>
      <c r="Y255" s="580"/>
      <c r="Z255" s="580"/>
      <c r="AA255" s="580"/>
      <c r="AB255" s="580"/>
      <c r="AC255" s="580"/>
      <c r="AD255" s="580"/>
      <c r="AE255" s="580"/>
    </row>
    <row r="256" spans="2:31" x14ac:dyDescent="0.2">
      <c r="C256" s="5"/>
      <c r="D256" s="11"/>
      <c r="E256" s="2"/>
    </row>
    <row r="257" spans="2:31" x14ac:dyDescent="0.2">
      <c r="C257" s="23"/>
      <c r="D257" s="23"/>
      <c r="E257" s="23"/>
      <c r="F257" s="23"/>
      <c r="G257" s="23"/>
      <c r="H257" s="23"/>
      <c r="I257" s="23"/>
      <c r="J257" s="23"/>
      <c r="K257" s="23"/>
      <c r="L257" s="23"/>
      <c r="M257" s="23"/>
      <c r="N257" s="23"/>
      <c r="O257" s="23"/>
      <c r="P257" s="23"/>
      <c r="Q257" s="23"/>
      <c r="R257" s="23"/>
      <c r="S257" s="23"/>
      <c r="T257" s="23"/>
      <c r="U257" s="23"/>
      <c r="V257" s="23"/>
    </row>
    <row r="258" spans="2:31" x14ac:dyDescent="0.2">
      <c r="C258" s="5"/>
      <c r="D258" s="5"/>
    </row>
    <row r="259" spans="2:31" x14ac:dyDescent="0.2">
      <c r="B259" s="10">
        <f>B249+0.1</f>
        <v>3.3000000000000003</v>
      </c>
      <c r="C259" s="20" t="s">
        <v>575</v>
      </c>
      <c r="D259" s="5"/>
    </row>
    <row r="260" spans="2:31" x14ac:dyDescent="0.2">
      <c r="C260" s="5"/>
      <c r="D260" s="5"/>
    </row>
    <row r="261" spans="2:31" x14ac:dyDescent="0.2">
      <c r="C261" s="5" t="s">
        <v>575</v>
      </c>
      <c r="D261" s="5"/>
      <c r="F261" s="1" t="s">
        <v>914</v>
      </c>
      <c r="I261" s="21">
        <f t="shared" ref="I261" si="118">I147</f>
        <v>0</v>
      </c>
      <c r="J261" s="21">
        <f t="shared" ref="J261" si="119">J147</f>
        <v>0</v>
      </c>
      <c r="K261" s="21">
        <f t="shared" ref="K261:V261" si="120">K147</f>
        <v>0</v>
      </c>
      <c r="L261" s="21">
        <f t="shared" si="120"/>
        <v>0</v>
      </c>
      <c r="M261" s="21">
        <f t="shared" si="120"/>
        <v>0</v>
      </c>
      <c r="N261" s="21">
        <f t="shared" si="120"/>
        <v>0</v>
      </c>
      <c r="O261" s="21">
        <f t="shared" si="120"/>
        <v>0</v>
      </c>
      <c r="P261" s="21">
        <f t="shared" si="120"/>
        <v>0</v>
      </c>
      <c r="Q261" s="21">
        <f t="shared" si="120"/>
        <v>0</v>
      </c>
      <c r="R261" s="21">
        <f t="shared" si="120"/>
        <v>0</v>
      </c>
      <c r="S261" s="21">
        <f t="shared" si="120"/>
        <v>3.1865800497116632E-3</v>
      </c>
      <c r="T261" s="21">
        <f t="shared" si="120"/>
        <v>4.7798700745674948E-3</v>
      </c>
      <c r="U261" s="21">
        <f t="shared" si="120"/>
        <v>6.3731600994233265E-3</v>
      </c>
      <c r="V261" s="21">
        <f t="shared" si="120"/>
        <v>6.3731600994233265E-3</v>
      </c>
      <c r="W261" s="563"/>
      <c r="X261" s="563"/>
      <c r="Y261" s="563"/>
      <c r="Z261" s="563"/>
      <c r="AA261" s="563"/>
      <c r="AB261" s="563"/>
      <c r="AC261" s="563"/>
      <c r="AD261" s="563"/>
      <c r="AE261" s="563"/>
    </row>
    <row r="262" spans="2:31" x14ac:dyDescent="0.2">
      <c r="C262" s="5" t="s">
        <v>576</v>
      </c>
      <c r="D262" s="5"/>
      <c r="E262" s="269">
        <f>'Plant model'!E262</f>
        <v>5.0995109950149775</v>
      </c>
      <c r="F262" s="1" t="s">
        <v>3</v>
      </c>
      <c r="I262" s="21">
        <f>$E$262</f>
        <v>5.0995109950149775</v>
      </c>
      <c r="J262" s="21">
        <f>$E$262</f>
        <v>5.0995109950149775</v>
      </c>
      <c r="K262" s="21">
        <f>$E$262</f>
        <v>5.0995109950149775</v>
      </c>
      <c r="L262" s="21">
        <f t="shared" ref="L262:V262" si="121">$E$262</f>
        <v>5.0995109950149775</v>
      </c>
      <c r="M262" s="21">
        <f t="shared" si="121"/>
        <v>5.0995109950149775</v>
      </c>
      <c r="N262" s="21">
        <f t="shared" si="121"/>
        <v>5.0995109950149775</v>
      </c>
      <c r="O262" s="21">
        <f t="shared" si="121"/>
        <v>5.0995109950149775</v>
      </c>
      <c r="P262" s="21">
        <f t="shared" si="121"/>
        <v>5.0995109950149775</v>
      </c>
      <c r="Q262" s="21">
        <f t="shared" si="121"/>
        <v>5.0995109950149775</v>
      </c>
      <c r="R262" s="21">
        <f t="shared" si="121"/>
        <v>5.0995109950149775</v>
      </c>
      <c r="S262" s="21">
        <f t="shared" si="121"/>
        <v>5.0995109950149775</v>
      </c>
      <c r="T262" s="21">
        <f t="shared" si="121"/>
        <v>5.0995109950149775</v>
      </c>
      <c r="U262" s="21">
        <f t="shared" si="121"/>
        <v>5.0995109950149775</v>
      </c>
      <c r="V262" s="21">
        <f t="shared" si="121"/>
        <v>5.0995109950149775</v>
      </c>
      <c r="W262" s="563"/>
      <c r="X262" s="563"/>
      <c r="Y262" s="563"/>
      <c r="Z262" s="563"/>
      <c r="AA262" s="563"/>
      <c r="AB262" s="563"/>
      <c r="AC262" s="563"/>
      <c r="AD262" s="563"/>
      <c r="AE262" s="563"/>
    </row>
    <row r="263" spans="2:31" x14ac:dyDescent="0.2">
      <c r="C263" s="5"/>
      <c r="D263" s="5"/>
    </row>
    <row r="264" spans="2:31" x14ac:dyDescent="0.2">
      <c r="C264" s="5"/>
      <c r="D264" s="5"/>
    </row>
    <row r="265" spans="2:31" x14ac:dyDescent="0.2">
      <c r="C265" s="23"/>
      <c r="D265" s="23"/>
      <c r="E265" s="23"/>
      <c r="F265" s="23"/>
      <c r="G265" s="23"/>
      <c r="H265" s="23"/>
      <c r="I265" s="23"/>
      <c r="J265" s="23"/>
      <c r="K265" s="23"/>
      <c r="L265" s="23"/>
      <c r="M265" s="23"/>
      <c r="N265" s="23"/>
      <c r="O265" s="23"/>
      <c r="P265" s="23"/>
      <c r="Q265" s="23"/>
      <c r="R265" s="23"/>
      <c r="S265" s="23"/>
      <c r="T265" s="23"/>
      <c r="U265" s="23"/>
      <c r="V265" s="23"/>
    </row>
    <row r="266" spans="2:31" x14ac:dyDescent="0.2">
      <c r="C266" s="5"/>
      <c r="D266" s="5"/>
    </row>
    <row r="267" spans="2:31" x14ac:dyDescent="0.2">
      <c r="B267" s="10">
        <f>B259+0.1</f>
        <v>3.4000000000000004</v>
      </c>
      <c r="C267" s="20" t="s">
        <v>47</v>
      </c>
      <c r="D267" s="20"/>
    </row>
    <row r="268" spans="2:31" x14ac:dyDescent="0.2">
      <c r="C268" s="5"/>
      <c r="D268" s="5"/>
    </row>
    <row r="269" spans="2:31" x14ac:dyDescent="0.2">
      <c r="B269" s="24">
        <f>B267+0.01</f>
        <v>3.41</v>
      </c>
      <c r="C269" s="20" t="s">
        <v>48</v>
      </c>
      <c r="D269" s="20"/>
    </row>
    <row r="270" spans="2:31" x14ac:dyDescent="0.2">
      <c r="B270" s="24"/>
      <c r="C270" s="20"/>
      <c r="D270" s="20"/>
    </row>
    <row r="271" spans="2:31" x14ac:dyDescent="0.2">
      <c r="C271" s="47" t="s">
        <v>406</v>
      </c>
      <c r="D271" s="302"/>
      <c r="E271" s="304"/>
    </row>
    <row r="272" spans="2:31" x14ac:dyDescent="0.2">
      <c r="C272" s="5" t="s">
        <v>413</v>
      </c>
      <c r="D272" s="120"/>
      <c r="E272" s="269">
        <f>'Plant model'!E272</f>
        <v>1</v>
      </c>
      <c r="F272" s="1" t="s">
        <v>37</v>
      </c>
      <c r="H272" s="21"/>
      <c r="I272" s="21">
        <f>$E272*(I$97&gt;0)</f>
        <v>0</v>
      </c>
      <c r="J272" s="21">
        <f t="shared" ref="J272:V279" si="122">$E272*(J$97&gt;0)</f>
        <v>0</v>
      </c>
      <c r="K272" s="21">
        <f t="shared" si="122"/>
        <v>0</v>
      </c>
      <c r="L272" s="21">
        <f t="shared" si="122"/>
        <v>0</v>
      </c>
      <c r="M272" s="21">
        <f t="shared" si="122"/>
        <v>0</v>
      </c>
      <c r="N272" s="21">
        <f t="shared" si="122"/>
        <v>0</v>
      </c>
      <c r="O272" s="21">
        <f t="shared" si="122"/>
        <v>0</v>
      </c>
      <c r="P272" s="21">
        <f t="shared" si="122"/>
        <v>0</v>
      </c>
      <c r="Q272" s="21">
        <f t="shared" si="122"/>
        <v>0</v>
      </c>
      <c r="R272" s="21">
        <f t="shared" si="122"/>
        <v>0</v>
      </c>
      <c r="S272" s="21">
        <f t="shared" si="122"/>
        <v>1</v>
      </c>
      <c r="T272" s="21">
        <f t="shared" si="122"/>
        <v>1</v>
      </c>
      <c r="U272" s="21">
        <f t="shared" si="122"/>
        <v>1</v>
      </c>
      <c r="V272" s="21">
        <f t="shared" si="122"/>
        <v>1</v>
      </c>
      <c r="W272" s="568"/>
      <c r="X272" s="568"/>
      <c r="Y272" s="568"/>
      <c r="Z272" s="568"/>
      <c r="AA272" s="568"/>
      <c r="AB272" s="568"/>
      <c r="AC272" s="568"/>
      <c r="AD272" s="568"/>
      <c r="AE272" s="568"/>
    </row>
    <row r="273" spans="3:31" x14ac:dyDescent="0.2">
      <c r="C273" s="5" t="s">
        <v>407</v>
      </c>
      <c r="D273" s="120"/>
      <c r="E273" s="269">
        <f>'Plant model'!E273</f>
        <v>4</v>
      </c>
      <c r="F273" s="1" t="s">
        <v>37</v>
      </c>
      <c r="I273" s="21">
        <f t="shared" ref="I273:I279" si="123">$E273*(I$97&gt;0)</f>
        <v>0</v>
      </c>
      <c r="J273" s="21">
        <f t="shared" si="122"/>
        <v>0</v>
      </c>
      <c r="K273" s="21">
        <f t="shared" si="122"/>
        <v>0</v>
      </c>
      <c r="L273" s="21">
        <f t="shared" si="122"/>
        <v>0</v>
      </c>
      <c r="M273" s="21">
        <f t="shared" si="122"/>
        <v>0</v>
      </c>
      <c r="N273" s="21">
        <f t="shared" si="122"/>
        <v>0</v>
      </c>
      <c r="O273" s="21">
        <f t="shared" si="122"/>
        <v>0</v>
      </c>
      <c r="P273" s="21">
        <f t="shared" si="122"/>
        <v>0</v>
      </c>
      <c r="Q273" s="21">
        <f t="shared" si="122"/>
        <v>0</v>
      </c>
      <c r="R273" s="21">
        <f t="shared" si="122"/>
        <v>0</v>
      </c>
      <c r="S273" s="21">
        <f t="shared" si="122"/>
        <v>4</v>
      </c>
      <c r="T273" s="21">
        <f t="shared" si="122"/>
        <v>4</v>
      </c>
      <c r="U273" s="21">
        <f t="shared" si="122"/>
        <v>4</v>
      </c>
      <c r="V273" s="21">
        <f t="shared" si="122"/>
        <v>4</v>
      </c>
      <c r="W273" s="568"/>
      <c r="X273" s="568"/>
      <c r="Y273" s="568"/>
      <c r="Z273" s="568"/>
      <c r="AA273" s="568"/>
      <c r="AB273" s="568"/>
      <c r="AC273" s="568"/>
      <c r="AD273" s="568"/>
      <c r="AE273" s="568"/>
    </row>
    <row r="274" spans="3:31" x14ac:dyDescent="0.2">
      <c r="C274" s="5" t="s">
        <v>696</v>
      </c>
      <c r="D274" s="120"/>
      <c r="E274" s="269">
        <f>'Plant model'!E274</f>
        <v>4</v>
      </c>
      <c r="F274" s="1" t="s">
        <v>37</v>
      </c>
      <c r="I274" s="21">
        <f t="shared" si="123"/>
        <v>0</v>
      </c>
      <c r="J274" s="21">
        <f t="shared" si="122"/>
        <v>0</v>
      </c>
      <c r="K274" s="21">
        <f t="shared" si="122"/>
        <v>0</v>
      </c>
      <c r="L274" s="21">
        <f t="shared" si="122"/>
        <v>0</v>
      </c>
      <c r="M274" s="21">
        <f t="shared" si="122"/>
        <v>0</v>
      </c>
      <c r="N274" s="21">
        <f t="shared" si="122"/>
        <v>0</v>
      </c>
      <c r="O274" s="21">
        <f t="shared" si="122"/>
        <v>0</v>
      </c>
      <c r="P274" s="21">
        <f t="shared" si="122"/>
        <v>0</v>
      </c>
      <c r="Q274" s="21">
        <f t="shared" si="122"/>
        <v>0</v>
      </c>
      <c r="R274" s="21">
        <f t="shared" si="122"/>
        <v>0</v>
      </c>
      <c r="S274" s="21">
        <f t="shared" si="122"/>
        <v>4</v>
      </c>
      <c r="T274" s="21">
        <f t="shared" si="122"/>
        <v>4</v>
      </c>
      <c r="U274" s="21">
        <f t="shared" si="122"/>
        <v>4</v>
      </c>
      <c r="V274" s="21">
        <f t="shared" si="122"/>
        <v>4</v>
      </c>
      <c r="W274" s="568"/>
      <c r="X274" s="568"/>
      <c r="Y274" s="568"/>
      <c r="Z274" s="568"/>
      <c r="AA274" s="568"/>
      <c r="AB274" s="568"/>
      <c r="AC274" s="568"/>
      <c r="AD274" s="568"/>
      <c r="AE274" s="568"/>
    </row>
    <row r="275" spans="3:31" x14ac:dyDescent="0.2">
      <c r="C275" s="5" t="s">
        <v>408</v>
      </c>
      <c r="D275" s="120"/>
      <c r="E275" s="269">
        <f>'Plant model'!E275</f>
        <v>0</v>
      </c>
      <c r="F275" s="1" t="s">
        <v>37</v>
      </c>
      <c r="I275" s="21">
        <f t="shared" si="123"/>
        <v>0</v>
      </c>
      <c r="J275" s="21">
        <f t="shared" si="122"/>
        <v>0</v>
      </c>
      <c r="K275" s="21">
        <f t="shared" si="122"/>
        <v>0</v>
      </c>
      <c r="L275" s="21">
        <f t="shared" si="122"/>
        <v>0</v>
      </c>
      <c r="M275" s="21">
        <f t="shared" si="122"/>
        <v>0</v>
      </c>
      <c r="N275" s="21">
        <f t="shared" si="122"/>
        <v>0</v>
      </c>
      <c r="O275" s="21">
        <f t="shared" si="122"/>
        <v>0</v>
      </c>
      <c r="P275" s="21">
        <f t="shared" si="122"/>
        <v>0</v>
      </c>
      <c r="Q275" s="21">
        <f t="shared" si="122"/>
        <v>0</v>
      </c>
      <c r="R275" s="21">
        <f t="shared" si="122"/>
        <v>0</v>
      </c>
      <c r="S275" s="21">
        <f t="shared" si="122"/>
        <v>0</v>
      </c>
      <c r="T275" s="21">
        <f t="shared" si="122"/>
        <v>0</v>
      </c>
      <c r="U275" s="21">
        <f t="shared" si="122"/>
        <v>0</v>
      </c>
      <c r="V275" s="21">
        <f t="shared" si="122"/>
        <v>0</v>
      </c>
      <c r="W275" s="568"/>
      <c r="X275" s="568"/>
      <c r="Y275" s="568"/>
      <c r="Z275" s="568"/>
      <c r="AA275" s="568"/>
      <c r="AB275" s="568"/>
      <c r="AC275" s="568"/>
      <c r="AD275" s="568"/>
      <c r="AE275" s="568"/>
    </row>
    <row r="276" spans="3:31" x14ac:dyDescent="0.2">
      <c r="C276" s="5" t="s">
        <v>409</v>
      </c>
      <c r="D276" s="120"/>
      <c r="E276" s="269">
        <f>'Plant model'!E276</f>
        <v>4</v>
      </c>
      <c r="F276" s="1" t="s">
        <v>37</v>
      </c>
      <c r="I276" s="21">
        <f t="shared" si="123"/>
        <v>0</v>
      </c>
      <c r="J276" s="21">
        <f t="shared" si="122"/>
        <v>0</v>
      </c>
      <c r="K276" s="21">
        <f t="shared" si="122"/>
        <v>0</v>
      </c>
      <c r="L276" s="21">
        <f t="shared" si="122"/>
        <v>0</v>
      </c>
      <c r="M276" s="21">
        <f t="shared" si="122"/>
        <v>0</v>
      </c>
      <c r="N276" s="21">
        <f t="shared" si="122"/>
        <v>0</v>
      </c>
      <c r="O276" s="21">
        <f t="shared" si="122"/>
        <v>0</v>
      </c>
      <c r="P276" s="21">
        <f t="shared" si="122"/>
        <v>0</v>
      </c>
      <c r="Q276" s="21">
        <f t="shared" si="122"/>
        <v>0</v>
      </c>
      <c r="R276" s="21">
        <f t="shared" si="122"/>
        <v>0</v>
      </c>
      <c r="S276" s="21">
        <f t="shared" si="122"/>
        <v>4</v>
      </c>
      <c r="T276" s="21">
        <f t="shared" si="122"/>
        <v>4</v>
      </c>
      <c r="U276" s="21">
        <f t="shared" si="122"/>
        <v>4</v>
      </c>
      <c r="V276" s="21">
        <f t="shared" si="122"/>
        <v>4</v>
      </c>
      <c r="W276" s="568"/>
      <c r="X276" s="568"/>
      <c r="Y276" s="568"/>
      <c r="Z276" s="568"/>
      <c r="AA276" s="568"/>
      <c r="AB276" s="568"/>
      <c r="AC276" s="568"/>
      <c r="AD276" s="568"/>
      <c r="AE276" s="568"/>
    </row>
    <row r="277" spans="3:31" x14ac:dyDescent="0.2">
      <c r="C277" s="5" t="s">
        <v>410</v>
      </c>
      <c r="D277" s="120"/>
      <c r="E277" s="269">
        <f>'Plant model'!E277</f>
        <v>8</v>
      </c>
      <c r="F277" s="1" t="s">
        <v>37</v>
      </c>
      <c r="I277" s="21">
        <f t="shared" si="123"/>
        <v>0</v>
      </c>
      <c r="J277" s="21">
        <f t="shared" si="122"/>
        <v>0</v>
      </c>
      <c r="K277" s="21">
        <f t="shared" si="122"/>
        <v>0</v>
      </c>
      <c r="L277" s="21">
        <f t="shared" si="122"/>
        <v>0</v>
      </c>
      <c r="M277" s="21">
        <f t="shared" si="122"/>
        <v>0</v>
      </c>
      <c r="N277" s="21">
        <f t="shared" si="122"/>
        <v>0</v>
      </c>
      <c r="O277" s="21">
        <f t="shared" si="122"/>
        <v>0</v>
      </c>
      <c r="P277" s="21">
        <f t="shared" si="122"/>
        <v>0</v>
      </c>
      <c r="Q277" s="21">
        <f t="shared" si="122"/>
        <v>0</v>
      </c>
      <c r="R277" s="21">
        <f t="shared" si="122"/>
        <v>0</v>
      </c>
      <c r="S277" s="21">
        <f t="shared" si="122"/>
        <v>8</v>
      </c>
      <c r="T277" s="21">
        <f t="shared" si="122"/>
        <v>8</v>
      </c>
      <c r="U277" s="21">
        <f t="shared" si="122"/>
        <v>8</v>
      </c>
      <c r="V277" s="21">
        <f t="shared" si="122"/>
        <v>8</v>
      </c>
      <c r="W277" s="568"/>
      <c r="X277" s="568"/>
      <c r="Y277" s="568"/>
      <c r="Z277" s="568"/>
      <c r="AA277" s="568"/>
      <c r="AB277" s="568"/>
      <c r="AC277" s="568"/>
      <c r="AD277" s="568"/>
      <c r="AE277" s="568"/>
    </row>
    <row r="278" spans="3:31" x14ac:dyDescent="0.2">
      <c r="C278" s="5" t="s">
        <v>411</v>
      </c>
      <c r="D278" s="120"/>
      <c r="E278" s="269">
        <f>'Plant model'!E278</f>
        <v>1</v>
      </c>
      <c r="F278" s="1" t="s">
        <v>37</v>
      </c>
      <c r="H278" s="21"/>
      <c r="I278" s="21">
        <f t="shared" si="123"/>
        <v>0</v>
      </c>
      <c r="J278" s="21">
        <f t="shared" si="122"/>
        <v>0</v>
      </c>
      <c r="K278" s="21">
        <f t="shared" si="122"/>
        <v>0</v>
      </c>
      <c r="L278" s="21">
        <f t="shared" si="122"/>
        <v>0</v>
      </c>
      <c r="M278" s="21">
        <f t="shared" si="122"/>
        <v>0</v>
      </c>
      <c r="N278" s="21">
        <f t="shared" si="122"/>
        <v>0</v>
      </c>
      <c r="O278" s="21">
        <f t="shared" si="122"/>
        <v>0</v>
      </c>
      <c r="P278" s="21">
        <f t="shared" si="122"/>
        <v>0</v>
      </c>
      <c r="Q278" s="21">
        <f t="shared" si="122"/>
        <v>0</v>
      </c>
      <c r="R278" s="21">
        <f t="shared" si="122"/>
        <v>0</v>
      </c>
      <c r="S278" s="21">
        <f t="shared" si="122"/>
        <v>1</v>
      </c>
      <c r="T278" s="21">
        <f t="shared" si="122"/>
        <v>1</v>
      </c>
      <c r="U278" s="21">
        <f t="shared" si="122"/>
        <v>1</v>
      </c>
      <c r="V278" s="21">
        <f t="shared" si="122"/>
        <v>1</v>
      </c>
      <c r="W278" s="568"/>
      <c r="X278" s="568"/>
      <c r="Y278" s="568"/>
      <c r="Z278" s="568"/>
      <c r="AA278" s="568"/>
      <c r="AB278" s="568"/>
      <c r="AC278" s="568"/>
      <c r="AD278" s="568"/>
      <c r="AE278" s="568"/>
    </row>
    <row r="279" spans="3:31" x14ac:dyDescent="0.2">
      <c r="C279" s="5" t="s">
        <v>412</v>
      </c>
      <c r="D279" s="120"/>
      <c r="E279" s="269">
        <f>'Plant model'!E279</f>
        <v>8</v>
      </c>
      <c r="F279" s="1" t="s">
        <v>37</v>
      </c>
      <c r="I279" s="21">
        <f t="shared" si="123"/>
        <v>0</v>
      </c>
      <c r="J279" s="21">
        <f t="shared" si="122"/>
        <v>0</v>
      </c>
      <c r="K279" s="21">
        <f t="shared" si="122"/>
        <v>0</v>
      </c>
      <c r="L279" s="21">
        <f t="shared" si="122"/>
        <v>0</v>
      </c>
      <c r="M279" s="21">
        <f t="shared" si="122"/>
        <v>0</v>
      </c>
      <c r="N279" s="21">
        <f t="shared" si="122"/>
        <v>0</v>
      </c>
      <c r="O279" s="21">
        <f t="shared" si="122"/>
        <v>0</v>
      </c>
      <c r="P279" s="21">
        <f t="shared" si="122"/>
        <v>0</v>
      </c>
      <c r="Q279" s="21">
        <f t="shared" si="122"/>
        <v>0</v>
      </c>
      <c r="R279" s="21">
        <f t="shared" si="122"/>
        <v>0</v>
      </c>
      <c r="S279" s="21">
        <f t="shared" si="122"/>
        <v>8</v>
      </c>
      <c r="T279" s="21">
        <f t="shared" si="122"/>
        <v>8</v>
      </c>
      <c r="U279" s="21">
        <f t="shared" si="122"/>
        <v>8</v>
      </c>
      <c r="V279" s="21">
        <f t="shared" si="122"/>
        <v>8</v>
      </c>
      <c r="W279" s="568"/>
      <c r="X279" s="568"/>
      <c r="Y279" s="568"/>
      <c r="Z279" s="568"/>
      <c r="AA279" s="568"/>
      <c r="AB279" s="568"/>
      <c r="AC279" s="568"/>
      <c r="AD279" s="568"/>
      <c r="AE279" s="568"/>
    </row>
    <row r="280" spans="3:31" x14ac:dyDescent="0.2">
      <c r="C280" s="20" t="s">
        <v>45</v>
      </c>
      <c r="D280" s="262"/>
      <c r="E280" s="182">
        <f>SUM(E272:E279)</f>
        <v>30</v>
      </c>
      <c r="F280" s="9" t="s">
        <v>37</v>
      </c>
      <c r="G280" s="9"/>
      <c r="H280" s="9"/>
      <c r="I280" s="48">
        <f>SUM(I272:I279)</f>
        <v>0</v>
      </c>
      <c r="J280" s="48">
        <f>SUM(J272:J279)</f>
        <v>0</v>
      </c>
      <c r="K280" s="48">
        <f>SUM(K272:K279)</f>
        <v>0</v>
      </c>
      <c r="L280" s="48">
        <f t="shared" ref="L280:V280" si="124">SUM(L272:L279)</f>
        <v>0</v>
      </c>
      <c r="M280" s="48">
        <f t="shared" si="124"/>
        <v>0</v>
      </c>
      <c r="N280" s="48">
        <f t="shared" si="124"/>
        <v>0</v>
      </c>
      <c r="O280" s="48">
        <f t="shared" si="124"/>
        <v>0</v>
      </c>
      <c r="P280" s="48">
        <f t="shared" si="124"/>
        <v>0</v>
      </c>
      <c r="Q280" s="48">
        <f t="shared" si="124"/>
        <v>0</v>
      </c>
      <c r="R280" s="48">
        <f t="shared" si="124"/>
        <v>0</v>
      </c>
      <c r="S280" s="48">
        <f t="shared" si="124"/>
        <v>30</v>
      </c>
      <c r="T280" s="48">
        <f t="shared" si="124"/>
        <v>30</v>
      </c>
      <c r="U280" s="48">
        <f t="shared" si="124"/>
        <v>30</v>
      </c>
      <c r="V280" s="48">
        <f t="shared" si="124"/>
        <v>30</v>
      </c>
      <c r="W280" s="583"/>
      <c r="X280" s="583"/>
      <c r="Y280" s="583"/>
      <c r="Z280" s="583"/>
      <c r="AA280" s="583"/>
      <c r="AB280" s="583"/>
      <c r="AC280" s="583"/>
      <c r="AD280" s="583"/>
      <c r="AE280" s="583"/>
    </row>
    <row r="281" spans="3:31" x14ac:dyDescent="0.2">
      <c r="C281" s="5"/>
      <c r="D281" s="5"/>
    </row>
    <row r="282" spans="3:31" x14ac:dyDescent="0.2">
      <c r="C282" s="47" t="s">
        <v>414</v>
      </c>
      <c r="D282" s="47"/>
    </row>
    <row r="283" spans="3:31" x14ac:dyDescent="0.2">
      <c r="C283" s="5" t="s">
        <v>415</v>
      </c>
      <c r="D283" s="120"/>
      <c r="E283" s="269">
        <f>'Plant model'!E283</f>
        <v>4</v>
      </c>
      <c r="F283" s="1" t="s">
        <v>37</v>
      </c>
      <c r="H283" s="21"/>
      <c r="I283" s="21">
        <f t="shared" ref="I283:V285" si="125">$E283*(I$97&gt;0)</f>
        <v>0</v>
      </c>
      <c r="J283" s="21">
        <f t="shared" si="125"/>
        <v>0</v>
      </c>
      <c r="K283" s="21">
        <f t="shared" si="125"/>
        <v>0</v>
      </c>
      <c r="L283" s="21">
        <f t="shared" si="125"/>
        <v>0</v>
      </c>
      <c r="M283" s="21">
        <f t="shared" si="125"/>
        <v>0</v>
      </c>
      <c r="N283" s="21">
        <f t="shared" si="125"/>
        <v>0</v>
      </c>
      <c r="O283" s="21">
        <f t="shared" si="125"/>
        <v>0</v>
      </c>
      <c r="P283" s="21">
        <f t="shared" si="125"/>
        <v>0</v>
      </c>
      <c r="Q283" s="21">
        <f t="shared" si="125"/>
        <v>0</v>
      </c>
      <c r="R283" s="21">
        <f t="shared" si="125"/>
        <v>0</v>
      </c>
      <c r="S283" s="21">
        <f t="shared" si="125"/>
        <v>4</v>
      </c>
      <c r="T283" s="21">
        <f t="shared" si="125"/>
        <v>4</v>
      </c>
      <c r="U283" s="21">
        <f t="shared" si="125"/>
        <v>4</v>
      </c>
      <c r="V283" s="21">
        <f t="shared" si="125"/>
        <v>4</v>
      </c>
      <c r="W283" s="568"/>
      <c r="X283" s="568"/>
      <c r="Y283" s="568"/>
      <c r="Z283" s="568"/>
      <c r="AA283" s="568"/>
      <c r="AB283" s="568"/>
      <c r="AC283" s="568"/>
      <c r="AD283" s="568"/>
      <c r="AE283" s="568"/>
    </row>
    <row r="284" spans="3:31" x14ac:dyDescent="0.2">
      <c r="C284" s="5" t="s">
        <v>410</v>
      </c>
      <c r="D284" s="120"/>
      <c r="E284" s="269">
        <f>'Plant model'!E284</f>
        <v>8</v>
      </c>
      <c r="F284" s="1" t="s">
        <v>37</v>
      </c>
      <c r="I284" s="21">
        <f t="shared" si="125"/>
        <v>0</v>
      </c>
      <c r="J284" s="21">
        <f t="shared" si="125"/>
        <v>0</v>
      </c>
      <c r="K284" s="21">
        <f t="shared" si="125"/>
        <v>0</v>
      </c>
      <c r="L284" s="21">
        <f t="shared" si="125"/>
        <v>0</v>
      </c>
      <c r="M284" s="21">
        <f t="shared" si="125"/>
        <v>0</v>
      </c>
      <c r="N284" s="21">
        <f t="shared" si="125"/>
        <v>0</v>
      </c>
      <c r="O284" s="21">
        <f t="shared" si="125"/>
        <v>0</v>
      </c>
      <c r="P284" s="21">
        <f t="shared" si="125"/>
        <v>0</v>
      </c>
      <c r="Q284" s="21">
        <f t="shared" si="125"/>
        <v>0</v>
      </c>
      <c r="R284" s="21">
        <f t="shared" si="125"/>
        <v>0</v>
      </c>
      <c r="S284" s="21">
        <f t="shared" si="125"/>
        <v>8</v>
      </c>
      <c r="T284" s="21">
        <f t="shared" si="125"/>
        <v>8</v>
      </c>
      <c r="U284" s="21">
        <f t="shared" si="125"/>
        <v>8</v>
      </c>
      <c r="V284" s="21">
        <f t="shared" si="125"/>
        <v>8</v>
      </c>
      <c r="W284" s="568"/>
      <c r="X284" s="568"/>
      <c r="Y284" s="568"/>
      <c r="Z284" s="568"/>
      <c r="AA284" s="568"/>
      <c r="AB284" s="568"/>
      <c r="AC284" s="568"/>
      <c r="AD284" s="568"/>
      <c r="AE284" s="568"/>
    </row>
    <row r="285" spans="3:31" x14ac:dyDescent="0.2">
      <c r="C285" s="5" t="s">
        <v>416</v>
      </c>
      <c r="D285" s="120"/>
      <c r="E285" s="269">
        <f>'Plant model'!E285</f>
        <v>4</v>
      </c>
      <c r="F285" s="1" t="s">
        <v>37</v>
      </c>
      <c r="I285" s="21">
        <f t="shared" si="125"/>
        <v>0</v>
      </c>
      <c r="J285" s="21">
        <f t="shared" si="125"/>
        <v>0</v>
      </c>
      <c r="K285" s="21">
        <f t="shared" si="125"/>
        <v>0</v>
      </c>
      <c r="L285" s="21">
        <f t="shared" si="125"/>
        <v>0</v>
      </c>
      <c r="M285" s="21">
        <f t="shared" si="125"/>
        <v>0</v>
      </c>
      <c r="N285" s="21">
        <f t="shared" si="125"/>
        <v>0</v>
      </c>
      <c r="O285" s="21">
        <f t="shared" si="125"/>
        <v>0</v>
      </c>
      <c r="P285" s="21">
        <f t="shared" si="125"/>
        <v>0</v>
      </c>
      <c r="Q285" s="21">
        <f t="shared" si="125"/>
        <v>0</v>
      </c>
      <c r="R285" s="21">
        <f t="shared" si="125"/>
        <v>0</v>
      </c>
      <c r="S285" s="21">
        <f t="shared" si="125"/>
        <v>4</v>
      </c>
      <c r="T285" s="21">
        <f t="shared" si="125"/>
        <v>4</v>
      </c>
      <c r="U285" s="21">
        <f t="shared" si="125"/>
        <v>4</v>
      </c>
      <c r="V285" s="21">
        <f t="shared" si="125"/>
        <v>4</v>
      </c>
      <c r="W285" s="568"/>
      <c r="X285" s="568"/>
      <c r="Y285" s="568"/>
      <c r="Z285" s="568"/>
      <c r="AA285" s="568"/>
      <c r="AB285" s="568"/>
      <c r="AC285" s="568"/>
      <c r="AD285" s="568"/>
      <c r="AE285" s="568"/>
    </row>
    <row r="286" spans="3:31" x14ac:dyDescent="0.2">
      <c r="C286" s="20" t="s">
        <v>45</v>
      </c>
      <c r="D286" s="262"/>
      <c r="E286" s="182">
        <f>SUM(E283:E285)</f>
        <v>16</v>
      </c>
      <c r="F286" s="1" t="s">
        <v>37</v>
      </c>
      <c r="G286" s="9"/>
      <c r="H286" s="9"/>
      <c r="I286" s="44">
        <f>SUM(I283:I285)</f>
        <v>0</v>
      </c>
      <c r="J286" s="44">
        <f>SUM(J283:J285)</f>
        <v>0</v>
      </c>
      <c r="K286" s="44">
        <f>SUM(K283:K285)</f>
        <v>0</v>
      </c>
      <c r="L286" s="44">
        <f t="shared" ref="L286:V286" si="126">SUM(L283:L285)</f>
        <v>0</v>
      </c>
      <c r="M286" s="44">
        <f t="shared" si="126"/>
        <v>0</v>
      </c>
      <c r="N286" s="44">
        <f t="shared" si="126"/>
        <v>0</v>
      </c>
      <c r="O286" s="44">
        <f t="shared" si="126"/>
        <v>0</v>
      </c>
      <c r="P286" s="44">
        <f t="shared" si="126"/>
        <v>0</v>
      </c>
      <c r="Q286" s="44">
        <f t="shared" si="126"/>
        <v>0</v>
      </c>
      <c r="R286" s="44">
        <f t="shared" si="126"/>
        <v>0</v>
      </c>
      <c r="S286" s="44">
        <f t="shared" si="126"/>
        <v>16</v>
      </c>
      <c r="T286" s="44">
        <f t="shared" si="126"/>
        <v>16</v>
      </c>
      <c r="U286" s="44">
        <f t="shared" si="126"/>
        <v>16</v>
      </c>
      <c r="V286" s="44">
        <f t="shared" si="126"/>
        <v>16</v>
      </c>
      <c r="W286" s="580"/>
      <c r="X286" s="580"/>
      <c r="Y286" s="580"/>
      <c r="Z286" s="580"/>
      <c r="AA286" s="580"/>
      <c r="AB286" s="580"/>
      <c r="AC286" s="580"/>
      <c r="AD286" s="580"/>
      <c r="AE286" s="580"/>
    </row>
    <row r="287" spans="3:31" x14ac:dyDescent="0.2">
      <c r="C287" s="5"/>
      <c r="D287" s="5"/>
    </row>
    <row r="288" spans="3:31" x14ac:dyDescent="0.2">
      <c r="C288" s="47" t="s">
        <v>515</v>
      </c>
      <c r="D288" s="47"/>
    </row>
    <row r="289" spans="3:31" x14ac:dyDescent="0.2">
      <c r="C289" s="5" t="s">
        <v>572</v>
      </c>
      <c r="D289" s="120"/>
      <c r="E289" s="269">
        <f>'Plant model'!E289</f>
        <v>1</v>
      </c>
      <c r="F289" s="1" t="s">
        <v>37</v>
      </c>
      <c r="I289" s="21">
        <f t="shared" ref="I289:V292" si="127">$E289*(I$97&gt;0)</f>
        <v>0</v>
      </c>
      <c r="J289" s="21">
        <f t="shared" si="127"/>
        <v>0</v>
      </c>
      <c r="K289" s="21">
        <f t="shared" si="127"/>
        <v>0</v>
      </c>
      <c r="L289" s="21">
        <f t="shared" si="127"/>
        <v>0</v>
      </c>
      <c r="M289" s="21">
        <f t="shared" si="127"/>
        <v>0</v>
      </c>
      <c r="N289" s="21">
        <f t="shared" si="127"/>
        <v>0</v>
      </c>
      <c r="O289" s="21">
        <f t="shared" si="127"/>
        <v>0</v>
      </c>
      <c r="P289" s="21">
        <f t="shared" si="127"/>
        <v>0</v>
      </c>
      <c r="Q289" s="21">
        <f t="shared" si="127"/>
        <v>0</v>
      </c>
      <c r="R289" s="21">
        <f t="shared" si="127"/>
        <v>0</v>
      </c>
      <c r="S289" s="21">
        <f t="shared" si="127"/>
        <v>1</v>
      </c>
      <c r="T289" s="21">
        <f t="shared" si="127"/>
        <v>1</v>
      </c>
      <c r="U289" s="21">
        <f t="shared" si="127"/>
        <v>1</v>
      </c>
      <c r="V289" s="21">
        <f t="shared" si="127"/>
        <v>1</v>
      </c>
      <c r="W289" s="568"/>
      <c r="X289" s="568"/>
      <c r="Y289" s="568"/>
      <c r="Z289" s="568"/>
      <c r="AA289" s="568"/>
      <c r="AB289" s="568"/>
      <c r="AC289" s="568"/>
      <c r="AD289" s="568"/>
      <c r="AE289" s="568"/>
    </row>
    <row r="290" spans="3:31" x14ac:dyDescent="0.2">
      <c r="C290" s="5" t="s">
        <v>573</v>
      </c>
      <c r="D290" s="120"/>
      <c r="E290" s="269">
        <f>'Plant model'!E290</f>
        <v>4</v>
      </c>
      <c r="F290" s="1" t="s">
        <v>37</v>
      </c>
      <c r="H290" s="21"/>
      <c r="I290" s="21">
        <f t="shared" si="127"/>
        <v>0</v>
      </c>
      <c r="J290" s="21">
        <f t="shared" si="127"/>
        <v>0</v>
      </c>
      <c r="K290" s="21">
        <f t="shared" si="127"/>
        <v>0</v>
      </c>
      <c r="L290" s="21">
        <f t="shared" si="127"/>
        <v>0</v>
      </c>
      <c r="M290" s="21">
        <f t="shared" si="127"/>
        <v>0</v>
      </c>
      <c r="N290" s="21">
        <f t="shared" si="127"/>
        <v>0</v>
      </c>
      <c r="O290" s="21">
        <f t="shared" si="127"/>
        <v>0</v>
      </c>
      <c r="P290" s="21">
        <f t="shared" si="127"/>
        <v>0</v>
      </c>
      <c r="Q290" s="21">
        <f t="shared" si="127"/>
        <v>0</v>
      </c>
      <c r="R290" s="21">
        <f t="shared" si="127"/>
        <v>0</v>
      </c>
      <c r="S290" s="21">
        <f t="shared" si="127"/>
        <v>4</v>
      </c>
      <c r="T290" s="21">
        <f t="shared" si="127"/>
        <v>4</v>
      </c>
      <c r="U290" s="21">
        <f t="shared" si="127"/>
        <v>4</v>
      </c>
      <c r="V290" s="21">
        <f t="shared" si="127"/>
        <v>4</v>
      </c>
      <c r="W290" s="568"/>
      <c r="X290" s="568"/>
      <c r="Y290" s="568"/>
      <c r="Z290" s="568"/>
      <c r="AA290" s="568"/>
      <c r="AB290" s="568"/>
      <c r="AC290" s="568"/>
      <c r="AD290" s="568"/>
      <c r="AE290" s="568"/>
    </row>
    <row r="291" spans="3:31" x14ac:dyDescent="0.2">
      <c r="C291" s="5" t="s">
        <v>417</v>
      </c>
      <c r="D291" s="120"/>
      <c r="E291" s="269">
        <f>'Plant model'!E291</f>
        <v>4</v>
      </c>
      <c r="F291" s="1" t="s">
        <v>37</v>
      </c>
      <c r="I291" s="21">
        <f t="shared" si="127"/>
        <v>0</v>
      </c>
      <c r="J291" s="21">
        <f t="shared" si="127"/>
        <v>0</v>
      </c>
      <c r="K291" s="21">
        <f t="shared" si="127"/>
        <v>0</v>
      </c>
      <c r="L291" s="21">
        <f t="shared" si="127"/>
        <v>0</v>
      </c>
      <c r="M291" s="21">
        <f t="shared" si="127"/>
        <v>0</v>
      </c>
      <c r="N291" s="21">
        <f t="shared" si="127"/>
        <v>0</v>
      </c>
      <c r="O291" s="21">
        <f t="shared" si="127"/>
        <v>0</v>
      </c>
      <c r="P291" s="21">
        <f t="shared" si="127"/>
        <v>0</v>
      </c>
      <c r="Q291" s="21">
        <f t="shared" si="127"/>
        <v>0</v>
      </c>
      <c r="R291" s="21">
        <f t="shared" si="127"/>
        <v>0</v>
      </c>
      <c r="S291" s="21">
        <f t="shared" si="127"/>
        <v>4</v>
      </c>
      <c r="T291" s="21">
        <f t="shared" si="127"/>
        <v>4</v>
      </c>
      <c r="U291" s="21">
        <f t="shared" si="127"/>
        <v>4</v>
      </c>
      <c r="V291" s="21">
        <f t="shared" si="127"/>
        <v>4</v>
      </c>
      <c r="W291" s="568"/>
      <c r="X291" s="568"/>
      <c r="Y291" s="568"/>
      <c r="Z291" s="568"/>
      <c r="AA291" s="568"/>
      <c r="AB291" s="568"/>
      <c r="AC291" s="568"/>
      <c r="AD291" s="568"/>
      <c r="AE291" s="568"/>
    </row>
    <row r="292" spans="3:31" x14ac:dyDescent="0.2">
      <c r="C292" s="5" t="s">
        <v>410</v>
      </c>
      <c r="D292" s="120"/>
      <c r="E292" s="269">
        <f>'Plant model'!E292</f>
        <v>8</v>
      </c>
      <c r="F292" s="1" t="s">
        <v>37</v>
      </c>
      <c r="I292" s="21">
        <f t="shared" si="127"/>
        <v>0</v>
      </c>
      <c r="J292" s="21">
        <f t="shared" si="127"/>
        <v>0</v>
      </c>
      <c r="K292" s="21">
        <f t="shared" si="127"/>
        <v>0</v>
      </c>
      <c r="L292" s="21">
        <f t="shared" si="127"/>
        <v>0</v>
      </c>
      <c r="M292" s="21">
        <f t="shared" si="127"/>
        <v>0</v>
      </c>
      <c r="N292" s="21">
        <f t="shared" si="127"/>
        <v>0</v>
      </c>
      <c r="O292" s="21">
        <f t="shared" si="127"/>
        <v>0</v>
      </c>
      <c r="P292" s="21">
        <f t="shared" si="127"/>
        <v>0</v>
      </c>
      <c r="Q292" s="21">
        <f t="shared" si="127"/>
        <v>0</v>
      </c>
      <c r="R292" s="21">
        <f t="shared" si="127"/>
        <v>0</v>
      </c>
      <c r="S292" s="21">
        <f t="shared" si="127"/>
        <v>8</v>
      </c>
      <c r="T292" s="21">
        <f t="shared" si="127"/>
        <v>8</v>
      </c>
      <c r="U292" s="21">
        <f t="shared" si="127"/>
        <v>8</v>
      </c>
      <c r="V292" s="21">
        <f t="shared" si="127"/>
        <v>8</v>
      </c>
      <c r="W292" s="568"/>
      <c r="X292" s="568"/>
      <c r="Y292" s="568"/>
      <c r="Z292" s="568"/>
      <c r="AA292" s="568"/>
      <c r="AB292" s="568"/>
      <c r="AC292" s="568"/>
      <c r="AD292" s="568"/>
      <c r="AE292" s="568"/>
    </row>
    <row r="293" spans="3:31" x14ac:dyDescent="0.2">
      <c r="C293" s="20" t="s">
        <v>45</v>
      </c>
      <c r="D293" s="262"/>
      <c r="E293" s="182">
        <f>SUM(E289:E292)</f>
        <v>17</v>
      </c>
      <c r="F293" s="1" t="s">
        <v>37</v>
      </c>
      <c r="G293" s="9"/>
      <c r="H293" s="9"/>
      <c r="I293" s="44">
        <f>SUM(I289:I292)</f>
        <v>0</v>
      </c>
      <c r="J293" s="44">
        <f>SUM(J289:J292)</f>
        <v>0</v>
      </c>
      <c r="K293" s="44">
        <f>SUM(K289:K292)</f>
        <v>0</v>
      </c>
      <c r="L293" s="44">
        <f t="shared" ref="L293:V293" si="128">SUM(L289:L292)</f>
        <v>0</v>
      </c>
      <c r="M293" s="44">
        <f t="shared" si="128"/>
        <v>0</v>
      </c>
      <c r="N293" s="44">
        <f t="shared" si="128"/>
        <v>0</v>
      </c>
      <c r="O293" s="44">
        <f t="shared" si="128"/>
        <v>0</v>
      </c>
      <c r="P293" s="44">
        <f t="shared" si="128"/>
        <v>0</v>
      </c>
      <c r="Q293" s="44">
        <f t="shared" si="128"/>
        <v>0</v>
      </c>
      <c r="R293" s="44">
        <f t="shared" si="128"/>
        <v>0</v>
      </c>
      <c r="S293" s="44">
        <f t="shared" si="128"/>
        <v>17</v>
      </c>
      <c r="T293" s="44">
        <f t="shared" si="128"/>
        <v>17</v>
      </c>
      <c r="U293" s="44">
        <f t="shared" si="128"/>
        <v>17</v>
      </c>
      <c r="V293" s="44">
        <f t="shared" si="128"/>
        <v>17</v>
      </c>
      <c r="W293" s="580"/>
      <c r="X293" s="580"/>
      <c r="Y293" s="580"/>
      <c r="Z293" s="580"/>
      <c r="AA293" s="580"/>
      <c r="AB293" s="580"/>
      <c r="AC293" s="580"/>
      <c r="AD293" s="580"/>
      <c r="AE293" s="580"/>
    </row>
    <row r="294" spans="3:31" x14ac:dyDescent="0.2">
      <c r="C294" s="5"/>
      <c r="D294" s="5"/>
    </row>
    <row r="295" spans="3:31" x14ac:dyDescent="0.2">
      <c r="C295" s="47" t="s">
        <v>418</v>
      </c>
      <c r="D295" s="5"/>
    </row>
    <row r="296" spans="3:31" x14ac:dyDescent="0.2">
      <c r="C296" s="5" t="s">
        <v>419</v>
      </c>
      <c r="D296" s="120"/>
      <c r="E296" s="269">
        <f>'Plant model'!E296</f>
        <v>1</v>
      </c>
      <c r="F296" s="1" t="s">
        <v>37</v>
      </c>
      <c r="I296" s="21">
        <f t="shared" ref="I296:V298" si="129">$E296*(I$97&gt;0)</f>
        <v>0</v>
      </c>
      <c r="J296" s="21">
        <f t="shared" si="129"/>
        <v>0</v>
      </c>
      <c r="K296" s="21">
        <f t="shared" si="129"/>
        <v>0</v>
      </c>
      <c r="L296" s="21">
        <f t="shared" si="129"/>
        <v>0</v>
      </c>
      <c r="M296" s="21">
        <f t="shared" si="129"/>
        <v>0</v>
      </c>
      <c r="N296" s="21">
        <f t="shared" si="129"/>
        <v>0</v>
      </c>
      <c r="O296" s="21">
        <f t="shared" si="129"/>
        <v>0</v>
      </c>
      <c r="P296" s="21">
        <f t="shared" si="129"/>
        <v>0</v>
      </c>
      <c r="Q296" s="21">
        <f t="shared" si="129"/>
        <v>0</v>
      </c>
      <c r="R296" s="21">
        <f t="shared" si="129"/>
        <v>0</v>
      </c>
      <c r="S296" s="21">
        <f t="shared" si="129"/>
        <v>1</v>
      </c>
      <c r="T296" s="21">
        <f t="shared" si="129"/>
        <v>1</v>
      </c>
      <c r="U296" s="21">
        <f t="shared" si="129"/>
        <v>1</v>
      </c>
      <c r="V296" s="21">
        <f t="shared" si="129"/>
        <v>1</v>
      </c>
      <c r="W296" s="568"/>
      <c r="X296" s="568"/>
      <c r="Y296" s="568"/>
      <c r="Z296" s="568"/>
      <c r="AA296" s="568"/>
      <c r="AB296" s="568"/>
      <c r="AC296" s="568"/>
      <c r="AD296" s="568"/>
      <c r="AE296" s="568"/>
    </row>
    <row r="297" spans="3:31" x14ac:dyDescent="0.2">
      <c r="C297" s="5" t="s">
        <v>420</v>
      </c>
      <c r="D297" s="120"/>
      <c r="E297" s="269">
        <f>'Plant model'!E297</f>
        <v>4</v>
      </c>
      <c r="F297" s="1" t="s">
        <v>37</v>
      </c>
      <c r="H297" s="21"/>
      <c r="I297" s="21">
        <f t="shared" si="129"/>
        <v>0</v>
      </c>
      <c r="J297" s="21">
        <f t="shared" si="129"/>
        <v>0</v>
      </c>
      <c r="K297" s="21">
        <f t="shared" si="129"/>
        <v>0</v>
      </c>
      <c r="L297" s="21">
        <f t="shared" si="129"/>
        <v>0</v>
      </c>
      <c r="M297" s="21">
        <f t="shared" si="129"/>
        <v>0</v>
      </c>
      <c r="N297" s="21">
        <f t="shared" si="129"/>
        <v>0</v>
      </c>
      <c r="O297" s="21">
        <f t="shared" si="129"/>
        <v>0</v>
      </c>
      <c r="P297" s="21">
        <f t="shared" si="129"/>
        <v>0</v>
      </c>
      <c r="Q297" s="21">
        <f t="shared" si="129"/>
        <v>0</v>
      </c>
      <c r="R297" s="21">
        <f t="shared" si="129"/>
        <v>0</v>
      </c>
      <c r="S297" s="21">
        <f t="shared" si="129"/>
        <v>4</v>
      </c>
      <c r="T297" s="21">
        <f t="shared" si="129"/>
        <v>4</v>
      </c>
      <c r="U297" s="21">
        <f t="shared" si="129"/>
        <v>4</v>
      </c>
      <c r="V297" s="21">
        <f t="shared" si="129"/>
        <v>4</v>
      </c>
      <c r="W297" s="568"/>
      <c r="X297" s="568"/>
      <c r="Y297" s="568"/>
      <c r="Z297" s="568"/>
      <c r="AA297" s="568"/>
      <c r="AB297" s="568"/>
      <c r="AC297" s="568"/>
      <c r="AD297" s="568"/>
      <c r="AE297" s="568"/>
    </row>
    <row r="298" spans="3:31" x14ac:dyDescent="0.2">
      <c r="C298" s="5" t="s">
        <v>410</v>
      </c>
      <c r="D298" s="120"/>
      <c r="E298" s="269">
        <f>'Plant model'!E298</f>
        <v>0</v>
      </c>
      <c r="F298" s="1" t="s">
        <v>37</v>
      </c>
      <c r="I298" s="21">
        <f t="shared" si="129"/>
        <v>0</v>
      </c>
      <c r="J298" s="21">
        <f t="shared" si="129"/>
        <v>0</v>
      </c>
      <c r="K298" s="21">
        <f t="shared" si="129"/>
        <v>0</v>
      </c>
      <c r="L298" s="21">
        <f t="shared" si="129"/>
        <v>0</v>
      </c>
      <c r="M298" s="21">
        <f t="shared" si="129"/>
        <v>0</v>
      </c>
      <c r="N298" s="21">
        <f t="shared" si="129"/>
        <v>0</v>
      </c>
      <c r="O298" s="21">
        <f t="shared" si="129"/>
        <v>0</v>
      </c>
      <c r="P298" s="21">
        <f t="shared" si="129"/>
        <v>0</v>
      </c>
      <c r="Q298" s="21">
        <f t="shared" si="129"/>
        <v>0</v>
      </c>
      <c r="R298" s="21">
        <f t="shared" si="129"/>
        <v>0</v>
      </c>
      <c r="S298" s="21">
        <f t="shared" si="129"/>
        <v>0</v>
      </c>
      <c r="T298" s="21">
        <f t="shared" si="129"/>
        <v>0</v>
      </c>
      <c r="U298" s="21">
        <f t="shared" si="129"/>
        <v>0</v>
      </c>
      <c r="V298" s="21">
        <f t="shared" si="129"/>
        <v>0</v>
      </c>
      <c r="W298" s="568"/>
      <c r="X298" s="568"/>
      <c r="Y298" s="568"/>
      <c r="Z298" s="568"/>
      <c r="AA298" s="568"/>
      <c r="AB298" s="568"/>
      <c r="AC298" s="568"/>
      <c r="AD298" s="568"/>
      <c r="AE298" s="568"/>
    </row>
    <row r="299" spans="3:31" x14ac:dyDescent="0.2">
      <c r="C299" s="20" t="s">
        <v>45</v>
      </c>
      <c r="D299" s="262"/>
      <c r="E299" s="182">
        <f>SUM(E296:E298)</f>
        <v>5</v>
      </c>
      <c r="F299" s="1" t="s">
        <v>37</v>
      </c>
      <c r="I299" s="44">
        <f>SUM(I296:I298)</f>
        <v>0</v>
      </c>
      <c r="J299" s="44">
        <f>SUM(J296:J298)</f>
        <v>0</v>
      </c>
      <c r="K299" s="44">
        <f>SUM(K296:K298)</f>
        <v>0</v>
      </c>
      <c r="L299" s="44">
        <f>SUM(L296:L298)</f>
        <v>0</v>
      </c>
      <c r="M299" s="44">
        <f t="shared" ref="M299:V299" si="130">SUM(M296:M298)</f>
        <v>0</v>
      </c>
      <c r="N299" s="44">
        <f t="shared" si="130"/>
        <v>0</v>
      </c>
      <c r="O299" s="44">
        <f t="shared" si="130"/>
        <v>0</v>
      </c>
      <c r="P299" s="44">
        <f t="shared" si="130"/>
        <v>0</v>
      </c>
      <c r="Q299" s="44">
        <f t="shared" si="130"/>
        <v>0</v>
      </c>
      <c r="R299" s="44">
        <f t="shared" si="130"/>
        <v>0</v>
      </c>
      <c r="S299" s="44">
        <f t="shared" si="130"/>
        <v>5</v>
      </c>
      <c r="T299" s="44">
        <f t="shared" si="130"/>
        <v>5</v>
      </c>
      <c r="U299" s="44">
        <f t="shared" si="130"/>
        <v>5</v>
      </c>
      <c r="V299" s="44">
        <f t="shared" si="130"/>
        <v>5</v>
      </c>
      <c r="W299" s="580"/>
      <c r="X299" s="580"/>
      <c r="Y299" s="580"/>
      <c r="Z299" s="580"/>
      <c r="AA299" s="580"/>
      <c r="AB299" s="580"/>
      <c r="AC299" s="580"/>
      <c r="AD299" s="580"/>
      <c r="AE299" s="580"/>
    </row>
    <row r="300" spans="3:31" x14ac:dyDescent="0.2">
      <c r="C300" s="5"/>
      <c r="D300" s="5"/>
    </row>
    <row r="301" spans="3:31" x14ac:dyDescent="0.2">
      <c r="C301" s="47" t="s">
        <v>421</v>
      </c>
      <c r="D301" s="47"/>
    </row>
    <row r="302" spans="3:31" x14ac:dyDescent="0.2">
      <c r="C302" s="5" t="s">
        <v>422</v>
      </c>
      <c r="D302" s="120"/>
      <c r="E302" s="269">
        <f>'Plant model'!E302</f>
        <v>1</v>
      </c>
      <c r="F302" s="1" t="s">
        <v>37</v>
      </c>
      <c r="I302" s="21">
        <f t="shared" ref="I302:V308" si="131">$E302*(I$97&gt;0)</f>
        <v>0</v>
      </c>
      <c r="J302" s="21">
        <f t="shared" si="131"/>
        <v>0</v>
      </c>
      <c r="K302" s="21">
        <f t="shared" si="131"/>
        <v>0</v>
      </c>
      <c r="L302" s="21">
        <f t="shared" si="131"/>
        <v>0</v>
      </c>
      <c r="M302" s="21">
        <f t="shared" si="131"/>
        <v>0</v>
      </c>
      <c r="N302" s="21">
        <f t="shared" si="131"/>
        <v>0</v>
      </c>
      <c r="O302" s="21">
        <f t="shared" si="131"/>
        <v>0</v>
      </c>
      <c r="P302" s="21">
        <f t="shared" si="131"/>
        <v>0</v>
      </c>
      <c r="Q302" s="21">
        <f t="shared" si="131"/>
        <v>0</v>
      </c>
      <c r="R302" s="21">
        <f t="shared" si="131"/>
        <v>0</v>
      </c>
      <c r="S302" s="21">
        <f t="shared" si="131"/>
        <v>1</v>
      </c>
      <c r="T302" s="21">
        <f t="shared" si="131"/>
        <v>1</v>
      </c>
      <c r="U302" s="21">
        <f t="shared" si="131"/>
        <v>1</v>
      </c>
      <c r="V302" s="21">
        <f t="shared" si="131"/>
        <v>1</v>
      </c>
      <c r="W302" s="568"/>
      <c r="X302" s="568"/>
      <c r="Y302" s="568"/>
      <c r="Z302" s="568"/>
      <c r="AA302" s="568"/>
      <c r="AB302" s="568"/>
      <c r="AC302" s="568"/>
      <c r="AD302" s="568"/>
      <c r="AE302" s="568"/>
    </row>
    <row r="303" spans="3:31" x14ac:dyDescent="0.2">
      <c r="C303" s="5" t="s">
        <v>423</v>
      </c>
      <c r="D303" s="120"/>
      <c r="E303" s="269">
        <f>'Plant model'!E303</f>
        <v>1</v>
      </c>
      <c r="F303" s="1" t="s">
        <v>37</v>
      </c>
      <c r="H303" s="21"/>
      <c r="I303" s="21">
        <f t="shared" si="131"/>
        <v>0</v>
      </c>
      <c r="J303" s="21">
        <f t="shared" si="131"/>
        <v>0</v>
      </c>
      <c r="K303" s="21">
        <f t="shared" si="131"/>
        <v>0</v>
      </c>
      <c r="L303" s="21">
        <f t="shared" si="131"/>
        <v>0</v>
      </c>
      <c r="M303" s="21">
        <f t="shared" si="131"/>
        <v>0</v>
      </c>
      <c r="N303" s="21">
        <f t="shared" si="131"/>
        <v>0</v>
      </c>
      <c r="O303" s="21">
        <f t="shared" si="131"/>
        <v>0</v>
      </c>
      <c r="P303" s="21">
        <f t="shared" si="131"/>
        <v>0</v>
      </c>
      <c r="Q303" s="21">
        <f t="shared" si="131"/>
        <v>0</v>
      </c>
      <c r="R303" s="21">
        <f t="shared" si="131"/>
        <v>0</v>
      </c>
      <c r="S303" s="21">
        <f t="shared" si="131"/>
        <v>1</v>
      </c>
      <c r="T303" s="21">
        <f t="shared" si="131"/>
        <v>1</v>
      </c>
      <c r="U303" s="21">
        <f t="shared" si="131"/>
        <v>1</v>
      </c>
      <c r="V303" s="21">
        <f t="shared" si="131"/>
        <v>1</v>
      </c>
      <c r="W303" s="568"/>
      <c r="X303" s="568"/>
      <c r="Y303" s="568"/>
      <c r="Z303" s="568"/>
      <c r="AA303" s="568"/>
      <c r="AB303" s="568"/>
      <c r="AC303" s="568"/>
      <c r="AD303" s="568"/>
      <c r="AE303" s="568"/>
    </row>
    <row r="304" spans="3:31" x14ac:dyDescent="0.2">
      <c r="C304" s="5" t="s">
        <v>424</v>
      </c>
      <c r="D304" s="120"/>
      <c r="E304" s="269">
        <f>'Plant model'!E304</f>
        <v>1</v>
      </c>
      <c r="F304" s="1" t="s">
        <v>37</v>
      </c>
      <c r="I304" s="21">
        <f t="shared" si="131"/>
        <v>0</v>
      </c>
      <c r="J304" s="21">
        <f t="shared" si="131"/>
        <v>0</v>
      </c>
      <c r="K304" s="21">
        <f t="shared" si="131"/>
        <v>0</v>
      </c>
      <c r="L304" s="21">
        <f t="shared" si="131"/>
        <v>0</v>
      </c>
      <c r="M304" s="21">
        <f t="shared" si="131"/>
        <v>0</v>
      </c>
      <c r="N304" s="21">
        <f t="shared" si="131"/>
        <v>0</v>
      </c>
      <c r="O304" s="21">
        <f t="shared" si="131"/>
        <v>0</v>
      </c>
      <c r="P304" s="21">
        <f t="shared" si="131"/>
        <v>0</v>
      </c>
      <c r="Q304" s="21">
        <f t="shared" si="131"/>
        <v>0</v>
      </c>
      <c r="R304" s="21">
        <f t="shared" si="131"/>
        <v>0</v>
      </c>
      <c r="S304" s="21">
        <f t="shared" si="131"/>
        <v>1</v>
      </c>
      <c r="T304" s="21">
        <f t="shared" si="131"/>
        <v>1</v>
      </c>
      <c r="U304" s="21">
        <f t="shared" si="131"/>
        <v>1</v>
      </c>
      <c r="V304" s="21">
        <f t="shared" si="131"/>
        <v>1</v>
      </c>
      <c r="W304" s="568"/>
      <c r="X304" s="568"/>
      <c r="Y304" s="568"/>
      <c r="Z304" s="568"/>
      <c r="AA304" s="568"/>
      <c r="AB304" s="568"/>
      <c r="AC304" s="568"/>
      <c r="AD304" s="568"/>
      <c r="AE304" s="568"/>
    </row>
    <row r="305" spans="3:31" x14ac:dyDescent="0.2">
      <c r="C305" s="5" t="s">
        <v>425</v>
      </c>
      <c r="D305" s="120"/>
      <c r="E305" s="269">
        <f>'Plant model'!E305</f>
        <v>2</v>
      </c>
      <c r="F305" s="1" t="s">
        <v>37</v>
      </c>
      <c r="I305" s="21">
        <f t="shared" si="131"/>
        <v>0</v>
      </c>
      <c r="J305" s="21">
        <f t="shared" si="131"/>
        <v>0</v>
      </c>
      <c r="K305" s="21">
        <f t="shared" si="131"/>
        <v>0</v>
      </c>
      <c r="L305" s="21">
        <f t="shared" si="131"/>
        <v>0</v>
      </c>
      <c r="M305" s="21">
        <f t="shared" si="131"/>
        <v>0</v>
      </c>
      <c r="N305" s="21">
        <f t="shared" si="131"/>
        <v>0</v>
      </c>
      <c r="O305" s="21">
        <f t="shared" si="131"/>
        <v>0</v>
      </c>
      <c r="P305" s="21">
        <f t="shared" si="131"/>
        <v>0</v>
      </c>
      <c r="Q305" s="21">
        <f t="shared" si="131"/>
        <v>0</v>
      </c>
      <c r="R305" s="21">
        <f t="shared" si="131"/>
        <v>0</v>
      </c>
      <c r="S305" s="21">
        <f t="shared" si="131"/>
        <v>2</v>
      </c>
      <c r="T305" s="21">
        <f t="shared" si="131"/>
        <v>2</v>
      </c>
      <c r="U305" s="21">
        <f t="shared" si="131"/>
        <v>2</v>
      </c>
      <c r="V305" s="21">
        <f t="shared" si="131"/>
        <v>2</v>
      </c>
      <c r="W305" s="568"/>
      <c r="X305" s="568"/>
      <c r="Y305" s="568"/>
      <c r="Z305" s="568"/>
      <c r="AA305" s="568"/>
      <c r="AB305" s="568"/>
      <c r="AC305" s="568"/>
      <c r="AD305" s="568"/>
      <c r="AE305" s="568"/>
    </row>
    <row r="306" spans="3:31" x14ac:dyDescent="0.2">
      <c r="C306" s="5" t="s">
        <v>426</v>
      </c>
      <c r="D306" s="120"/>
      <c r="E306" s="269">
        <f>'Plant model'!E306</f>
        <v>8</v>
      </c>
      <c r="F306" s="1" t="s">
        <v>37</v>
      </c>
      <c r="I306" s="21">
        <f t="shared" si="131"/>
        <v>0</v>
      </c>
      <c r="J306" s="21">
        <f t="shared" si="131"/>
        <v>0</v>
      </c>
      <c r="K306" s="21">
        <f t="shared" si="131"/>
        <v>0</v>
      </c>
      <c r="L306" s="21">
        <f t="shared" si="131"/>
        <v>0</v>
      </c>
      <c r="M306" s="21">
        <f t="shared" si="131"/>
        <v>0</v>
      </c>
      <c r="N306" s="21">
        <f t="shared" si="131"/>
        <v>0</v>
      </c>
      <c r="O306" s="21">
        <f t="shared" si="131"/>
        <v>0</v>
      </c>
      <c r="P306" s="21">
        <f t="shared" si="131"/>
        <v>0</v>
      </c>
      <c r="Q306" s="21">
        <f t="shared" si="131"/>
        <v>0</v>
      </c>
      <c r="R306" s="21">
        <f t="shared" si="131"/>
        <v>0</v>
      </c>
      <c r="S306" s="21">
        <f t="shared" si="131"/>
        <v>8</v>
      </c>
      <c r="T306" s="21">
        <f t="shared" si="131"/>
        <v>8</v>
      </c>
      <c r="U306" s="21">
        <f t="shared" si="131"/>
        <v>8</v>
      </c>
      <c r="V306" s="21">
        <f t="shared" si="131"/>
        <v>8</v>
      </c>
      <c r="W306" s="568"/>
      <c r="X306" s="568"/>
      <c r="Y306" s="568"/>
      <c r="Z306" s="568"/>
      <c r="AA306" s="568"/>
      <c r="AB306" s="568"/>
      <c r="AC306" s="568"/>
      <c r="AD306" s="568"/>
      <c r="AE306" s="568"/>
    </row>
    <row r="307" spans="3:31" x14ac:dyDescent="0.2">
      <c r="C307" s="5" t="s">
        <v>427</v>
      </c>
      <c r="D307" s="120"/>
      <c r="E307" s="269">
        <f>'Plant model'!E307</f>
        <v>9</v>
      </c>
      <c r="F307" s="1" t="s">
        <v>37</v>
      </c>
      <c r="I307" s="21">
        <f t="shared" si="131"/>
        <v>0</v>
      </c>
      <c r="J307" s="21">
        <f t="shared" si="131"/>
        <v>0</v>
      </c>
      <c r="K307" s="21">
        <f t="shared" si="131"/>
        <v>0</v>
      </c>
      <c r="L307" s="21">
        <f t="shared" si="131"/>
        <v>0</v>
      </c>
      <c r="M307" s="21">
        <f t="shared" si="131"/>
        <v>0</v>
      </c>
      <c r="N307" s="21">
        <f t="shared" si="131"/>
        <v>0</v>
      </c>
      <c r="O307" s="21">
        <f t="shared" si="131"/>
        <v>0</v>
      </c>
      <c r="P307" s="21">
        <f t="shared" si="131"/>
        <v>0</v>
      </c>
      <c r="Q307" s="21">
        <f t="shared" si="131"/>
        <v>0</v>
      </c>
      <c r="R307" s="21">
        <f t="shared" si="131"/>
        <v>0</v>
      </c>
      <c r="S307" s="21">
        <f t="shared" si="131"/>
        <v>9</v>
      </c>
      <c r="T307" s="21">
        <f t="shared" si="131"/>
        <v>9</v>
      </c>
      <c r="U307" s="21">
        <f t="shared" si="131"/>
        <v>9</v>
      </c>
      <c r="V307" s="21">
        <f t="shared" si="131"/>
        <v>9</v>
      </c>
      <c r="W307" s="568"/>
      <c r="X307" s="568"/>
      <c r="Y307" s="568"/>
      <c r="Z307" s="568"/>
      <c r="AA307" s="568"/>
      <c r="AB307" s="568"/>
      <c r="AC307" s="568"/>
      <c r="AD307" s="568"/>
      <c r="AE307" s="568"/>
    </row>
    <row r="308" spans="3:31" x14ac:dyDescent="0.2">
      <c r="C308" s="5" t="s">
        <v>428</v>
      </c>
      <c r="D308" s="120"/>
      <c r="E308" s="269">
        <f>'Plant model'!E308</f>
        <v>1</v>
      </c>
      <c r="F308" s="1" t="s">
        <v>37</v>
      </c>
      <c r="I308" s="21">
        <f t="shared" si="131"/>
        <v>0</v>
      </c>
      <c r="J308" s="21">
        <f t="shared" si="131"/>
        <v>0</v>
      </c>
      <c r="K308" s="21">
        <f t="shared" si="131"/>
        <v>0</v>
      </c>
      <c r="L308" s="21">
        <f t="shared" si="131"/>
        <v>0</v>
      </c>
      <c r="M308" s="21">
        <f t="shared" si="131"/>
        <v>0</v>
      </c>
      <c r="N308" s="21">
        <f t="shared" si="131"/>
        <v>0</v>
      </c>
      <c r="O308" s="21">
        <f t="shared" si="131"/>
        <v>0</v>
      </c>
      <c r="P308" s="21">
        <f t="shared" si="131"/>
        <v>0</v>
      </c>
      <c r="Q308" s="21">
        <f t="shared" si="131"/>
        <v>0</v>
      </c>
      <c r="R308" s="21">
        <f t="shared" si="131"/>
        <v>0</v>
      </c>
      <c r="S308" s="21">
        <f t="shared" si="131"/>
        <v>1</v>
      </c>
      <c r="T308" s="21">
        <f t="shared" si="131"/>
        <v>1</v>
      </c>
      <c r="U308" s="21">
        <f t="shared" si="131"/>
        <v>1</v>
      </c>
      <c r="V308" s="21">
        <f t="shared" si="131"/>
        <v>1</v>
      </c>
      <c r="W308" s="568"/>
      <c r="X308" s="568"/>
      <c r="Y308" s="568"/>
      <c r="Z308" s="568"/>
      <c r="AA308" s="568"/>
      <c r="AB308" s="568"/>
      <c r="AC308" s="568"/>
      <c r="AD308" s="568"/>
      <c r="AE308" s="568"/>
    </row>
    <row r="309" spans="3:31" x14ac:dyDescent="0.2">
      <c r="C309" s="20" t="s">
        <v>43</v>
      </c>
      <c r="D309" s="262"/>
      <c r="E309" s="182">
        <f>SUM(E302:E308)</f>
        <v>23</v>
      </c>
      <c r="F309" s="9" t="s">
        <v>37</v>
      </c>
      <c r="G309" s="9"/>
      <c r="H309" s="9"/>
      <c r="I309" s="44">
        <f>SUM(I302:I308)</f>
        <v>0</v>
      </c>
      <c r="J309" s="44">
        <f t="shared" ref="J309:V309" si="132">SUM(J302:J308)</f>
        <v>0</v>
      </c>
      <c r="K309" s="44">
        <f t="shared" si="132"/>
        <v>0</v>
      </c>
      <c r="L309" s="44">
        <f t="shared" si="132"/>
        <v>0</v>
      </c>
      <c r="M309" s="44">
        <f t="shared" si="132"/>
        <v>0</v>
      </c>
      <c r="N309" s="44">
        <f t="shared" si="132"/>
        <v>0</v>
      </c>
      <c r="O309" s="44">
        <f t="shared" si="132"/>
        <v>0</v>
      </c>
      <c r="P309" s="44">
        <f t="shared" si="132"/>
        <v>0</v>
      </c>
      <c r="Q309" s="44">
        <f t="shared" si="132"/>
        <v>0</v>
      </c>
      <c r="R309" s="44">
        <f t="shared" si="132"/>
        <v>0</v>
      </c>
      <c r="S309" s="44">
        <f t="shared" si="132"/>
        <v>23</v>
      </c>
      <c r="T309" s="44">
        <f t="shared" si="132"/>
        <v>23</v>
      </c>
      <c r="U309" s="44">
        <f t="shared" si="132"/>
        <v>23</v>
      </c>
      <c r="V309" s="44">
        <f t="shared" si="132"/>
        <v>23</v>
      </c>
      <c r="W309" s="584"/>
      <c r="X309" s="584"/>
      <c r="Y309" s="584"/>
      <c r="Z309" s="584"/>
      <c r="AA309" s="584"/>
      <c r="AB309" s="584"/>
      <c r="AC309" s="584"/>
      <c r="AD309" s="584"/>
      <c r="AE309" s="584"/>
    </row>
    <row r="310" spans="3:31" x14ac:dyDescent="0.2">
      <c r="C310" s="5"/>
      <c r="D310" s="5"/>
    </row>
    <row r="311" spans="3:31" x14ac:dyDescent="0.2">
      <c r="C311" s="47" t="s">
        <v>429</v>
      </c>
      <c r="D311" s="47"/>
    </row>
    <row r="312" spans="3:31" x14ac:dyDescent="0.2">
      <c r="C312" s="5" t="s">
        <v>430</v>
      </c>
      <c r="D312" s="120"/>
      <c r="E312" s="269">
        <f>'Plant model'!E312</f>
        <v>3</v>
      </c>
      <c r="F312" s="1" t="s">
        <v>37</v>
      </c>
      <c r="I312" s="21">
        <f t="shared" ref="I312:V320" si="133">$E312*(I$97&gt;0)</f>
        <v>0</v>
      </c>
      <c r="J312" s="21">
        <f t="shared" si="133"/>
        <v>0</v>
      </c>
      <c r="K312" s="21">
        <f t="shared" si="133"/>
        <v>0</v>
      </c>
      <c r="L312" s="21">
        <f t="shared" si="133"/>
        <v>0</v>
      </c>
      <c r="M312" s="21">
        <f t="shared" si="133"/>
        <v>0</v>
      </c>
      <c r="N312" s="21">
        <f t="shared" si="133"/>
        <v>0</v>
      </c>
      <c r="O312" s="21">
        <f t="shared" si="133"/>
        <v>0</v>
      </c>
      <c r="P312" s="21">
        <f t="shared" si="133"/>
        <v>0</v>
      </c>
      <c r="Q312" s="21">
        <f t="shared" si="133"/>
        <v>0</v>
      </c>
      <c r="R312" s="21">
        <f t="shared" si="133"/>
        <v>0</v>
      </c>
      <c r="S312" s="21">
        <f t="shared" si="133"/>
        <v>3</v>
      </c>
      <c r="T312" s="21">
        <f t="shared" si="133"/>
        <v>3</v>
      </c>
      <c r="U312" s="21">
        <f t="shared" si="133"/>
        <v>3</v>
      </c>
      <c r="V312" s="21">
        <f t="shared" si="133"/>
        <v>3</v>
      </c>
      <c r="W312" s="568"/>
      <c r="X312" s="568"/>
      <c r="Y312" s="568"/>
      <c r="Z312" s="568"/>
      <c r="AA312" s="568"/>
      <c r="AB312" s="568"/>
      <c r="AC312" s="568"/>
      <c r="AD312" s="568"/>
      <c r="AE312" s="568"/>
    </row>
    <row r="313" spans="3:31" x14ac:dyDescent="0.2">
      <c r="C313" s="5" t="s">
        <v>431</v>
      </c>
      <c r="D313" s="120"/>
      <c r="E313" s="269">
        <f>'Plant model'!E313</f>
        <v>2</v>
      </c>
      <c r="F313" s="1" t="s">
        <v>37</v>
      </c>
      <c r="I313" s="21">
        <f t="shared" si="133"/>
        <v>0</v>
      </c>
      <c r="J313" s="21">
        <f t="shared" si="133"/>
        <v>0</v>
      </c>
      <c r="K313" s="21">
        <f t="shared" si="133"/>
        <v>0</v>
      </c>
      <c r="L313" s="21">
        <f t="shared" si="133"/>
        <v>0</v>
      </c>
      <c r="M313" s="21">
        <f t="shared" si="133"/>
        <v>0</v>
      </c>
      <c r="N313" s="21">
        <f t="shared" si="133"/>
        <v>0</v>
      </c>
      <c r="O313" s="21">
        <f t="shared" si="133"/>
        <v>0</v>
      </c>
      <c r="P313" s="21">
        <f t="shared" si="133"/>
        <v>0</v>
      </c>
      <c r="Q313" s="21">
        <f t="shared" si="133"/>
        <v>0</v>
      </c>
      <c r="R313" s="21">
        <f t="shared" si="133"/>
        <v>0</v>
      </c>
      <c r="S313" s="21">
        <f t="shared" si="133"/>
        <v>2</v>
      </c>
      <c r="T313" s="21">
        <f t="shared" si="133"/>
        <v>2</v>
      </c>
      <c r="U313" s="21">
        <f t="shared" si="133"/>
        <v>2</v>
      </c>
      <c r="V313" s="21">
        <f t="shared" si="133"/>
        <v>2</v>
      </c>
      <c r="W313" s="568"/>
      <c r="X313" s="568"/>
      <c r="Y313" s="568"/>
      <c r="Z313" s="568"/>
      <c r="AA313" s="568"/>
      <c r="AB313" s="568"/>
      <c r="AC313" s="568"/>
      <c r="AD313" s="568"/>
      <c r="AE313" s="568"/>
    </row>
    <row r="314" spans="3:31" x14ac:dyDescent="0.2">
      <c r="C314" s="5" t="s">
        <v>432</v>
      </c>
      <c r="D314" s="120"/>
      <c r="E314" s="269">
        <f>'Plant model'!E314</f>
        <v>3</v>
      </c>
      <c r="F314" s="1" t="s">
        <v>37</v>
      </c>
      <c r="I314" s="21">
        <f t="shared" si="133"/>
        <v>0</v>
      </c>
      <c r="J314" s="21">
        <f t="shared" si="133"/>
        <v>0</v>
      </c>
      <c r="K314" s="21">
        <f t="shared" si="133"/>
        <v>0</v>
      </c>
      <c r="L314" s="21">
        <f t="shared" si="133"/>
        <v>0</v>
      </c>
      <c r="M314" s="21">
        <f t="shared" si="133"/>
        <v>0</v>
      </c>
      <c r="N314" s="21">
        <f t="shared" si="133"/>
        <v>0</v>
      </c>
      <c r="O314" s="21">
        <f t="shared" si="133"/>
        <v>0</v>
      </c>
      <c r="P314" s="21">
        <f t="shared" si="133"/>
        <v>0</v>
      </c>
      <c r="Q314" s="21">
        <f t="shared" si="133"/>
        <v>0</v>
      </c>
      <c r="R314" s="21">
        <f t="shared" si="133"/>
        <v>0</v>
      </c>
      <c r="S314" s="21">
        <f t="shared" si="133"/>
        <v>3</v>
      </c>
      <c r="T314" s="21">
        <f t="shared" si="133"/>
        <v>3</v>
      </c>
      <c r="U314" s="21">
        <f t="shared" si="133"/>
        <v>3</v>
      </c>
      <c r="V314" s="21">
        <f t="shared" si="133"/>
        <v>3</v>
      </c>
      <c r="W314" s="568"/>
      <c r="X314" s="568"/>
      <c r="Y314" s="568"/>
      <c r="Z314" s="568"/>
      <c r="AA314" s="568"/>
      <c r="AB314" s="568"/>
      <c r="AC314" s="568"/>
      <c r="AD314" s="568"/>
      <c r="AE314" s="568"/>
    </row>
    <row r="315" spans="3:31" x14ac:dyDescent="0.2">
      <c r="C315" s="5" t="s">
        <v>433</v>
      </c>
      <c r="D315" s="120"/>
      <c r="E315" s="269">
        <f>'Plant model'!E315</f>
        <v>2</v>
      </c>
      <c r="F315" s="1" t="s">
        <v>37</v>
      </c>
      <c r="I315" s="21">
        <f t="shared" si="133"/>
        <v>0</v>
      </c>
      <c r="J315" s="21">
        <f t="shared" si="133"/>
        <v>0</v>
      </c>
      <c r="K315" s="21">
        <f t="shared" si="133"/>
        <v>0</v>
      </c>
      <c r="L315" s="21">
        <f t="shared" si="133"/>
        <v>0</v>
      </c>
      <c r="M315" s="21">
        <f t="shared" si="133"/>
        <v>0</v>
      </c>
      <c r="N315" s="21">
        <f t="shared" si="133"/>
        <v>0</v>
      </c>
      <c r="O315" s="21">
        <f t="shared" si="133"/>
        <v>0</v>
      </c>
      <c r="P315" s="21">
        <f t="shared" si="133"/>
        <v>0</v>
      </c>
      <c r="Q315" s="21">
        <f t="shared" si="133"/>
        <v>0</v>
      </c>
      <c r="R315" s="21">
        <f t="shared" si="133"/>
        <v>0</v>
      </c>
      <c r="S315" s="21">
        <f t="shared" si="133"/>
        <v>2</v>
      </c>
      <c r="T315" s="21">
        <f t="shared" si="133"/>
        <v>2</v>
      </c>
      <c r="U315" s="21">
        <f t="shared" si="133"/>
        <v>2</v>
      </c>
      <c r="V315" s="21">
        <f t="shared" si="133"/>
        <v>2</v>
      </c>
      <c r="W315" s="568"/>
      <c r="X315" s="568"/>
      <c r="Y315" s="568"/>
      <c r="Z315" s="568"/>
      <c r="AA315" s="568"/>
      <c r="AB315" s="568"/>
      <c r="AC315" s="568"/>
      <c r="AD315" s="568"/>
      <c r="AE315" s="568"/>
    </row>
    <row r="316" spans="3:31" x14ac:dyDescent="0.2">
      <c r="C316" s="5" t="s">
        <v>434</v>
      </c>
      <c r="D316" s="120"/>
      <c r="E316" s="269">
        <f>'Plant model'!E316</f>
        <v>2</v>
      </c>
      <c r="F316" s="1" t="s">
        <v>37</v>
      </c>
      <c r="I316" s="21">
        <f t="shared" si="133"/>
        <v>0</v>
      </c>
      <c r="J316" s="21">
        <f t="shared" si="133"/>
        <v>0</v>
      </c>
      <c r="K316" s="21">
        <f t="shared" si="133"/>
        <v>0</v>
      </c>
      <c r="L316" s="21">
        <f t="shared" si="133"/>
        <v>0</v>
      </c>
      <c r="M316" s="21">
        <f t="shared" si="133"/>
        <v>0</v>
      </c>
      <c r="N316" s="21">
        <f t="shared" si="133"/>
        <v>0</v>
      </c>
      <c r="O316" s="21">
        <f t="shared" si="133"/>
        <v>0</v>
      </c>
      <c r="P316" s="21">
        <f t="shared" si="133"/>
        <v>0</v>
      </c>
      <c r="Q316" s="21">
        <f t="shared" si="133"/>
        <v>0</v>
      </c>
      <c r="R316" s="21">
        <f t="shared" si="133"/>
        <v>0</v>
      </c>
      <c r="S316" s="21">
        <f t="shared" si="133"/>
        <v>2</v>
      </c>
      <c r="T316" s="21">
        <f t="shared" si="133"/>
        <v>2</v>
      </c>
      <c r="U316" s="21">
        <f t="shared" si="133"/>
        <v>2</v>
      </c>
      <c r="V316" s="21">
        <f t="shared" si="133"/>
        <v>2</v>
      </c>
      <c r="W316" s="568"/>
      <c r="X316" s="568"/>
      <c r="Y316" s="568"/>
      <c r="Z316" s="568"/>
      <c r="AA316" s="568"/>
      <c r="AB316" s="568"/>
      <c r="AC316" s="568"/>
      <c r="AD316" s="568"/>
      <c r="AE316" s="568"/>
    </row>
    <row r="317" spans="3:31" x14ac:dyDescent="0.2">
      <c r="C317" s="5" t="s">
        <v>435</v>
      </c>
      <c r="D317" s="120"/>
      <c r="E317" s="269">
        <f>'Plant model'!E317</f>
        <v>2</v>
      </c>
      <c r="F317" s="1" t="s">
        <v>37</v>
      </c>
      <c r="I317" s="21">
        <f t="shared" si="133"/>
        <v>0</v>
      </c>
      <c r="J317" s="21">
        <f t="shared" si="133"/>
        <v>0</v>
      </c>
      <c r="K317" s="21">
        <f t="shared" si="133"/>
        <v>0</v>
      </c>
      <c r="L317" s="21">
        <f t="shared" si="133"/>
        <v>0</v>
      </c>
      <c r="M317" s="21">
        <f t="shared" si="133"/>
        <v>0</v>
      </c>
      <c r="N317" s="21">
        <f t="shared" si="133"/>
        <v>0</v>
      </c>
      <c r="O317" s="21">
        <f t="shared" si="133"/>
        <v>0</v>
      </c>
      <c r="P317" s="21">
        <f t="shared" si="133"/>
        <v>0</v>
      </c>
      <c r="Q317" s="21">
        <f t="shared" si="133"/>
        <v>0</v>
      </c>
      <c r="R317" s="21">
        <f t="shared" si="133"/>
        <v>0</v>
      </c>
      <c r="S317" s="21">
        <f t="shared" si="133"/>
        <v>2</v>
      </c>
      <c r="T317" s="21">
        <f t="shared" si="133"/>
        <v>2</v>
      </c>
      <c r="U317" s="21">
        <f t="shared" si="133"/>
        <v>2</v>
      </c>
      <c r="V317" s="21">
        <f t="shared" si="133"/>
        <v>2</v>
      </c>
      <c r="W317" s="568"/>
      <c r="X317" s="568"/>
      <c r="Y317" s="568"/>
      <c r="Z317" s="568"/>
      <c r="AA317" s="568"/>
      <c r="AB317" s="568"/>
      <c r="AC317" s="568"/>
      <c r="AD317" s="568"/>
      <c r="AE317" s="568"/>
    </row>
    <row r="318" spans="3:31" x14ac:dyDescent="0.2">
      <c r="C318" s="5" t="s">
        <v>436</v>
      </c>
      <c r="D318" s="120"/>
      <c r="E318" s="269">
        <f>'Plant model'!E318</f>
        <v>2</v>
      </c>
      <c r="F318" s="1" t="s">
        <v>37</v>
      </c>
      <c r="I318" s="21">
        <f t="shared" si="133"/>
        <v>0</v>
      </c>
      <c r="J318" s="21">
        <f t="shared" si="133"/>
        <v>0</v>
      </c>
      <c r="K318" s="21">
        <f t="shared" si="133"/>
        <v>0</v>
      </c>
      <c r="L318" s="21">
        <f t="shared" si="133"/>
        <v>0</v>
      </c>
      <c r="M318" s="21">
        <f t="shared" si="133"/>
        <v>0</v>
      </c>
      <c r="N318" s="21">
        <f t="shared" si="133"/>
        <v>0</v>
      </c>
      <c r="O318" s="21">
        <f t="shared" si="133"/>
        <v>0</v>
      </c>
      <c r="P318" s="21">
        <f t="shared" si="133"/>
        <v>0</v>
      </c>
      <c r="Q318" s="21">
        <f t="shared" si="133"/>
        <v>0</v>
      </c>
      <c r="R318" s="21">
        <f t="shared" si="133"/>
        <v>0</v>
      </c>
      <c r="S318" s="21">
        <f t="shared" si="133"/>
        <v>2</v>
      </c>
      <c r="T318" s="21">
        <f t="shared" si="133"/>
        <v>2</v>
      </c>
      <c r="U318" s="21">
        <f t="shared" si="133"/>
        <v>2</v>
      </c>
      <c r="V318" s="21">
        <f t="shared" si="133"/>
        <v>2</v>
      </c>
      <c r="W318" s="568"/>
      <c r="X318" s="568"/>
      <c r="Y318" s="568"/>
      <c r="Z318" s="568"/>
      <c r="AA318" s="568"/>
      <c r="AB318" s="568"/>
      <c r="AC318" s="568"/>
      <c r="AD318" s="568"/>
      <c r="AE318" s="568"/>
    </row>
    <row r="319" spans="3:31" x14ac:dyDescent="0.2">
      <c r="C319" s="5" t="s">
        <v>437</v>
      </c>
      <c r="D319" s="120"/>
      <c r="E319" s="269">
        <f>'Plant model'!E319</f>
        <v>2</v>
      </c>
      <c r="F319" s="1" t="s">
        <v>37</v>
      </c>
      <c r="I319" s="21">
        <f t="shared" si="133"/>
        <v>0</v>
      </c>
      <c r="J319" s="21">
        <f t="shared" si="133"/>
        <v>0</v>
      </c>
      <c r="K319" s="21">
        <f t="shared" si="133"/>
        <v>0</v>
      </c>
      <c r="L319" s="21">
        <f t="shared" si="133"/>
        <v>0</v>
      </c>
      <c r="M319" s="21">
        <f t="shared" si="133"/>
        <v>0</v>
      </c>
      <c r="N319" s="21">
        <f t="shared" si="133"/>
        <v>0</v>
      </c>
      <c r="O319" s="21">
        <f t="shared" si="133"/>
        <v>0</v>
      </c>
      <c r="P319" s="21">
        <f t="shared" si="133"/>
        <v>0</v>
      </c>
      <c r="Q319" s="21">
        <f t="shared" si="133"/>
        <v>0</v>
      </c>
      <c r="R319" s="21">
        <f t="shared" si="133"/>
        <v>0</v>
      </c>
      <c r="S319" s="21">
        <f t="shared" si="133"/>
        <v>2</v>
      </c>
      <c r="T319" s="21">
        <f t="shared" si="133"/>
        <v>2</v>
      </c>
      <c r="U319" s="21">
        <f t="shared" si="133"/>
        <v>2</v>
      </c>
      <c r="V319" s="21">
        <f t="shared" si="133"/>
        <v>2</v>
      </c>
      <c r="W319" s="568"/>
      <c r="X319" s="568"/>
      <c r="Y319" s="568"/>
      <c r="Z319" s="568"/>
      <c r="AA319" s="568"/>
      <c r="AB319" s="568"/>
      <c r="AC319" s="568"/>
      <c r="AD319" s="568"/>
      <c r="AE319" s="568"/>
    </row>
    <row r="320" spans="3:31" x14ac:dyDescent="0.2">
      <c r="C320" s="5" t="s">
        <v>438</v>
      </c>
      <c r="D320" s="120"/>
      <c r="E320" s="269">
        <f>'Plant model'!E320</f>
        <v>1</v>
      </c>
      <c r="F320" s="1" t="s">
        <v>37</v>
      </c>
      <c r="I320" s="21">
        <f t="shared" si="133"/>
        <v>0</v>
      </c>
      <c r="J320" s="21">
        <f t="shared" si="133"/>
        <v>0</v>
      </c>
      <c r="K320" s="21">
        <f t="shared" si="133"/>
        <v>0</v>
      </c>
      <c r="L320" s="21">
        <f t="shared" si="133"/>
        <v>0</v>
      </c>
      <c r="M320" s="21">
        <f t="shared" si="133"/>
        <v>0</v>
      </c>
      <c r="N320" s="21">
        <f t="shared" si="133"/>
        <v>0</v>
      </c>
      <c r="O320" s="21">
        <f t="shared" si="133"/>
        <v>0</v>
      </c>
      <c r="P320" s="21">
        <f t="shared" si="133"/>
        <v>0</v>
      </c>
      <c r="Q320" s="21">
        <f t="shared" si="133"/>
        <v>0</v>
      </c>
      <c r="R320" s="21">
        <f t="shared" si="133"/>
        <v>0</v>
      </c>
      <c r="S320" s="21">
        <f t="shared" si="133"/>
        <v>1</v>
      </c>
      <c r="T320" s="21">
        <f t="shared" si="133"/>
        <v>1</v>
      </c>
      <c r="U320" s="21">
        <f t="shared" si="133"/>
        <v>1</v>
      </c>
      <c r="V320" s="21">
        <f t="shared" si="133"/>
        <v>1</v>
      </c>
      <c r="W320" s="568"/>
      <c r="X320" s="568"/>
      <c r="Y320" s="568"/>
      <c r="Z320" s="568"/>
      <c r="AA320" s="568"/>
      <c r="AB320" s="568"/>
      <c r="AC320" s="568"/>
      <c r="AD320" s="568"/>
      <c r="AE320" s="568"/>
    </row>
    <row r="321" spans="2:31" x14ac:dyDescent="0.2">
      <c r="C321" s="5" t="s">
        <v>45</v>
      </c>
      <c r="D321" s="262"/>
      <c r="E321" s="182">
        <f>SUM(E312:E320)</f>
        <v>19</v>
      </c>
      <c r="F321" s="1" t="s">
        <v>37</v>
      </c>
      <c r="I321" s="44">
        <f>SUM(I312:I320)</f>
        <v>0</v>
      </c>
      <c r="J321" s="44">
        <f>SUM(J312:J320)</f>
        <v>0</v>
      </c>
      <c r="K321" s="44">
        <f>SUM(K312:K320)</f>
        <v>0</v>
      </c>
      <c r="L321" s="44">
        <f>SUM(L312:L320)</f>
        <v>0</v>
      </c>
      <c r="M321" s="44">
        <f t="shared" ref="M321:V321" si="134">SUM(M312:M320)</f>
        <v>0</v>
      </c>
      <c r="N321" s="44">
        <f t="shared" si="134"/>
        <v>0</v>
      </c>
      <c r="O321" s="44">
        <f t="shared" si="134"/>
        <v>0</v>
      </c>
      <c r="P321" s="44">
        <f t="shared" si="134"/>
        <v>0</v>
      </c>
      <c r="Q321" s="44">
        <f t="shared" si="134"/>
        <v>0</v>
      </c>
      <c r="R321" s="44">
        <f t="shared" si="134"/>
        <v>0</v>
      </c>
      <c r="S321" s="44">
        <f t="shared" si="134"/>
        <v>19</v>
      </c>
      <c r="T321" s="44">
        <f t="shared" si="134"/>
        <v>19</v>
      </c>
      <c r="U321" s="44">
        <f t="shared" si="134"/>
        <v>19</v>
      </c>
      <c r="V321" s="44">
        <f t="shared" si="134"/>
        <v>19</v>
      </c>
      <c r="W321" s="580"/>
      <c r="X321" s="580"/>
      <c r="Y321" s="580"/>
      <c r="Z321" s="580"/>
      <c r="AA321" s="580"/>
      <c r="AB321" s="580"/>
      <c r="AC321" s="580"/>
      <c r="AD321" s="580"/>
      <c r="AE321" s="580"/>
    </row>
    <row r="322" spans="2:31" x14ac:dyDescent="0.2">
      <c r="C322" s="5"/>
      <c r="D322" s="5"/>
    </row>
    <row r="323" spans="2:31" x14ac:dyDescent="0.2">
      <c r="C323" s="5" t="s">
        <v>336</v>
      </c>
      <c r="D323" s="120"/>
      <c r="E323" s="269">
        <f>'Plant model'!E323</f>
        <v>0</v>
      </c>
      <c r="F323" s="1" t="s">
        <v>37</v>
      </c>
      <c r="I323" s="21">
        <f>$E323*(I$97&gt;0)</f>
        <v>0</v>
      </c>
      <c r="J323" s="21">
        <f t="shared" ref="J323" si="135">$E323*(J$97&gt;0)</f>
        <v>0</v>
      </c>
      <c r="K323" s="18">
        <f>$E323</f>
        <v>0</v>
      </c>
      <c r="L323" s="18">
        <f>$E323</f>
        <v>0</v>
      </c>
      <c r="M323" s="18">
        <f t="shared" ref="M323:V323" si="136">$E323</f>
        <v>0</v>
      </c>
      <c r="N323" s="18">
        <f t="shared" si="136"/>
        <v>0</v>
      </c>
      <c r="O323" s="18">
        <f t="shared" si="136"/>
        <v>0</v>
      </c>
      <c r="P323" s="18">
        <f t="shared" si="136"/>
        <v>0</v>
      </c>
      <c r="Q323" s="18">
        <f t="shared" si="136"/>
        <v>0</v>
      </c>
      <c r="R323" s="18">
        <f t="shared" si="136"/>
        <v>0</v>
      </c>
      <c r="S323" s="18">
        <f t="shared" si="136"/>
        <v>0</v>
      </c>
      <c r="T323" s="18">
        <f t="shared" si="136"/>
        <v>0</v>
      </c>
      <c r="U323" s="18">
        <f t="shared" si="136"/>
        <v>0</v>
      </c>
      <c r="V323" s="18">
        <f t="shared" si="136"/>
        <v>0</v>
      </c>
      <c r="W323" s="568"/>
      <c r="X323" s="568"/>
      <c r="Y323" s="568"/>
      <c r="Z323" s="568"/>
      <c r="AA323" s="568"/>
      <c r="AB323" s="568"/>
      <c r="AC323" s="568"/>
      <c r="AD323" s="568"/>
      <c r="AE323" s="568"/>
    </row>
    <row r="324" spans="2:31" x14ac:dyDescent="0.2">
      <c r="C324" s="5"/>
      <c r="D324" s="5"/>
    </row>
    <row r="325" spans="2:31" x14ac:dyDescent="0.2">
      <c r="C325" s="20" t="s">
        <v>49</v>
      </c>
      <c r="D325" s="262"/>
      <c r="E325" s="182">
        <f>E280+E286+E293+E299+E309+E321+E323</f>
        <v>110</v>
      </c>
      <c r="F325" s="1" t="s">
        <v>37</v>
      </c>
      <c r="G325" s="9"/>
      <c r="H325" s="9"/>
      <c r="I325" s="44">
        <f>I280+I286+I293+I299+I309+I321+I323</f>
        <v>0</v>
      </c>
      <c r="J325" s="44">
        <f>J280+J286+J293+J299+J309+J321+J323</f>
        <v>0</v>
      </c>
      <c r="K325" s="44">
        <f>K280+K286+K293+K299+K309+K321+K323</f>
        <v>0</v>
      </c>
      <c r="L325" s="44">
        <f t="shared" ref="L325:V325" si="137">L280+L286+L293+L299+L309+L321+L323</f>
        <v>0</v>
      </c>
      <c r="M325" s="44">
        <f t="shared" si="137"/>
        <v>0</v>
      </c>
      <c r="N325" s="44">
        <f t="shared" si="137"/>
        <v>0</v>
      </c>
      <c r="O325" s="44">
        <f t="shared" si="137"/>
        <v>0</v>
      </c>
      <c r="P325" s="44">
        <f t="shared" si="137"/>
        <v>0</v>
      </c>
      <c r="Q325" s="44">
        <f t="shared" si="137"/>
        <v>0</v>
      </c>
      <c r="R325" s="44">
        <f t="shared" si="137"/>
        <v>0</v>
      </c>
      <c r="S325" s="44">
        <f t="shared" si="137"/>
        <v>110</v>
      </c>
      <c r="T325" s="44">
        <f t="shared" si="137"/>
        <v>110</v>
      </c>
      <c r="U325" s="44">
        <f t="shared" si="137"/>
        <v>110</v>
      </c>
      <c r="V325" s="44">
        <f t="shared" si="137"/>
        <v>110</v>
      </c>
      <c r="W325" s="580"/>
      <c r="X325" s="580"/>
      <c r="Y325" s="580"/>
      <c r="Z325" s="580"/>
      <c r="AA325" s="580"/>
      <c r="AB325" s="580"/>
      <c r="AC325" s="580"/>
      <c r="AD325" s="580"/>
      <c r="AE325" s="580"/>
    </row>
    <row r="326" spans="2:31" x14ac:dyDescent="0.2">
      <c r="C326" s="5"/>
      <c r="D326" s="5"/>
    </row>
    <row r="327" spans="2:31" x14ac:dyDescent="0.2">
      <c r="B327" s="24">
        <f>B269+0.01</f>
        <v>3.42</v>
      </c>
      <c r="C327" s="20" t="s">
        <v>50</v>
      </c>
      <c r="D327" s="20"/>
    </row>
    <row r="328" spans="2:31" x14ac:dyDescent="0.2">
      <c r="B328" s="24"/>
      <c r="C328" s="20"/>
    </row>
    <row r="329" spans="2:31" x14ac:dyDescent="0.2">
      <c r="C329" s="47" t="str">
        <f>C271</f>
        <v>Melting</v>
      </c>
      <c r="E329" s="11" t="s">
        <v>243</v>
      </c>
    </row>
    <row r="330" spans="2:31" x14ac:dyDescent="0.2">
      <c r="C330" s="5" t="str">
        <f>C272</f>
        <v>Manager of Melting/Casting Production</v>
      </c>
      <c r="D330" s="33"/>
      <c r="E330" s="508">
        <f>'Plant model'!E330/4</f>
        <v>37502.836643759336</v>
      </c>
      <c r="F330" s="1" t="s">
        <v>51</v>
      </c>
      <c r="H330" s="33"/>
      <c r="I330" s="32">
        <f>$E330*I$14</f>
        <v>28877.184215694688</v>
      </c>
      <c r="J330" s="32">
        <f>$E330*J$14</f>
        <v>28877.184215694688</v>
      </c>
      <c r="K330" s="32">
        <f>$E330*K$14</f>
        <v>28877.184215694688</v>
      </c>
      <c r="L330" s="32">
        <f>$E330*L$14</f>
        <v>28877.184215694688</v>
      </c>
      <c r="M330" s="32">
        <f t="shared" ref="M330:V336" si="138">$E330*M$14</f>
        <v>28877.184215694688</v>
      </c>
      <c r="N330" s="32">
        <f t="shared" si="138"/>
        <v>28877.184215694688</v>
      </c>
      <c r="O330" s="32">
        <f t="shared" si="138"/>
        <v>28877.184215694688</v>
      </c>
      <c r="P330" s="32">
        <f t="shared" si="138"/>
        <v>28877.184215694688</v>
      </c>
      <c r="Q330" s="32">
        <f t="shared" si="138"/>
        <v>28877.184215694688</v>
      </c>
      <c r="R330" s="32">
        <f t="shared" si="138"/>
        <v>28877.184215694688</v>
      </c>
      <c r="S330" s="32">
        <f t="shared" si="138"/>
        <v>28877.184215694688</v>
      </c>
      <c r="T330" s="32">
        <f t="shared" si="138"/>
        <v>28877.184215694688</v>
      </c>
      <c r="U330" s="32">
        <f t="shared" si="138"/>
        <v>28877.184215694688</v>
      </c>
      <c r="V330" s="32">
        <f t="shared" si="138"/>
        <v>28877.184215694688</v>
      </c>
      <c r="W330" s="572"/>
      <c r="X330" s="572"/>
      <c r="Y330" s="572"/>
      <c r="Z330" s="572"/>
      <c r="AA330" s="572"/>
      <c r="AB330" s="572"/>
      <c r="AC330" s="572"/>
      <c r="AD330" s="572"/>
      <c r="AE330" s="572"/>
    </row>
    <row r="331" spans="2:31" x14ac:dyDescent="0.2">
      <c r="C331" s="5" t="str">
        <f>C273</f>
        <v>Supervisor/team Leader of Melting &amp; Casting</v>
      </c>
      <c r="D331" s="33"/>
      <c r="E331" s="508">
        <f>'Plant model'!E331/4</f>
        <v>19764.588153750003</v>
      </c>
      <c r="F331" s="1" t="s">
        <v>51</v>
      </c>
      <c r="H331" s="33"/>
      <c r="I331" s="32">
        <f t="shared" ref="I331:L336" si="139">$E331*I$14</f>
        <v>15218.732878387502</v>
      </c>
      <c r="J331" s="32">
        <f t="shared" si="139"/>
        <v>15218.732878387502</v>
      </c>
      <c r="K331" s="32">
        <f t="shared" si="139"/>
        <v>15218.732878387502</v>
      </c>
      <c r="L331" s="32">
        <f t="shared" si="139"/>
        <v>15218.732878387502</v>
      </c>
      <c r="M331" s="32">
        <f t="shared" si="138"/>
        <v>15218.732878387502</v>
      </c>
      <c r="N331" s="32">
        <f t="shared" si="138"/>
        <v>15218.732878387502</v>
      </c>
      <c r="O331" s="32">
        <f t="shared" si="138"/>
        <v>15218.732878387502</v>
      </c>
      <c r="P331" s="32">
        <f t="shared" si="138"/>
        <v>15218.732878387502</v>
      </c>
      <c r="Q331" s="32">
        <f t="shared" si="138"/>
        <v>15218.732878387502</v>
      </c>
      <c r="R331" s="32">
        <f t="shared" si="138"/>
        <v>15218.732878387502</v>
      </c>
      <c r="S331" s="32">
        <f t="shared" si="138"/>
        <v>15218.732878387502</v>
      </c>
      <c r="T331" s="32">
        <f t="shared" si="138"/>
        <v>15218.732878387502</v>
      </c>
      <c r="U331" s="32">
        <f t="shared" si="138"/>
        <v>15218.732878387502</v>
      </c>
      <c r="V331" s="32">
        <f t="shared" si="138"/>
        <v>15218.732878387502</v>
      </c>
      <c r="W331" s="572"/>
      <c r="X331" s="572"/>
      <c r="Y331" s="572"/>
      <c r="Z331" s="572"/>
      <c r="AA331" s="572"/>
      <c r="AB331" s="572"/>
      <c r="AC331" s="572"/>
      <c r="AD331" s="572"/>
      <c r="AE331" s="572"/>
    </row>
    <row r="332" spans="2:31" x14ac:dyDescent="0.2">
      <c r="C332" s="5" t="str">
        <f>C274</f>
        <v>Senior Operator - EAF</v>
      </c>
      <c r="D332" s="33"/>
      <c r="E332" s="508">
        <f>'Plant model'!E332/4</f>
        <v>14801.142948928735</v>
      </c>
      <c r="F332" s="1" t="s">
        <v>51</v>
      </c>
      <c r="H332" s="33"/>
      <c r="I332" s="32">
        <f t="shared" si="139"/>
        <v>11396.880070675126</v>
      </c>
      <c r="J332" s="32">
        <f t="shared" si="139"/>
        <v>11396.880070675126</v>
      </c>
      <c r="K332" s="32">
        <f t="shared" si="139"/>
        <v>11396.880070675126</v>
      </c>
      <c r="L332" s="32">
        <f t="shared" si="139"/>
        <v>11396.880070675126</v>
      </c>
      <c r="M332" s="32">
        <f t="shared" si="138"/>
        <v>11396.880070675126</v>
      </c>
      <c r="N332" s="32">
        <f t="shared" si="138"/>
        <v>11396.880070675126</v>
      </c>
      <c r="O332" s="32">
        <f t="shared" si="138"/>
        <v>11396.880070675126</v>
      </c>
      <c r="P332" s="32">
        <f t="shared" si="138"/>
        <v>11396.880070675126</v>
      </c>
      <c r="Q332" s="32">
        <f t="shared" si="138"/>
        <v>11396.880070675126</v>
      </c>
      <c r="R332" s="32">
        <f t="shared" si="138"/>
        <v>11396.880070675126</v>
      </c>
      <c r="S332" s="32">
        <f t="shared" si="138"/>
        <v>11396.880070675126</v>
      </c>
      <c r="T332" s="32">
        <f t="shared" si="138"/>
        <v>11396.880070675126</v>
      </c>
      <c r="U332" s="32">
        <f t="shared" si="138"/>
        <v>11396.880070675126</v>
      </c>
      <c r="V332" s="32">
        <f t="shared" si="138"/>
        <v>11396.880070675126</v>
      </c>
      <c r="W332" s="572"/>
      <c r="X332" s="572"/>
      <c r="Y332" s="572"/>
      <c r="Z332" s="572"/>
      <c r="AA332" s="572"/>
      <c r="AB332" s="572"/>
      <c r="AC332" s="572"/>
      <c r="AD332" s="572"/>
      <c r="AE332" s="572"/>
    </row>
    <row r="333" spans="2:31" x14ac:dyDescent="0.2">
      <c r="C333" s="5" t="str">
        <f>C276</f>
        <v>Operator - Ladle Crane</v>
      </c>
      <c r="D333" s="33"/>
      <c r="E333" s="508">
        <f>'Plant model'!E333/4</f>
        <v>13382.287093001823</v>
      </c>
      <c r="F333" s="1" t="s">
        <v>51</v>
      </c>
      <c r="H333" s="33"/>
      <c r="I333" s="32">
        <f t="shared" si="139"/>
        <v>10304.361061611404</v>
      </c>
      <c r="J333" s="32">
        <f t="shared" si="139"/>
        <v>10304.361061611404</v>
      </c>
      <c r="K333" s="32">
        <f t="shared" si="139"/>
        <v>10304.361061611404</v>
      </c>
      <c r="L333" s="32">
        <f t="shared" si="139"/>
        <v>10304.361061611404</v>
      </c>
      <c r="M333" s="32">
        <f t="shared" si="138"/>
        <v>10304.361061611404</v>
      </c>
      <c r="N333" s="32">
        <f t="shared" si="138"/>
        <v>10304.361061611404</v>
      </c>
      <c r="O333" s="32">
        <f t="shared" si="138"/>
        <v>10304.361061611404</v>
      </c>
      <c r="P333" s="32">
        <f t="shared" si="138"/>
        <v>10304.361061611404</v>
      </c>
      <c r="Q333" s="32">
        <f t="shared" si="138"/>
        <v>10304.361061611404</v>
      </c>
      <c r="R333" s="32">
        <f t="shared" si="138"/>
        <v>10304.361061611404</v>
      </c>
      <c r="S333" s="32">
        <f t="shared" si="138"/>
        <v>10304.361061611404</v>
      </c>
      <c r="T333" s="32">
        <f t="shared" si="138"/>
        <v>10304.361061611404</v>
      </c>
      <c r="U333" s="32">
        <f t="shared" si="138"/>
        <v>10304.361061611404</v>
      </c>
      <c r="V333" s="32">
        <f t="shared" si="138"/>
        <v>10304.361061611404</v>
      </c>
      <c r="W333" s="572"/>
      <c r="X333" s="572"/>
      <c r="Y333" s="572"/>
      <c r="Z333" s="572"/>
      <c r="AA333" s="572"/>
      <c r="AB333" s="572"/>
      <c r="AC333" s="572"/>
      <c r="AD333" s="572"/>
      <c r="AE333" s="572"/>
    </row>
    <row r="334" spans="2:31" x14ac:dyDescent="0.2">
      <c r="C334" s="5" t="str">
        <f>C277</f>
        <v>Operator</v>
      </c>
      <c r="D334" s="33"/>
      <c r="E334" s="508">
        <f>'Plant model'!E334/4</f>
        <v>12211.038065775214</v>
      </c>
      <c r="F334" s="1" t="s">
        <v>51</v>
      </c>
      <c r="H334" s="33"/>
      <c r="I334" s="32">
        <f t="shared" si="139"/>
        <v>9402.4993106469155</v>
      </c>
      <c r="J334" s="32">
        <f t="shared" si="139"/>
        <v>9402.4993106469155</v>
      </c>
      <c r="K334" s="32">
        <f t="shared" si="139"/>
        <v>9402.4993106469155</v>
      </c>
      <c r="L334" s="32">
        <f t="shared" si="139"/>
        <v>9402.4993106469155</v>
      </c>
      <c r="M334" s="32">
        <f t="shared" si="138"/>
        <v>9402.4993106469155</v>
      </c>
      <c r="N334" s="32">
        <f t="shared" si="138"/>
        <v>9402.4993106469155</v>
      </c>
      <c r="O334" s="32">
        <f t="shared" si="138"/>
        <v>9402.4993106469155</v>
      </c>
      <c r="P334" s="32">
        <f t="shared" si="138"/>
        <v>9402.4993106469155</v>
      </c>
      <c r="Q334" s="32">
        <f t="shared" si="138"/>
        <v>9402.4993106469155</v>
      </c>
      <c r="R334" s="32">
        <f t="shared" si="138"/>
        <v>9402.4993106469155</v>
      </c>
      <c r="S334" s="32">
        <f t="shared" si="138"/>
        <v>9402.4993106469155</v>
      </c>
      <c r="T334" s="32">
        <f t="shared" si="138"/>
        <v>9402.4993106469155</v>
      </c>
      <c r="U334" s="32">
        <f t="shared" si="138"/>
        <v>9402.4993106469155</v>
      </c>
      <c r="V334" s="32">
        <f t="shared" si="138"/>
        <v>9402.4993106469155</v>
      </c>
      <c r="W334" s="572"/>
      <c r="X334" s="572"/>
      <c r="Y334" s="572"/>
      <c r="Z334" s="572"/>
      <c r="AA334" s="572"/>
      <c r="AB334" s="572"/>
      <c r="AC334" s="572"/>
      <c r="AD334" s="572"/>
      <c r="AE334" s="572"/>
    </row>
    <row r="335" spans="2:31" x14ac:dyDescent="0.2">
      <c r="C335" s="5" t="str">
        <f>C278</f>
        <v>Team Leader - Refractory</v>
      </c>
      <c r="D335" s="33"/>
      <c r="E335" s="508">
        <f>'Plant model'!E335/4</f>
        <v>12663.962866274152</v>
      </c>
      <c r="F335" s="1" t="s">
        <v>51</v>
      </c>
      <c r="H335" s="33"/>
      <c r="I335" s="32">
        <f t="shared" si="139"/>
        <v>9751.2514070310972</v>
      </c>
      <c r="J335" s="32">
        <f t="shared" si="139"/>
        <v>9751.2514070310972</v>
      </c>
      <c r="K335" s="32">
        <f t="shared" si="139"/>
        <v>9751.2514070310972</v>
      </c>
      <c r="L335" s="32">
        <f t="shared" si="139"/>
        <v>9751.2514070310972</v>
      </c>
      <c r="M335" s="32">
        <f t="shared" si="138"/>
        <v>9751.2514070310972</v>
      </c>
      <c r="N335" s="32">
        <f t="shared" si="138"/>
        <v>9751.2514070310972</v>
      </c>
      <c r="O335" s="32">
        <f t="shared" si="138"/>
        <v>9751.2514070310972</v>
      </c>
      <c r="P335" s="32">
        <f t="shared" si="138"/>
        <v>9751.2514070310972</v>
      </c>
      <c r="Q335" s="32">
        <f t="shared" si="138"/>
        <v>9751.2514070310972</v>
      </c>
      <c r="R335" s="32">
        <f t="shared" si="138"/>
        <v>9751.2514070310972</v>
      </c>
      <c r="S335" s="32">
        <f t="shared" si="138"/>
        <v>9751.2514070310972</v>
      </c>
      <c r="T335" s="32">
        <f t="shared" si="138"/>
        <v>9751.2514070310972</v>
      </c>
      <c r="U335" s="32">
        <f t="shared" si="138"/>
        <v>9751.2514070310972</v>
      </c>
      <c r="V335" s="32">
        <f t="shared" si="138"/>
        <v>9751.2514070310972</v>
      </c>
      <c r="W335" s="572"/>
      <c r="X335" s="572"/>
      <c r="Y335" s="572"/>
      <c r="Z335" s="572"/>
      <c r="AA335" s="572"/>
      <c r="AB335" s="572"/>
      <c r="AC335" s="572"/>
      <c r="AD335" s="572"/>
      <c r="AE335" s="572"/>
    </row>
    <row r="336" spans="2:31" x14ac:dyDescent="0.2">
      <c r="C336" s="5" t="str">
        <f>C279</f>
        <v>Operator - Refractory</v>
      </c>
      <c r="D336" s="33"/>
      <c r="E336" s="508">
        <f>'Plant model'!E336/4</f>
        <v>10978.214868451847</v>
      </c>
      <c r="F336" s="1" t="s">
        <v>51</v>
      </c>
      <c r="H336" s="33"/>
      <c r="I336" s="32">
        <f t="shared" si="139"/>
        <v>8453.2254487079226</v>
      </c>
      <c r="J336" s="32">
        <f t="shared" si="139"/>
        <v>8453.2254487079226</v>
      </c>
      <c r="K336" s="32">
        <f t="shared" si="139"/>
        <v>8453.2254487079226</v>
      </c>
      <c r="L336" s="32">
        <f t="shared" si="139"/>
        <v>8453.2254487079226</v>
      </c>
      <c r="M336" s="32">
        <f t="shared" si="138"/>
        <v>8453.2254487079226</v>
      </c>
      <c r="N336" s="32">
        <f t="shared" si="138"/>
        <v>8453.2254487079226</v>
      </c>
      <c r="O336" s="32">
        <f t="shared" si="138"/>
        <v>8453.2254487079226</v>
      </c>
      <c r="P336" s="32">
        <f t="shared" si="138"/>
        <v>8453.2254487079226</v>
      </c>
      <c r="Q336" s="32">
        <f t="shared" si="138"/>
        <v>8453.2254487079226</v>
      </c>
      <c r="R336" s="32">
        <f t="shared" si="138"/>
        <v>8453.2254487079226</v>
      </c>
      <c r="S336" s="32">
        <f t="shared" si="138"/>
        <v>8453.2254487079226</v>
      </c>
      <c r="T336" s="32">
        <f t="shared" si="138"/>
        <v>8453.2254487079226</v>
      </c>
      <c r="U336" s="32">
        <f t="shared" si="138"/>
        <v>8453.2254487079226</v>
      </c>
      <c r="V336" s="32">
        <f t="shared" si="138"/>
        <v>8453.2254487079226</v>
      </c>
      <c r="W336" s="572"/>
      <c r="X336" s="572"/>
      <c r="Y336" s="572"/>
      <c r="Z336" s="572"/>
      <c r="AA336" s="572"/>
      <c r="AB336" s="572"/>
      <c r="AC336" s="572"/>
      <c r="AD336" s="572"/>
      <c r="AE336" s="572"/>
    </row>
    <row r="337" spans="3:31" x14ac:dyDescent="0.2">
      <c r="C337" s="5"/>
      <c r="E337" s="2"/>
    </row>
    <row r="338" spans="3:31" x14ac:dyDescent="0.2">
      <c r="C338" s="5"/>
      <c r="E338" s="2"/>
    </row>
    <row r="339" spans="3:31" x14ac:dyDescent="0.2">
      <c r="C339" s="47" t="str">
        <f>C282</f>
        <v>Casting</v>
      </c>
      <c r="E339" s="2"/>
    </row>
    <row r="340" spans="3:31" x14ac:dyDescent="0.2">
      <c r="C340" s="5" t="str">
        <f>C283</f>
        <v xml:space="preserve">Senior Casting Operator </v>
      </c>
      <c r="E340" s="508">
        <f>'Plant model'!E340/4</f>
        <v>14876.672531919161</v>
      </c>
      <c r="F340" s="1" t="s">
        <v>51</v>
      </c>
      <c r="I340" s="32">
        <f t="shared" ref="I340:V342" si="140">$E340*I$14</f>
        <v>11455.037849577755</v>
      </c>
      <c r="J340" s="32">
        <f t="shared" si="140"/>
        <v>11455.037849577755</v>
      </c>
      <c r="K340" s="32">
        <f t="shared" si="140"/>
        <v>11455.037849577755</v>
      </c>
      <c r="L340" s="32">
        <f t="shared" si="140"/>
        <v>11455.037849577755</v>
      </c>
      <c r="M340" s="32">
        <f t="shared" si="140"/>
        <v>11455.037849577755</v>
      </c>
      <c r="N340" s="32">
        <f t="shared" si="140"/>
        <v>11455.037849577755</v>
      </c>
      <c r="O340" s="32">
        <f t="shared" si="140"/>
        <v>11455.037849577755</v>
      </c>
      <c r="P340" s="32">
        <f t="shared" si="140"/>
        <v>11455.037849577755</v>
      </c>
      <c r="Q340" s="32">
        <f t="shared" si="140"/>
        <v>11455.037849577755</v>
      </c>
      <c r="R340" s="32">
        <f t="shared" si="140"/>
        <v>11455.037849577755</v>
      </c>
      <c r="S340" s="32">
        <f t="shared" si="140"/>
        <v>11455.037849577755</v>
      </c>
      <c r="T340" s="32">
        <f t="shared" si="140"/>
        <v>11455.037849577755</v>
      </c>
      <c r="U340" s="32">
        <f t="shared" si="140"/>
        <v>11455.037849577755</v>
      </c>
      <c r="V340" s="32">
        <f t="shared" si="140"/>
        <v>11455.037849577755</v>
      </c>
      <c r="W340" s="572"/>
      <c r="X340" s="572"/>
      <c r="Y340" s="572"/>
      <c r="Z340" s="572"/>
      <c r="AA340" s="572"/>
      <c r="AB340" s="572"/>
      <c r="AC340" s="572"/>
      <c r="AD340" s="572"/>
      <c r="AE340" s="572"/>
    </row>
    <row r="341" spans="3:31" x14ac:dyDescent="0.2">
      <c r="C341" s="5" t="str">
        <f>C284</f>
        <v>Operator</v>
      </c>
      <c r="E341" s="508">
        <f>'Plant model'!E341/4</f>
        <v>13133.687292963918</v>
      </c>
      <c r="F341" s="1" t="s">
        <v>51</v>
      </c>
      <c r="I341" s="32">
        <f t="shared" si="140"/>
        <v>10112.939215582217</v>
      </c>
      <c r="J341" s="32">
        <f t="shared" si="140"/>
        <v>10112.939215582217</v>
      </c>
      <c r="K341" s="32">
        <f t="shared" si="140"/>
        <v>10112.939215582217</v>
      </c>
      <c r="L341" s="32">
        <f t="shared" si="140"/>
        <v>10112.939215582217</v>
      </c>
      <c r="M341" s="32">
        <f t="shared" si="140"/>
        <v>10112.939215582217</v>
      </c>
      <c r="N341" s="32">
        <f t="shared" si="140"/>
        <v>10112.939215582217</v>
      </c>
      <c r="O341" s="32">
        <f t="shared" si="140"/>
        <v>10112.939215582217</v>
      </c>
      <c r="P341" s="32">
        <f t="shared" si="140"/>
        <v>10112.939215582217</v>
      </c>
      <c r="Q341" s="32">
        <f t="shared" si="140"/>
        <v>10112.939215582217</v>
      </c>
      <c r="R341" s="32">
        <f t="shared" si="140"/>
        <v>10112.939215582217</v>
      </c>
      <c r="S341" s="32">
        <f t="shared" si="140"/>
        <v>10112.939215582217</v>
      </c>
      <c r="T341" s="32">
        <f t="shared" si="140"/>
        <v>10112.939215582217</v>
      </c>
      <c r="U341" s="32">
        <f t="shared" si="140"/>
        <v>10112.939215582217</v>
      </c>
      <c r="V341" s="32">
        <f t="shared" si="140"/>
        <v>10112.939215582217</v>
      </c>
      <c r="W341" s="572"/>
      <c r="X341" s="572"/>
      <c r="Y341" s="572"/>
      <c r="Z341" s="572"/>
      <c r="AA341" s="572"/>
      <c r="AB341" s="572"/>
      <c r="AC341" s="572"/>
      <c r="AD341" s="572"/>
      <c r="AE341" s="572"/>
    </row>
    <row r="342" spans="3:31" x14ac:dyDescent="0.2">
      <c r="C342" s="5" t="str">
        <f>C285</f>
        <v>Operator - Casting bay</v>
      </c>
      <c r="E342" s="508">
        <f>'Plant model'!E342/4</f>
        <v>10585.580601308666</v>
      </c>
      <c r="F342" s="1" t="s">
        <v>51</v>
      </c>
      <c r="I342" s="32">
        <f t="shared" si="140"/>
        <v>8150.8970630076728</v>
      </c>
      <c r="J342" s="32">
        <f t="shared" si="140"/>
        <v>8150.8970630076728</v>
      </c>
      <c r="K342" s="32">
        <f t="shared" si="140"/>
        <v>8150.8970630076728</v>
      </c>
      <c r="L342" s="32">
        <f t="shared" si="140"/>
        <v>8150.8970630076728</v>
      </c>
      <c r="M342" s="32">
        <f t="shared" si="140"/>
        <v>8150.8970630076728</v>
      </c>
      <c r="N342" s="32">
        <f t="shared" si="140"/>
        <v>8150.8970630076728</v>
      </c>
      <c r="O342" s="32">
        <f t="shared" si="140"/>
        <v>8150.8970630076728</v>
      </c>
      <c r="P342" s="32">
        <f t="shared" si="140"/>
        <v>8150.8970630076728</v>
      </c>
      <c r="Q342" s="32">
        <f t="shared" si="140"/>
        <v>8150.8970630076728</v>
      </c>
      <c r="R342" s="32">
        <f t="shared" si="140"/>
        <v>8150.8970630076728</v>
      </c>
      <c r="S342" s="32">
        <f t="shared" si="140"/>
        <v>8150.8970630076728</v>
      </c>
      <c r="T342" s="32">
        <f t="shared" si="140"/>
        <v>8150.8970630076728</v>
      </c>
      <c r="U342" s="32">
        <f t="shared" si="140"/>
        <v>8150.8970630076728</v>
      </c>
      <c r="V342" s="32">
        <f t="shared" si="140"/>
        <v>8150.8970630076728</v>
      </c>
      <c r="W342" s="572"/>
      <c r="X342" s="572"/>
      <c r="Y342" s="572"/>
      <c r="Z342" s="572"/>
      <c r="AA342" s="572"/>
      <c r="AB342" s="572"/>
      <c r="AC342" s="572"/>
      <c r="AD342" s="572"/>
      <c r="AE342" s="572"/>
    </row>
    <row r="343" spans="3:31" x14ac:dyDescent="0.2">
      <c r="C343" s="5"/>
      <c r="E343" s="2"/>
    </row>
    <row r="344" spans="3:31" x14ac:dyDescent="0.2">
      <c r="C344" s="47" t="str">
        <f>C288</f>
        <v>HYL</v>
      </c>
      <c r="E344" s="2"/>
    </row>
    <row r="345" spans="3:31" x14ac:dyDescent="0.2">
      <c r="C345" s="5" t="str">
        <f>C289</f>
        <v>Manager of HYL Production</v>
      </c>
      <c r="E345" s="508">
        <f>'Plant model'!E345/4</f>
        <v>33246.269075978598</v>
      </c>
      <c r="F345" s="1" t="s">
        <v>51</v>
      </c>
      <c r="I345" s="32">
        <f t="shared" ref="I345:V348" si="141">$E345*I$14</f>
        <v>25599.62718850352</v>
      </c>
      <c r="J345" s="32">
        <f t="shared" si="141"/>
        <v>25599.62718850352</v>
      </c>
      <c r="K345" s="32">
        <f t="shared" si="141"/>
        <v>25599.62718850352</v>
      </c>
      <c r="L345" s="32">
        <f t="shared" si="141"/>
        <v>25599.62718850352</v>
      </c>
      <c r="M345" s="32">
        <f t="shared" si="141"/>
        <v>25599.62718850352</v>
      </c>
      <c r="N345" s="32">
        <f t="shared" si="141"/>
        <v>25599.62718850352</v>
      </c>
      <c r="O345" s="32">
        <f t="shared" si="141"/>
        <v>25599.62718850352</v>
      </c>
      <c r="P345" s="32">
        <f t="shared" si="141"/>
        <v>25599.62718850352</v>
      </c>
      <c r="Q345" s="32">
        <f t="shared" si="141"/>
        <v>25599.62718850352</v>
      </c>
      <c r="R345" s="32">
        <f t="shared" si="141"/>
        <v>25599.62718850352</v>
      </c>
      <c r="S345" s="32">
        <f t="shared" si="141"/>
        <v>25599.62718850352</v>
      </c>
      <c r="T345" s="32">
        <f t="shared" si="141"/>
        <v>25599.62718850352</v>
      </c>
      <c r="U345" s="32">
        <f t="shared" si="141"/>
        <v>25599.62718850352</v>
      </c>
      <c r="V345" s="32">
        <f t="shared" si="141"/>
        <v>25599.62718850352</v>
      </c>
      <c r="W345" s="572"/>
      <c r="X345" s="572"/>
      <c r="Y345" s="572"/>
      <c r="Z345" s="572"/>
      <c r="AA345" s="572"/>
      <c r="AB345" s="572"/>
      <c r="AC345" s="572"/>
      <c r="AD345" s="572"/>
      <c r="AE345" s="572"/>
    </row>
    <row r="346" spans="3:31" x14ac:dyDescent="0.2">
      <c r="C346" s="5" t="str">
        <f>C290</f>
        <v>Supervisor/Team Leader of HYL</v>
      </c>
      <c r="E346" s="508">
        <f>'Plant model'!E346/4</f>
        <v>17638.854660782563</v>
      </c>
      <c r="F346" s="1" t="s">
        <v>51</v>
      </c>
      <c r="I346" s="32">
        <f t="shared" si="141"/>
        <v>13581.918088802573</v>
      </c>
      <c r="J346" s="32">
        <f t="shared" si="141"/>
        <v>13581.918088802573</v>
      </c>
      <c r="K346" s="32">
        <f t="shared" si="141"/>
        <v>13581.918088802573</v>
      </c>
      <c r="L346" s="32">
        <f t="shared" si="141"/>
        <v>13581.918088802573</v>
      </c>
      <c r="M346" s="32">
        <f t="shared" si="141"/>
        <v>13581.918088802573</v>
      </c>
      <c r="N346" s="32">
        <f t="shared" si="141"/>
        <v>13581.918088802573</v>
      </c>
      <c r="O346" s="32">
        <f t="shared" si="141"/>
        <v>13581.918088802573</v>
      </c>
      <c r="P346" s="32">
        <f t="shared" si="141"/>
        <v>13581.918088802573</v>
      </c>
      <c r="Q346" s="32">
        <f t="shared" si="141"/>
        <v>13581.918088802573</v>
      </c>
      <c r="R346" s="32">
        <f t="shared" si="141"/>
        <v>13581.918088802573</v>
      </c>
      <c r="S346" s="32">
        <f t="shared" si="141"/>
        <v>13581.918088802573</v>
      </c>
      <c r="T346" s="32">
        <f t="shared" si="141"/>
        <v>13581.918088802573</v>
      </c>
      <c r="U346" s="32">
        <f t="shared" si="141"/>
        <v>13581.918088802573</v>
      </c>
      <c r="V346" s="32">
        <f t="shared" si="141"/>
        <v>13581.918088802573</v>
      </c>
      <c r="W346" s="572"/>
      <c r="X346" s="572"/>
      <c r="Y346" s="572"/>
      <c r="Z346" s="572"/>
      <c r="AA346" s="572"/>
      <c r="AB346" s="572"/>
      <c r="AC346" s="572"/>
      <c r="AD346" s="572"/>
      <c r="AE346" s="572"/>
    </row>
    <row r="347" spans="3:31" x14ac:dyDescent="0.2">
      <c r="C347" s="5" t="str">
        <f>C291</f>
        <v>Senior Operator - Mechanical</v>
      </c>
      <c r="E347" s="508">
        <f>'Plant model'!E347/4</f>
        <v>14801.142948928735</v>
      </c>
      <c r="F347" s="1" t="s">
        <v>51</v>
      </c>
      <c r="I347" s="32">
        <f t="shared" si="141"/>
        <v>11396.880070675126</v>
      </c>
      <c r="J347" s="32">
        <f t="shared" si="141"/>
        <v>11396.880070675126</v>
      </c>
      <c r="K347" s="32">
        <f t="shared" si="141"/>
        <v>11396.880070675126</v>
      </c>
      <c r="L347" s="32">
        <f t="shared" si="141"/>
        <v>11396.880070675126</v>
      </c>
      <c r="M347" s="32">
        <f t="shared" si="141"/>
        <v>11396.880070675126</v>
      </c>
      <c r="N347" s="32">
        <f t="shared" si="141"/>
        <v>11396.880070675126</v>
      </c>
      <c r="O347" s="32">
        <f t="shared" si="141"/>
        <v>11396.880070675126</v>
      </c>
      <c r="P347" s="32">
        <f t="shared" si="141"/>
        <v>11396.880070675126</v>
      </c>
      <c r="Q347" s="32">
        <f t="shared" si="141"/>
        <v>11396.880070675126</v>
      </c>
      <c r="R347" s="32">
        <f t="shared" si="141"/>
        <v>11396.880070675126</v>
      </c>
      <c r="S347" s="32">
        <f t="shared" si="141"/>
        <v>11396.880070675126</v>
      </c>
      <c r="T347" s="32">
        <f t="shared" si="141"/>
        <v>11396.880070675126</v>
      </c>
      <c r="U347" s="32">
        <f t="shared" si="141"/>
        <v>11396.880070675126</v>
      </c>
      <c r="V347" s="32">
        <f t="shared" si="141"/>
        <v>11396.880070675126</v>
      </c>
      <c r="W347" s="572"/>
      <c r="X347" s="572"/>
      <c r="Y347" s="572"/>
      <c r="Z347" s="572"/>
      <c r="AA347" s="572"/>
      <c r="AB347" s="572"/>
      <c r="AC347" s="572"/>
      <c r="AD347" s="572"/>
      <c r="AE347" s="572"/>
    </row>
    <row r="348" spans="3:31" x14ac:dyDescent="0.2">
      <c r="C348" s="5" t="str">
        <f>C292</f>
        <v>Operator</v>
      </c>
      <c r="E348" s="508">
        <f>'Plant model'!E348/4</f>
        <v>10585.580601308666</v>
      </c>
      <c r="F348" s="1" t="s">
        <v>51</v>
      </c>
      <c r="I348" s="32">
        <f t="shared" si="141"/>
        <v>8150.8970630076728</v>
      </c>
      <c r="J348" s="32">
        <f t="shared" si="141"/>
        <v>8150.8970630076728</v>
      </c>
      <c r="K348" s="32">
        <f t="shared" si="141"/>
        <v>8150.8970630076728</v>
      </c>
      <c r="L348" s="32">
        <f t="shared" si="141"/>
        <v>8150.8970630076728</v>
      </c>
      <c r="M348" s="32">
        <f t="shared" si="141"/>
        <v>8150.8970630076728</v>
      </c>
      <c r="N348" s="32">
        <f t="shared" si="141"/>
        <v>8150.8970630076728</v>
      </c>
      <c r="O348" s="32">
        <f t="shared" si="141"/>
        <v>8150.8970630076728</v>
      </c>
      <c r="P348" s="32">
        <f t="shared" si="141"/>
        <v>8150.8970630076728</v>
      </c>
      <c r="Q348" s="32">
        <f t="shared" si="141"/>
        <v>8150.8970630076728</v>
      </c>
      <c r="R348" s="32">
        <f t="shared" si="141"/>
        <v>8150.8970630076728</v>
      </c>
      <c r="S348" s="32">
        <f t="shared" si="141"/>
        <v>8150.8970630076728</v>
      </c>
      <c r="T348" s="32">
        <f t="shared" si="141"/>
        <v>8150.8970630076728</v>
      </c>
      <c r="U348" s="32">
        <f t="shared" si="141"/>
        <v>8150.8970630076728</v>
      </c>
      <c r="V348" s="32">
        <f t="shared" si="141"/>
        <v>8150.8970630076728</v>
      </c>
      <c r="W348" s="572"/>
      <c r="X348" s="572"/>
      <c r="Y348" s="572"/>
      <c r="Z348" s="572"/>
      <c r="AA348" s="572"/>
      <c r="AB348" s="572"/>
      <c r="AC348" s="572"/>
      <c r="AD348" s="572"/>
      <c r="AE348" s="572"/>
    </row>
    <row r="349" spans="3:31" x14ac:dyDescent="0.2">
      <c r="C349" s="5"/>
      <c r="E349" s="2"/>
    </row>
    <row r="350" spans="3:31" x14ac:dyDescent="0.2">
      <c r="C350" s="47" t="str">
        <f>C295</f>
        <v>Cold Processing</v>
      </c>
      <c r="E350" s="2"/>
    </row>
    <row r="351" spans="3:31" x14ac:dyDescent="0.2">
      <c r="C351" s="5" t="str">
        <f>C296</f>
        <v>Manager of Cold Processing Production</v>
      </c>
      <c r="E351" s="508">
        <f>'Plant model'!E351/4</f>
        <v>33246.269075978598</v>
      </c>
      <c r="F351" s="1" t="s">
        <v>51</v>
      </c>
      <c r="I351" s="32">
        <f t="shared" ref="I351:V353" si="142">$E351*I$14</f>
        <v>25599.62718850352</v>
      </c>
      <c r="J351" s="32">
        <f t="shared" si="142"/>
        <v>25599.62718850352</v>
      </c>
      <c r="K351" s="32">
        <f t="shared" si="142"/>
        <v>25599.62718850352</v>
      </c>
      <c r="L351" s="32">
        <f t="shared" si="142"/>
        <v>25599.62718850352</v>
      </c>
      <c r="M351" s="32">
        <f t="shared" si="142"/>
        <v>25599.62718850352</v>
      </c>
      <c r="N351" s="32">
        <f t="shared" si="142"/>
        <v>25599.62718850352</v>
      </c>
      <c r="O351" s="32">
        <f t="shared" si="142"/>
        <v>25599.62718850352</v>
      </c>
      <c r="P351" s="32">
        <f t="shared" si="142"/>
        <v>25599.62718850352</v>
      </c>
      <c r="Q351" s="32">
        <f t="shared" si="142"/>
        <v>25599.62718850352</v>
      </c>
      <c r="R351" s="32">
        <f t="shared" si="142"/>
        <v>25599.62718850352</v>
      </c>
      <c r="S351" s="32">
        <f t="shared" si="142"/>
        <v>25599.62718850352</v>
      </c>
      <c r="T351" s="32">
        <f t="shared" si="142"/>
        <v>25599.62718850352</v>
      </c>
      <c r="U351" s="32">
        <f t="shared" si="142"/>
        <v>25599.62718850352</v>
      </c>
      <c r="V351" s="32">
        <f t="shared" si="142"/>
        <v>25599.62718850352</v>
      </c>
      <c r="W351" s="572"/>
      <c r="X351" s="572"/>
      <c r="Y351" s="572"/>
      <c r="Z351" s="572"/>
      <c r="AA351" s="572"/>
      <c r="AB351" s="572"/>
      <c r="AC351" s="572"/>
      <c r="AD351" s="572"/>
      <c r="AE351" s="572"/>
    </row>
    <row r="352" spans="3:31" x14ac:dyDescent="0.2">
      <c r="C352" s="5" t="str">
        <f>C297</f>
        <v xml:space="preserve">Senior Operator </v>
      </c>
      <c r="E352" s="508">
        <f>'Plant model'!E352/4</f>
        <v>13382.287093001823</v>
      </c>
      <c r="F352" s="1" t="s">
        <v>51</v>
      </c>
      <c r="I352" s="32">
        <f t="shared" si="142"/>
        <v>10304.361061611404</v>
      </c>
      <c r="J352" s="32">
        <f t="shared" si="142"/>
        <v>10304.361061611404</v>
      </c>
      <c r="K352" s="32">
        <f t="shared" si="142"/>
        <v>10304.361061611404</v>
      </c>
      <c r="L352" s="32">
        <f t="shared" si="142"/>
        <v>10304.361061611404</v>
      </c>
      <c r="M352" s="32">
        <f t="shared" si="142"/>
        <v>10304.361061611404</v>
      </c>
      <c r="N352" s="32">
        <f t="shared" si="142"/>
        <v>10304.361061611404</v>
      </c>
      <c r="O352" s="32">
        <f t="shared" si="142"/>
        <v>10304.361061611404</v>
      </c>
      <c r="P352" s="32">
        <f t="shared" si="142"/>
        <v>10304.361061611404</v>
      </c>
      <c r="Q352" s="32">
        <f t="shared" si="142"/>
        <v>10304.361061611404</v>
      </c>
      <c r="R352" s="32">
        <f t="shared" si="142"/>
        <v>10304.361061611404</v>
      </c>
      <c r="S352" s="32">
        <f t="shared" si="142"/>
        <v>10304.361061611404</v>
      </c>
      <c r="T352" s="32">
        <f t="shared" si="142"/>
        <v>10304.361061611404</v>
      </c>
      <c r="U352" s="32">
        <f t="shared" si="142"/>
        <v>10304.361061611404</v>
      </c>
      <c r="V352" s="32">
        <f t="shared" si="142"/>
        <v>10304.361061611404</v>
      </c>
      <c r="W352" s="572"/>
      <c r="X352" s="572"/>
      <c r="Y352" s="572"/>
      <c r="Z352" s="572"/>
      <c r="AA352" s="572"/>
      <c r="AB352" s="572"/>
      <c r="AC352" s="572"/>
      <c r="AD352" s="572"/>
      <c r="AE352" s="572"/>
    </row>
    <row r="353" spans="3:31" x14ac:dyDescent="0.2">
      <c r="C353" s="5" t="str">
        <f>C298</f>
        <v>Operator</v>
      </c>
      <c r="E353" s="508">
        <f>'Plant model'!E353/4</f>
        <v>11058.388157894737</v>
      </c>
      <c r="F353" s="1" t="s">
        <v>51</v>
      </c>
      <c r="I353" s="32">
        <f t="shared" si="142"/>
        <v>8514.9588815789466</v>
      </c>
      <c r="J353" s="32">
        <f t="shared" si="142"/>
        <v>8514.9588815789466</v>
      </c>
      <c r="K353" s="32">
        <f t="shared" si="142"/>
        <v>8514.9588815789466</v>
      </c>
      <c r="L353" s="32">
        <f t="shared" si="142"/>
        <v>8514.9588815789466</v>
      </c>
      <c r="M353" s="32">
        <f t="shared" si="142"/>
        <v>8514.9588815789466</v>
      </c>
      <c r="N353" s="32">
        <f t="shared" si="142"/>
        <v>8514.9588815789466</v>
      </c>
      <c r="O353" s="32">
        <f t="shared" si="142"/>
        <v>8514.9588815789466</v>
      </c>
      <c r="P353" s="32">
        <f t="shared" si="142"/>
        <v>8514.9588815789466</v>
      </c>
      <c r="Q353" s="32">
        <f t="shared" si="142"/>
        <v>8514.9588815789466</v>
      </c>
      <c r="R353" s="32">
        <f t="shared" si="142"/>
        <v>8514.9588815789466</v>
      </c>
      <c r="S353" s="32">
        <f t="shared" si="142"/>
        <v>8514.9588815789466</v>
      </c>
      <c r="T353" s="32">
        <f t="shared" si="142"/>
        <v>8514.9588815789466</v>
      </c>
      <c r="U353" s="32">
        <f t="shared" si="142"/>
        <v>8514.9588815789466</v>
      </c>
      <c r="V353" s="32">
        <f t="shared" si="142"/>
        <v>8514.9588815789466</v>
      </c>
      <c r="W353" s="572"/>
      <c r="X353" s="572"/>
      <c r="Y353" s="572"/>
      <c r="Z353" s="572"/>
      <c r="AA353" s="572"/>
      <c r="AB353" s="572"/>
      <c r="AC353" s="572"/>
      <c r="AD353" s="572"/>
      <c r="AE353" s="572"/>
    </row>
    <row r="354" spans="3:31" x14ac:dyDescent="0.2">
      <c r="C354" s="5"/>
      <c r="E354" s="2"/>
    </row>
    <row r="355" spans="3:31" x14ac:dyDescent="0.2">
      <c r="C355" s="47" t="str">
        <f t="shared" ref="C355:C362" si="143">C301</f>
        <v>Shared Personnel</v>
      </c>
      <c r="E355" s="2"/>
    </row>
    <row r="356" spans="3:31" x14ac:dyDescent="0.2">
      <c r="C356" s="5" t="str">
        <f t="shared" si="143"/>
        <v>Maintenance Manager</v>
      </c>
      <c r="E356" s="508">
        <f>'Plant model'!E356/4</f>
        <v>28989.701508197857</v>
      </c>
      <c r="F356" s="1" t="s">
        <v>51</v>
      </c>
      <c r="I356" s="32">
        <f t="shared" ref="I356:V362" si="144">$E356*I$14</f>
        <v>22322.070161312349</v>
      </c>
      <c r="J356" s="32">
        <f t="shared" si="144"/>
        <v>22322.070161312349</v>
      </c>
      <c r="K356" s="32">
        <f t="shared" si="144"/>
        <v>22322.070161312349</v>
      </c>
      <c r="L356" s="32">
        <f t="shared" si="144"/>
        <v>22322.070161312349</v>
      </c>
      <c r="M356" s="32">
        <f t="shared" si="144"/>
        <v>22322.070161312349</v>
      </c>
      <c r="N356" s="32">
        <f t="shared" si="144"/>
        <v>22322.070161312349</v>
      </c>
      <c r="O356" s="32">
        <f t="shared" si="144"/>
        <v>22322.070161312349</v>
      </c>
      <c r="P356" s="32">
        <f t="shared" si="144"/>
        <v>22322.070161312349</v>
      </c>
      <c r="Q356" s="32">
        <f t="shared" si="144"/>
        <v>22322.070161312349</v>
      </c>
      <c r="R356" s="32">
        <f t="shared" si="144"/>
        <v>22322.070161312349</v>
      </c>
      <c r="S356" s="32">
        <f t="shared" si="144"/>
        <v>22322.070161312349</v>
      </c>
      <c r="T356" s="32">
        <f t="shared" si="144"/>
        <v>22322.070161312349</v>
      </c>
      <c r="U356" s="32">
        <f t="shared" si="144"/>
        <v>22322.070161312349</v>
      </c>
      <c r="V356" s="32">
        <f t="shared" si="144"/>
        <v>22322.070161312349</v>
      </c>
      <c r="W356" s="572"/>
      <c r="X356" s="572"/>
      <c r="Y356" s="572"/>
      <c r="Z356" s="572"/>
      <c r="AA356" s="572"/>
      <c r="AB356" s="572"/>
      <c r="AC356" s="572"/>
      <c r="AD356" s="572"/>
      <c r="AE356" s="572"/>
    </row>
    <row r="357" spans="3:31" x14ac:dyDescent="0.2">
      <c r="C357" s="5" t="str">
        <f t="shared" si="143"/>
        <v>Mechanical Engineer</v>
      </c>
      <c r="E357" s="508">
        <f>'Plant model'!E357/4</f>
        <v>23912.120299897902</v>
      </c>
      <c r="F357" s="1" t="s">
        <v>51</v>
      </c>
      <c r="I357" s="32">
        <f t="shared" si="144"/>
        <v>18412.332630921384</v>
      </c>
      <c r="J357" s="32">
        <f t="shared" si="144"/>
        <v>18412.332630921384</v>
      </c>
      <c r="K357" s="32">
        <f t="shared" si="144"/>
        <v>18412.332630921384</v>
      </c>
      <c r="L357" s="32">
        <f t="shared" si="144"/>
        <v>18412.332630921384</v>
      </c>
      <c r="M357" s="32">
        <f t="shared" si="144"/>
        <v>18412.332630921384</v>
      </c>
      <c r="N357" s="32">
        <f t="shared" si="144"/>
        <v>18412.332630921384</v>
      </c>
      <c r="O357" s="32">
        <f t="shared" si="144"/>
        <v>18412.332630921384</v>
      </c>
      <c r="P357" s="32">
        <f t="shared" si="144"/>
        <v>18412.332630921384</v>
      </c>
      <c r="Q357" s="32">
        <f t="shared" si="144"/>
        <v>18412.332630921384</v>
      </c>
      <c r="R357" s="32">
        <f t="shared" si="144"/>
        <v>18412.332630921384</v>
      </c>
      <c r="S357" s="32">
        <f t="shared" si="144"/>
        <v>18412.332630921384</v>
      </c>
      <c r="T357" s="32">
        <f t="shared" si="144"/>
        <v>18412.332630921384</v>
      </c>
      <c r="U357" s="32">
        <f t="shared" si="144"/>
        <v>18412.332630921384</v>
      </c>
      <c r="V357" s="32">
        <f t="shared" si="144"/>
        <v>18412.332630921384</v>
      </c>
      <c r="W357" s="572"/>
      <c r="X357" s="572"/>
      <c r="Y357" s="572"/>
      <c r="Z357" s="572"/>
      <c r="AA357" s="572"/>
      <c r="AB357" s="572"/>
      <c r="AC357" s="572"/>
      <c r="AD357" s="572"/>
      <c r="AE357" s="572"/>
    </row>
    <row r="358" spans="3:31" x14ac:dyDescent="0.2">
      <c r="C358" s="5" t="str">
        <f t="shared" si="143"/>
        <v>Electrical Engineer</v>
      </c>
      <c r="E358" s="508">
        <f>'Plant model'!E358/4</f>
        <v>23912.120299897902</v>
      </c>
      <c r="F358" s="1" t="s">
        <v>51</v>
      </c>
      <c r="I358" s="32">
        <f t="shared" si="144"/>
        <v>18412.332630921384</v>
      </c>
      <c r="J358" s="32">
        <f t="shared" si="144"/>
        <v>18412.332630921384</v>
      </c>
      <c r="K358" s="32">
        <f t="shared" si="144"/>
        <v>18412.332630921384</v>
      </c>
      <c r="L358" s="32">
        <f t="shared" si="144"/>
        <v>18412.332630921384</v>
      </c>
      <c r="M358" s="32">
        <f t="shared" si="144"/>
        <v>18412.332630921384</v>
      </c>
      <c r="N358" s="32">
        <f t="shared" si="144"/>
        <v>18412.332630921384</v>
      </c>
      <c r="O358" s="32">
        <f t="shared" si="144"/>
        <v>18412.332630921384</v>
      </c>
      <c r="P358" s="32">
        <f t="shared" si="144"/>
        <v>18412.332630921384</v>
      </c>
      <c r="Q358" s="32">
        <f t="shared" si="144"/>
        <v>18412.332630921384</v>
      </c>
      <c r="R358" s="32">
        <f t="shared" si="144"/>
        <v>18412.332630921384</v>
      </c>
      <c r="S358" s="32">
        <f t="shared" si="144"/>
        <v>18412.332630921384</v>
      </c>
      <c r="T358" s="32">
        <f t="shared" si="144"/>
        <v>18412.332630921384</v>
      </c>
      <c r="U358" s="32">
        <f t="shared" si="144"/>
        <v>18412.332630921384</v>
      </c>
      <c r="V358" s="32">
        <f t="shared" si="144"/>
        <v>18412.332630921384</v>
      </c>
      <c r="W358" s="572"/>
      <c r="X358" s="572"/>
      <c r="Y358" s="572"/>
      <c r="Z358" s="572"/>
      <c r="AA358" s="572"/>
      <c r="AB358" s="572"/>
      <c r="AC358" s="572"/>
      <c r="AD358" s="572"/>
      <c r="AE358" s="572"/>
    </row>
    <row r="359" spans="3:31" x14ac:dyDescent="0.2">
      <c r="C359" s="5" t="str">
        <f t="shared" si="143"/>
        <v>Information Systems Technician</v>
      </c>
      <c r="E359" s="508">
        <f>'Plant model'!E359/4</f>
        <v>17638.854660782563</v>
      </c>
      <c r="F359" s="1" t="s">
        <v>51</v>
      </c>
      <c r="I359" s="32">
        <f t="shared" si="144"/>
        <v>13581.918088802573</v>
      </c>
      <c r="J359" s="32">
        <f t="shared" si="144"/>
        <v>13581.918088802573</v>
      </c>
      <c r="K359" s="32">
        <f t="shared" si="144"/>
        <v>13581.918088802573</v>
      </c>
      <c r="L359" s="32">
        <f t="shared" si="144"/>
        <v>13581.918088802573</v>
      </c>
      <c r="M359" s="32">
        <f t="shared" si="144"/>
        <v>13581.918088802573</v>
      </c>
      <c r="N359" s="32">
        <f t="shared" si="144"/>
        <v>13581.918088802573</v>
      </c>
      <c r="O359" s="32">
        <f t="shared" si="144"/>
        <v>13581.918088802573</v>
      </c>
      <c r="P359" s="32">
        <f t="shared" si="144"/>
        <v>13581.918088802573</v>
      </c>
      <c r="Q359" s="32">
        <f t="shared" si="144"/>
        <v>13581.918088802573</v>
      </c>
      <c r="R359" s="32">
        <f t="shared" si="144"/>
        <v>13581.918088802573</v>
      </c>
      <c r="S359" s="32">
        <f t="shared" si="144"/>
        <v>13581.918088802573</v>
      </c>
      <c r="T359" s="32">
        <f t="shared" si="144"/>
        <v>13581.918088802573</v>
      </c>
      <c r="U359" s="32">
        <f t="shared" si="144"/>
        <v>13581.918088802573</v>
      </c>
      <c r="V359" s="32">
        <f t="shared" si="144"/>
        <v>13581.918088802573</v>
      </c>
      <c r="W359" s="572"/>
      <c r="X359" s="572"/>
      <c r="Y359" s="572"/>
      <c r="Z359" s="572"/>
      <c r="AA359" s="572"/>
      <c r="AB359" s="572"/>
      <c r="AC359" s="572"/>
      <c r="AD359" s="572"/>
      <c r="AE359" s="572"/>
    </row>
    <row r="360" spans="3:31" x14ac:dyDescent="0.2">
      <c r="C360" s="5" t="str">
        <f t="shared" si="143"/>
        <v>Craft Maintenance - Electrical</v>
      </c>
      <c r="E360" s="508">
        <f>'Plant model'!E360/4</f>
        <v>14801.142948928735</v>
      </c>
      <c r="F360" s="1" t="s">
        <v>51</v>
      </c>
      <c r="I360" s="32">
        <f t="shared" si="144"/>
        <v>11396.880070675126</v>
      </c>
      <c r="J360" s="32">
        <f t="shared" si="144"/>
        <v>11396.880070675126</v>
      </c>
      <c r="K360" s="32">
        <f t="shared" si="144"/>
        <v>11396.880070675126</v>
      </c>
      <c r="L360" s="32">
        <f t="shared" si="144"/>
        <v>11396.880070675126</v>
      </c>
      <c r="M360" s="32">
        <f t="shared" si="144"/>
        <v>11396.880070675126</v>
      </c>
      <c r="N360" s="32">
        <f t="shared" si="144"/>
        <v>11396.880070675126</v>
      </c>
      <c r="O360" s="32">
        <f t="shared" si="144"/>
        <v>11396.880070675126</v>
      </c>
      <c r="P360" s="32">
        <f t="shared" si="144"/>
        <v>11396.880070675126</v>
      </c>
      <c r="Q360" s="32">
        <f t="shared" si="144"/>
        <v>11396.880070675126</v>
      </c>
      <c r="R360" s="32">
        <f t="shared" si="144"/>
        <v>11396.880070675126</v>
      </c>
      <c r="S360" s="32">
        <f t="shared" si="144"/>
        <v>11396.880070675126</v>
      </c>
      <c r="T360" s="32">
        <f t="shared" si="144"/>
        <v>11396.880070675126</v>
      </c>
      <c r="U360" s="32">
        <f t="shared" si="144"/>
        <v>11396.880070675126</v>
      </c>
      <c r="V360" s="32">
        <f t="shared" si="144"/>
        <v>11396.880070675126</v>
      </c>
      <c r="W360" s="572"/>
      <c r="X360" s="572"/>
      <c r="Y360" s="572"/>
      <c r="Z360" s="572"/>
      <c r="AA360" s="572"/>
      <c r="AB360" s="572"/>
      <c r="AC360" s="572"/>
      <c r="AD360" s="572"/>
      <c r="AE360" s="572"/>
    </row>
    <row r="361" spans="3:31" x14ac:dyDescent="0.2">
      <c r="C361" s="5" t="str">
        <f t="shared" si="143"/>
        <v>Craft Maintenance - Mechanical</v>
      </c>
      <c r="E361" s="508">
        <f>'Plant model'!E361/4</f>
        <v>14801.142948928735</v>
      </c>
      <c r="F361" s="1" t="s">
        <v>51</v>
      </c>
      <c r="I361" s="32">
        <f t="shared" si="144"/>
        <v>11396.880070675126</v>
      </c>
      <c r="J361" s="32">
        <f t="shared" si="144"/>
        <v>11396.880070675126</v>
      </c>
      <c r="K361" s="32">
        <f t="shared" si="144"/>
        <v>11396.880070675126</v>
      </c>
      <c r="L361" s="32">
        <f t="shared" si="144"/>
        <v>11396.880070675126</v>
      </c>
      <c r="M361" s="32">
        <f t="shared" si="144"/>
        <v>11396.880070675126</v>
      </c>
      <c r="N361" s="32">
        <f t="shared" si="144"/>
        <v>11396.880070675126</v>
      </c>
      <c r="O361" s="32">
        <f t="shared" si="144"/>
        <v>11396.880070675126</v>
      </c>
      <c r="P361" s="32">
        <f t="shared" si="144"/>
        <v>11396.880070675126</v>
      </c>
      <c r="Q361" s="32">
        <f t="shared" si="144"/>
        <v>11396.880070675126</v>
      </c>
      <c r="R361" s="32">
        <f t="shared" si="144"/>
        <v>11396.880070675126</v>
      </c>
      <c r="S361" s="32">
        <f t="shared" si="144"/>
        <v>11396.880070675126</v>
      </c>
      <c r="T361" s="32">
        <f t="shared" si="144"/>
        <v>11396.880070675126</v>
      </c>
      <c r="U361" s="32">
        <f t="shared" si="144"/>
        <v>11396.880070675126</v>
      </c>
      <c r="V361" s="32">
        <f t="shared" si="144"/>
        <v>11396.880070675126</v>
      </c>
      <c r="W361" s="572"/>
      <c r="X361" s="572"/>
      <c r="Y361" s="572"/>
      <c r="Z361" s="572"/>
      <c r="AA361" s="572"/>
      <c r="AB361" s="572"/>
      <c r="AC361" s="572"/>
      <c r="AD361" s="572"/>
      <c r="AE361" s="572"/>
    </row>
    <row r="362" spans="3:31" x14ac:dyDescent="0.2">
      <c r="C362" s="5" t="str">
        <f t="shared" si="143"/>
        <v>Quality Control Engineer</v>
      </c>
      <c r="E362" s="508">
        <f>'Plant model'!E362/4</f>
        <v>13382.287093001823</v>
      </c>
      <c r="F362" s="1" t="s">
        <v>51</v>
      </c>
      <c r="I362" s="32">
        <f t="shared" si="144"/>
        <v>10304.361061611404</v>
      </c>
      <c r="J362" s="32">
        <f t="shared" si="144"/>
        <v>10304.361061611404</v>
      </c>
      <c r="K362" s="32">
        <f t="shared" si="144"/>
        <v>10304.361061611404</v>
      </c>
      <c r="L362" s="32">
        <f t="shared" si="144"/>
        <v>10304.361061611404</v>
      </c>
      <c r="M362" s="32">
        <f t="shared" si="144"/>
        <v>10304.361061611404</v>
      </c>
      <c r="N362" s="32">
        <f t="shared" si="144"/>
        <v>10304.361061611404</v>
      </c>
      <c r="O362" s="32">
        <f t="shared" si="144"/>
        <v>10304.361061611404</v>
      </c>
      <c r="P362" s="32">
        <f t="shared" si="144"/>
        <v>10304.361061611404</v>
      </c>
      <c r="Q362" s="32">
        <f t="shared" si="144"/>
        <v>10304.361061611404</v>
      </c>
      <c r="R362" s="32">
        <f t="shared" si="144"/>
        <v>10304.361061611404</v>
      </c>
      <c r="S362" s="32">
        <f t="shared" si="144"/>
        <v>10304.361061611404</v>
      </c>
      <c r="T362" s="32">
        <f t="shared" si="144"/>
        <v>10304.361061611404</v>
      </c>
      <c r="U362" s="32">
        <f t="shared" si="144"/>
        <v>10304.361061611404</v>
      </c>
      <c r="V362" s="32">
        <f t="shared" si="144"/>
        <v>10304.361061611404</v>
      </c>
      <c r="W362" s="572"/>
      <c r="X362" s="572"/>
      <c r="Y362" s="572"/>
      <c r="Z362" s="572"/>
      <c r="AA362" s="572"/>
      <c r="AB362" s="572"/>
      <c r="AC362" s="572"/>
      <c r="AD362" s="572"/>
      <c r="AE362" s="572"/>
    </row>
    <row r="363" spans="3:31" x14ac:dyDescent="0.2">
      <c r="C363" s="5"/>
      <c r="E363" s="2"/>
    </row>
    <row r="364" spans="3:31" x14ac:dyDescent="0.2">
      <c r="C364" s="47" t="str">
        <f t="shared" ref="C364:C373" si="145">C311</f>
        <v>Selling, General &amp; Administrative</v>
      </c>
      <c r="E364" s="2"/>
    </row>
    <row r="365" spans="3:31" x14ac:dyDescent="0.2">
      <c r="C365" s="5" t="str">
        <f t="shared" si="145"/>
        <v>CEO, CFO, COO</v>
      </c>
      <c r="E365" s="508">
        <f>'Plant model'!E365/4</f>
        <v>53322.757932480403</v>
      </c>
      <c r="F365" s="1" t="s">
        <v>51</v>
      </c>
      <c r="I365" s="32">
        <f t="shared" ref="I365:V373" si="146">$E365*I$14</f>
        <v>41058.523608009913</v>
      </c>
      <c r="J365" s="32">
        <f t="shared" si="146"/>
        <v>41058.523608009913</v>
      </c>
      <c r="K365" s="32">
        <f t="shared" si="146"/>
        <v>41058.523608009913</v>
      </c>
      <c r="L365" s="32">
        <f t="shared" si="146"/>
        <v>41058.523608009913</v>
      </c>
      <c r="M365" s="32">
        <f t="shared" si="146"/>
        <v>41058.523608009913</v>
      </c>
      <c r="N365" s="32">
        <f t="shared" si="146"/>
        <v>41058.523608009913</v>
      </c>
      <c r="O365" s="32">
        <f t="shared" si="146"/>
        <v>41058.523608009913</v>
      </c>
      <c r="P365" s="32">
        <f t="shared" si="146"/>
        <v>41058.523608009913</v>
      </c>
      <c r="Q365" s="32">
        <f t="shared" si="146"/>
        <v>41058.523608009913</v>
      </c>
      <c r="R365" s="32">
        <f t="shared" si="146"/>
        <v>41058.523608009913</v>
      </c>
      <c r="S365" s="32">
        <f t="shared" si="146"/>
        <v>41058.523608009913</v>
      </c>
      <c r="T365" s="32">
        <f t="shared" si="146"/>
        <v>41058.523608009913</v>
      </c>
      <c r="U365" s="32">
        <f t="shared" si="146"/>
        <v>41058.523608009913</v>
      </c>
      <c r="V365" s="32">
        <f t="shared" si="146"/>
        <v>41058.523608009913</v>
      </c>
      <c r="W365" s="572"/>
      <c r="X365" s="572"/>
      <c r="Y365" s="572"/>
      <c r="Z365" s="572"/>
      <c r="AA365" s="572"/>
      <c r="AB365" s="572"/>
      <c r="AC365" s="572"/>
      <c r="AD365" s="572"/>
      <c r="AE365" s="572"/>
    </row>
    <row r="366" spans="3:31" x14ac:dyDescent="0.2">
      <c r="C366" s="5" t="str">
        <f t="shared" si="145"/>
        <v>Administrator</v>
      </c>
      <c r="E366" s="508">
        <f>'Plant model'!E366/4</f>
        <v>11112.117723518764</v>
      </c>
      <c r="F366" s="1" t="s">
        <v>51</v>
      </c>
      <c r="I366" s="32">
        <f t="shared" si="146"/>
        <v>8556.3306471094493</v>
      </c>
      <c r="J366" s="32">
        <f t="shared" si="146"/>
        <v>8556.3306471094493</v>
      </c>
      <c r="K366" s="32">
        <f t="shared" si="146"/>
        <v>8556.3306471094493</v>
      </c>
      <c r="L366" s="32">
        <f t="shared" si="146"/>
        <v>8556.3306471094493</v>
      </c>
      <c r="M366" s="32">
        <f t="shared" si="146"/>
        <v>8556.3306471094493</v>
      </c>
      <c r="N366" s="32">
        <f t="shared" si="146"/>
        <v>8556.3306471094493</v>
      </c>
      <c r="O366" s="32">
        <f t="shared" si="146"/>
        <v>8556.3306471094493</v>
      </c>
      <c r="P366" s="32">
        <f t="shared" si="146"/>
        <v>8556.3306471094493</v>
      </c>
      <c r="Q366" s="32">
        <f t="shared" si="146"/>
        <v>8556.3306471094493</v>
      </c>
      <c r="R366" s="32">
        <f t="shared" si="146"/>
        <v>8556.3306471094493</v>
      </c>
      <c r="S366" s="32">
        <f t="shared" si="146"/>
        <v>8556.3306471094493</v>
      </c>
      <c r="T366" s="32">
        <f t="shared" si="146"/>
        <v>8556.3306471094493</v>
      </c>
      <c r="U366" s="32">
        <f t="shared" si="146"/>
        <v>8556.3306471094493</v>
      </c>
      <c r="V366" s="32">
        <f t="shared" si="146"/>
        <v>8556.3306471094493</v>
      </c>
      <c r="W366" s="572"/>
      <c r="X366" s="572"/>
      <c r="Y366" s="572"/>
      <c r="Z366" s="572"/>
      <c r="AA366" s="572"/>
      <c r="AB366" s="572"/>
      <c r="AC366" s="572"/>
      <c r="AD366" s="572"/>
      <c r="AE366" s="572"/>
    </row>
    <row r="367" spans="3:31" x14ac:dyDescent="0.2">
      <c r="C367" s="5" t="str">
        <f t="shared" si="145"/>
        <v xml:space="preserve">Accounting </v>
      </c>
      <c r="E367" s="508">
        <f>'Plant model'!E367/4</f>
        <v>20476.566372636385</v>
      </c>
      <c r="F367" s="1" t="s">
        <v>51</v>
      </c>
      <c r="I367" s="32">
        <f t="shared" si="146"/>
        <v>15766.956106930018</v>
      </c>
      <c r="J367" s="32">
        <f t="shared" si="146"/>
        <v>15766.956106930018</v>
      </c>
      <c r="K367" s="32">
        <f t="shared" si="146"/>
        <v>15766.956106930018</v>
      </c>
      <c r="L367" s="32">
        <f t="shared" si="146"/>
        <v>15766.956106930018</v>
      </c>
      <c r="M367" s="32">
        <f t="shared" si="146"/>
        <v>15766.956106930018</v>
      </c>
      <c r="N367" s="32">
        <f t="shared" si="146"/>
        <v>15766.956106930018</v>
      </c>
      <c r="O367" s="32">
        <f t="shared" si="146"/>
        <v>15766.956106930018</v>
      </c>
      <c r="P367" s="32">
        <f t="shared" si="146"/>
        <v>15766.956106930018</v>
      </c>
      <c r="Q367" s="32">
        <f t="shared" si="146"/>
        <v>15766.956106930018</v>
      </c>
      <c r="R367" s="32">
        <f t="shared" si="146"/>
        <v>15766.956106930018</v>
      </c>
      <c r="S367" s="32">
        <f t="shared" si="146"/>
        <v>15766.956106930018</v>
      </c>
      <c r="T367" s="32">
        <f t="shared" si="146"/>
        <v>15766.956106930018</v>
      </c>
      <c r="U367" s="32">
        <f t="shared" si="146"/>
        <v>15766.956106930018</v>
      </c>
      <c r="V367" s="32">
        <f t="shared" si="146"/>
        <v>15766.956106930018</v>
      </c>
      <c r="W367" s="572"/>
      <c r="X367" s="572"/>
      <c r="Y367" s="572"/>
      <c r="Z367" s="572"/>
      <c r="AA367" s="572"/>
      <c r="AB367" s="572"/>
      <c r="AC367" s="572"/>
      <c r="AD367" s="572"/>
      <c r="AE367" s="572"/>
    </row>
    <row r="368" spans="3:31" x14ac:dyDescent="0.2">
      <c r="C368" s="5" t="str">
        <f t="shared" si="145"/>
        <v>Purchasing - Buyer</v>
      </c>
      <c r="E368" s="508">
        <f>'Plant model'!E368/4</f>
        <v>12814.744750631058</v>
      </c>
      <c r="F368" s="1" t="s">
        <v>51</v>
      </c>
      <c r="I368" s="32">
        <f t="shared" si="146"/>
        <v>9867.3534579859152</v>
      </c>
      <c r="J368" s="32">
        <f t="shared" si="146"/>
        <v>9867.3534579859152</v>
      </c>
      <c r="K368" s="32">
        <f t="shared" si="146"/>
        <v>9867.3534579859152</v>
      </c>
      <c r="L368" s="32">
        <f t="shared" si="146"/>
        <v>9867.3534579859152</v>
      </c>
      <c r="M368" s="32">
        <f t="shared" si="146"/>
        <v>9867.3534579859152</v>
      </c>
      <c r="N368" s="32">
        <f t="shared" si="146"/>
        <v>9867.3534579859152</v>
      </c>
      <c r="O368" s="32">
        <f t="shared" si="146"/>
        <v>9867.3534579859152</v>
      </c>
      <c r="P368" s="32">
        <f t="shared" si="146"/>
        <v>9867.3534579859152</v>
      </c>
      <c r="Q368" s="32">
        <f t="shared" si="146"/>
        <v>9867.3534579859152</v>
      </c>
      <c r="R368" s="32">
        <f t="shared" si="146"/>
        <v>9867.3534579859152</v>
      </c>
      <c r="S368" s="32">
        <f t="shared" si="146"/>
        <v>9867.3534579859152</v>
      </c>
      <c r="T368" s="32">
        <f t="shared" si="146"/>
        <v>9867.3534579859152</v>
      </c>
      <c r="U368" s="32">
        <f t="shared" si="146"/>
        <v>9867.3534579859152</v>
      </c>
      <c r="V368" s="32">
        <f t="shared" si="146"/>
        <v>9867.3534579859152</v>
      </c>
      <c r="W368" s="572"/>
      <c r="X368" s="572"/>
      <c r="Y368" s="572"/>
      <c r="Z368" s="572"/>
      <c r="AA368" s="572"/>
      <c r="AB368" s="572"/>
      <c r="AC368" s="572"/>
      <c r="AD368" s="572"/>
      <c r="AE368" s="572"/>
    </row>
    <row r="369" spans="1:37" x14ac:dyDescent="0.2">
      <c r="C369" s="5" t="str">
        <f t="shared" si="145"/>
        <v>Purchasing - Receiving</v>
      </c>
      <c r="E369" s="508">
        <f>'Plant model'!E369/4</f>
        <v>11395.888894704145</v>
      </c>
      <c r="F369" s="1" t="s">
        <v>51</v>
      </c>
      <c r="I369" s="32">
        <f t="shared" si="146"/>
        <v>8774.8344489221927</v>
      </c>
      <c r="J369" s="32">
        <f t="shared" si="146"/>
        <v>8774.8344489221927</v>
      </c>
      <c r="K369" s="32">
        <f t="shared" si="146"/>
        <v>8774.8344489221927</v>
      </c>
      <c r="L369" s="32">
        <f t="shared" si="146"/>
        <v>8774.8344489221927</v>
      </c>
      <c r="M369" s="32">
        <f t="shared" si="146"/>
        <v>8774.8344489221927</v>
      </c>
      <c r="N369" s="32">
        <f t="shared" si="146"/>
        <v>8774.8344489221927</v>
      </c>
      <c r="O369" s="32">
        <f t="shared" si="146"/>
        <v>8774.8344489221927</v>
      </c>
      <c r="P369" s="32">
        <f t="shared" si="146"/>
        <v>8774.8344489221927</v>
      </c>
      <c r="Q369" s="32">
        <f t="shared" si="146"/>
        <v>8774.8344489221927</v>
      </c>
      <c r="R369" s="32">
        <f t="shared" si="146"/>
        <v>8774.8344489221927</v>
      </c>
      <c r="S369" s="32">
        <f t="shared" si="146"/>
        <v>8774.8344489221927</v>
      </c>
      <c r="T369" s="32">
        <f t="shared" si="146"/>
        <v>8774.8344489221927</v>
      </c>
      <c r="U369" s="32">
        <f t="shared" si="146"/>
        <v>8774.8344489221927</v>
      </c>
      <c r="V369" s="32">
        <f t="shared" si="146"/>
        <v>8774.8344489221927</v>
      </c>
      <c r="W369" s="572"/>
      <c r="X369" s="572"/>
      <c r="Y369" s="572"/>
      <c r="Z369" s="572"/>
      <c r="AA369" s="572"/>
      <c r="AB369" s="572"/>
      <c r="AC369" s="572"/>
      <c r="AD369" s="572"/>
      <c r="AE369" s="572"/>
    </row>
    <row r="370" spans="1:37" x14ac:dyDescent="0.2">
      <c r="C370" s="5" t="str">
        <f t="shared" si="145"/>
        <v>Human Resources/Safety Manager/Training</v>
      </c>
      <c r="E370" s="508">
        <f>'Plant model'!E370/4</f>
        <v>19057.710516709474</v>
      </c>
      <c r="F370" s="1" t="s">
        <v>51</v>
      </c>
      <c r="I370" s="32">
        <f t="shared" si="146"/>
        <v>14674.437097866296</v>
      </c>
      <c r="J370" s="32">
        <f t="shared" si="146"/>
        <v>14674.437097866296</v>
      </c>
      <c r="K370" s="32">
        <f t="shared" si="146"/>
        <v>14674.437097866296</v>
      </c>
      <c r="L370" s="32">
        <f t="shared" si="146"/>
        <v>14674.437097866296</v>
      </c>
      <c r="M370" s="32">
        <f t="shared" si="146"/>
        <v>14674.437097866296</v>
      </c>
      <c r="N370" s="32">
        <f t="shared" si="146"/>
        <v>14674.437097866296</v>
      </c>
      <c r="O370" s="32">
        <f t="shared" si="146"/>
        <v>14674.437097866296</v>
      </c>
      <c r="P370" s="32">
        <f t="shared" si="146"/>
        <v>14674.437097866296</v>
      </c>
      <c r="Q370" s="32">
        <f t="shared" si="146"/>
        <v>14674.437097866296</v>
      </c>
      <c r="R370" s="32">
        <f t="shared" si="146"/>
        <v>14674.437097866296</v>
      </c>
      <c r="S370" s="32">
        <f t="shared" si="146"/>
        <v>14674.437097866296</v>
      </c>
      <c r="T370" s="32">
        <f t="shared" si="146"/>
        <v>14674.437097866296</v>
      </c>
      <c r="U370" s="32">
        <f t="shared" si="146"/>
        <v>14674.437097866296</v>
      </c>
      <c r="V370" s="32">
        <f t="shared" si="146"/>
        <v>14674.437097866296</v>
      </c>
      <c r="W370" s="572"/>
      <c r="X370" s="572"/>
      <c r="Y370" s="572"/>
      <c r="Z370" s="572"/>
      <c r="AA370" s="572"/>
      <c r="AB370" s="572"/>
      <c r="AC370" s="572"/>
      <c r="AD370" s="572"/>
      <c r="AE370" s="572"/>
    </row>
    <row r="371" spans="1:37" x14ac:dyDescent="0.2">
      <c r="C371" s="5" t="str">
        <f t="shared" si="145"/>
        <v>Sales Administrator</v>
      </c>
      <c r="E371" s="508">
        <f>'Plant model'!E371/4</f>
        <v>11112.117723518764</v>
      </c>
      <c r="F371" s="1" t="s">
        <v>51</v>
      </c>
      <c r="I371" s="32">
        <f t="shared" si="146"/>
        <v>8556.3306471094493</v>
      </c>
      <c r="J371" s="32">
        <f t="shared" si="146"/>
        <v>8556.3306471094493</v>
      </c>
      <c r="K371" s="32">
        <f t="shared" si="146"/>
        <v>8556.3306471094493</v>
      </c>
      <c r="L371" s="32">
        <f t="shared" si="146"/>
        <v>8556.3306471094493</v>
      </c>
      <c r="M371" s="32">
        <f t="shared" si="146"/>
        <v>8556.3306471094493</v>
      </c>
      <c r="N371" s="32">
        <f t="shared" si="146"/>
        <v>8556.3306471094493</v>
      </c>
      <c r="O371" s="32">
        <f t="shared" si="146"/>
        <v>8556.3306471094493</v>
      </c>
      <c r="P371" s="32">
        <f t="shared" si="146"/>
        <v>8556.3306471094493</v>
      </c>
      <c r="Q371" s="32">
        <f t="shared" si="146"/>
        <v>8556.3306471094493</v>
      </c>
      <c r="R371" s="32">
        <f t="shared" si="146"/>
        <v>8556.3306471094493</v>
      </c>
      <c r="S371" s="32">
        <f t="shared" si="146"/>
        <v>8556.3306471094493</v>
      </c>
      <c r="T371" s="32">
        <f t="shared" si="146"/>
        <v>8556.3306471094493</v>
      </c>
      <c r="U371" s="32">
        <f t="shared" si="146"/>
        <v>8556.3306471094493</v>
      </c>
      <c r="V371" s="32">
        <f t="shared" si="146"/>
        <v>8556.3306471094493</v>
      </c>
      <c r="W371" s="572"/>
      <c r="X371" s="572"/>
      <c r="Y371" s="572"/>
      <c r="Z371" s="572"/>
      <c r="AA371" s="572"/>
      <c r="AB371" s="572"/>
      <c r="AC371" s="572"/>
      <c r="AD371" s="572"/>
      <c r="AE371" s="572"/>
    </row>
    <row r="372" spans="1:37" x14ac:dyDescent="0.2">
      <c r="C372" s="5" t="str">
        <f t="shared" si="145"/>
        <v>Inside Sales</v>
      </c>
      <c r="E372" s="508">
        <f>'Plant model'!E372/4</f>
        <v>17638.854660782563</v>
      </c>
      <c r="F372" s="1" t="s">
        <v>51</v>
      </c>
      <c r="I372" s="32">
        <f t="shared" si="146"/>
        <v>13581.918088802573</v>
      </c>
      <c r="J372" s="32">
        <f t="shared" si="146"/>
        <v>13581.918088802573</v>
      </c>
      <c r="K372" s="32">
        <f t="shared" si="146"/>
        <v>13581.918088802573</v>
      </c>
      <c r="L372" s="32">
        <f t="shared" si="146"/>
        <v>13581.918088802573</v>
      </c>
      <c r="M372" s="32">
        <f t="shared" si="146"/>
        <v>13581.918088802573</v>
      </c>
      <c r="N372" s="32">
        <f t="shared" si="146"/>
        <v>13581.918088802573</v>
      </c>
      <c r="O372" s="32">
        <f t="shared" si="146"/>
        <v>13581.918088802573</v>
      </c>
      <c r="P372" s="32">
        <f t="shared" si="146"/>
        <v>13581.918088802573</v>
      </c>
      <c r="Q372" s="32">
        <f t="shared" si="146"/>
        <v>13581.918088802573</v>
      </c>
      <c r="R372" s="32">
        <f t="shared" si="146"/>
        <v>13581.918088802573</v>
      </c>
      <c r="S372" s="32">
        <f t="shared" si="146"/>
        <v>13581.918088802573</v>
      </c>
      <c r="T372" s="32">
        <f t="shared" si="146"/>
        <v>13581.918088802573</v>
      </c>
      <c r="U372" s="32">
        <f t="shared" si="146"/>
        <v>13581.918088802573</v>
      </c>
      <c r="V372" s="32">
        <f t="shared" si="146"/>
        <v>13581.918088802573</v>
      </c>
      <c r="W372" s="572"/>
      <c r="X372" s="572"/>
      <c r="Y372" s="572"/>
      <c r="Z372" s="572"/>
      <c r="AA372" s="572"/>
      <c r="AB372" s="572"/>
      <c r="AC372" s="572"/>
      <c r="AD372" s="572"/>
      <c r="AE372" s="572"/>
    </row>
    <row r="373" spans="1:37" x14ac:dyDescent="0.2">
      <c r="C373" s="5" t="str">
        <f t="shared" si="145"/>
        <v>Shipping Manager</v>
      </c>
      <c r="E373" s="508">
        <f>'Plant model'!E373/4</f>
        <v>21895.422228563297</v>
      </c>
      <c r="F373" s="1" t="s">
        <v>51</v>
      </c>
      <c r="I373" s="32">
        <f t="shared" si="146"/>
        <v>16859.47511599374</v>
      </c>
      <c r="J373" s="32">
        <f t="shared" si="146"/>
        <v>16859.47511599374</v>
      </c>
      <c r="K373" s="32">
        <f t="shared" si="146"/>
        <v>16859.47511599374</v>
      </c>
      <c r="L373" s="32">
        <f t="shared" si="146"/>
        <v>16859.47511599374</v>
      </c>
      <c r="M373" s="32">
        <f t="shared" si="146"/>
        <v>16859.47511599374</v>
      </c>
      <c r="N373" s="32">
        <f t="shared" si="146"/>
        <v>16859.47511599374</v>
      </c>
      <c r="O373" s="32">
        <f t="shared" si="146"/>
        <v>16859.47511599374</v>
      </c>
      <c r="P373" s="32">
        <f t="shared" si="146"/>
        <v>16859.47511599374</v>
      </c>
      <c r="Q373" s="32">
        <f t="shared" si="146"/>
        <v>16859.47511599374</v>
      </c>
      <c r="R373" s="32">
        <f t="shared" si="146"/>
        <v>16859.47511599374</v>
      </c>
      <c r="S373" s="32">
        <f t="shared" si="146"/>
        <v>16859.47511599374</v>
      </c>
      <c r="T373" s="32">
        <f t="shared" si="146"/>
        <v>16859.47511599374</v>
      </c>
      <c r="U373" s="32">
        <f t="shared" si="146"/>
        <v>16859.47511599374</v>
      </c>
      <c r="V373" s="32">
        <f t="shared" si="146"/>
        <v>16859.47511599374</v>
      </c>
      <c r="W373" s="572"/>
      <c r="X373" s="572"/>
      <c r="Y373" s="572"/>
      <c r="Z373" s="572"/>
      <c r="AA373" s="572"/>
      <c r="AB373" s="572"/>
      <c r="AC373" s="572"/>
      <c r="AD373" s="572"/>
      <c r="AE373" s="572"/>
    </row>
    <row r="374" spans="1:37" x14ac:dyDescent="0.2">
      <c r="A374" s="5"/>
      <c r="B374" s="5"/>
      <c r="C374" s="5"/>
      <c r="E374" s="163"/>
      <c r="F374" s="5"/>
      <c r="G374" s="5"/>
      <c r="H374" s="5"/>
      <c r="I374" s="13"/>
      <c r="J374" s="13"/>
      <c r="K374" s="13"/>
      <c r="L374" s="13"/>
      <c r="M374" s="13"/>
      <c r="N374" s="13"/>
      <c r="O374" s="13"/>
      <c r="P374" s="13"/>
      <c r="Q374" s="13"/>
      <c r="R374" s="13"/>
      <c r="S374" s="13"/>
      <c r="T374" s="13"/>
      <c r="U374" s="13"/>
      <c r="V374" s="13"/>
      <c r="W374" s="572"/>
      <c r="X374" s="572"/>
      <c r="Y374" s="572"/>
      <c r="Z374" s="572"/>
      <c r="AA374" s="572"/>
      <c r="AB374" s="572"/>
      <c r="AC374" s="572"/>
      <c r="AD374" s="572"/>
      <c r="AE374" s="572"/>
      <c r="AK374" s="5"/>
    </row>
    <row r="375" spans="1:37" x14ac:dyDescent="0.2">
      <c r="C375" s="5" t="s">
        <v>336</v>
      </c>
      <c r="E375" s="508">
        <f>'Plant model'!E375/4</f>
        <v>26315.78947368421</v>
      </c>
      <c r="F375" s="1" t="s">
        <v>51</v>
      </c>
      <c r="I375" s="32">
        <f>$E375*I$14</f>
        <v>20263.157894736843</v>
      </c>
      <c r="J375" s="32">
        <f>$E375*J$14</f>
        <v>20263.157894736843</v>
      </c>
      <c r="K375" s="32">
        <f>$E375*K$14</f>
        <v>20263.157894736843</v>
      </c>
      <c r="L375" s="32">
        <f>$E375*L$14</f>
        <v>20263.157894736843</v>
      </c>
      <c r="M375" s="32">
        <f t="shared" ref="M375:V375" si="147">$E375*M$14</f>
        <v>20263.157894736843</v>
      </c>
      <c r="N375" s="32">
        <f t="shared" si="147"/>
        <v>20263.157894736843</v>
      </c>
      <c r="O375" s="32">
        <f t="shared" si="147"/>
        <v>20263.157894736843</v>
      </c>
      <c r="P375" s="32">
        <f t="shared" si="147"/>
        <v>20263.157894736843</v>
      </c>
      <c r="Q375" s="32">
        <f t="shared" si="147"/>
        <v>20263.157894736843</v>
      </c>
      <c r="R375" s="32">
        <f t="shared" si="147"/>
        <v>20263.157894736843</v>
      </c>
      <c r="S375" s="32">
        <f t="shared" si="147"/>
        <v>20263.157894736843</v>
      </c>
      <c r="T375" s="32">
        <f t="shared" si="147"/>
        <v>20263.157894736843</v>
      </c>
      <c r="U375" s="32">
        <f t="shared" si="147"/>
        <v>20263.157894736843</v>
      </c>
      <c r="V375" s="32">
        <f t="shared" si="147"/>
        <v>20263.157894736843</v>
      </c>
      <c r="W375" s="572"/>
      <c r="X375" s="572"/>
      <c r="Y375" s="572"/>
      <c r="Z375" s="572"/>
      <c r="AA375" s="572"/>
      <c r="AB375" s="572"/>
      <c r="AC375" s="572"/>
      <c r="AD375" s="572"/>
      <c r="AE375" s="572"/>
    </row>
    <row r="376" spans="1:37" x14ac:dyDescent="0.2">
      <c r="C376" s="20"/>
      <c r="D376" s="20"/>
    </row>
    <row r="377" spans="1:37" x14ac:dyDescent="0.2">
      <c r="B377" s="24">
        <f>B327+0.01</f>
        <v>3.4299999999999997</v>
      </c>
      <c r="C377" s="20" t="s">
        <v>439</v>
      </c>
      <c r="D377" s="20"/>
    </row>
    <row r="378" spans="1:37" x14ac:dyDescent="0.2">
      <c r="C378" s="20"/>
      <c r="D378" s="20"/>
    </row>
    <row r="379" spans="1:37" x14ac:dyDescent="0.2">
      <c r="C379" s="47" t="str">
        <f t="shared" ref="C379:C386" si="148">C329</f>
        <v>Melting</v>
      </c>
      <c r="D379" s="20"/>
    </row>
    <row r="380" spans="1:37" x14ac:dyDescent="0.2">
      <c r="C380" s="5" t="str">
        <f t="shared" si="148"/>
        <v>Manager of Melting/Casting Production</v>
      </c>
      <c r="D380" s="20"/>
      <c r="E380" s="518">
        <f>'Plant model'!E380</f>
        <v>0.5</v>
      </c>
      <c r="F380" s="1" t="s">
        <v>51</v>
      </c>
      <c r="I380" s="32">
        <f t="shared" ref="I380" si="149">$E380*I330</f>
        <v>14438.592107847344</v>
      </c>
      <c r="J380" s="32">
        <f t="shared" ref="J380" si="150">$E380*J330</f>
        <v>14438.592107847344</v>
      </c>
      <c r="K380" s="32">
        <f t="shared" ref="K380:V386" si="151">$E380*K330</f>
        <v>14438.592107847344</v>
      </c>
      <c r="L380" s="32">
        <f t="shared" si="151"/>
        <v>14438.592107847344</v>
      </c>
      <c r="M380" s="32">
        <f t="shared" si="151"/>
        <v>14438.592107847344</v>
      </c>
      <c r="N380" s="32">
        <f t="shared" si="151"/>
        <v>14438.592107847344</v>
      </c>
      <c r="O380" s="32">
        <f t="shared" si="151"/>
        <v>14438.592107847344</v>
      </c>
      <c r="P380" s="32">
        <f t="shared" si="151"/>
        <v>14438.592107847344</v>
      </c>
      <c r="Q380" s="32">
        <f t="shared" si="151"/>
        <v>14438.592107847344</v>
      </c>
      <c r="R380" s="32">
        <f t="shared" si="151"/>
        <v>14438.592107847344</v>
      </c>
      <c r="S380" s="32">
        <f t="shared" si="151"/>
        <v>14438.592107847344</v>
      </c>
      <c r="T380" s="32">
        <f t="shared" si="151"/>
        <v>14438.592107847344</v>
      </c>
      <c r="U380" s="32">
        <f t="shared" si="151"/>
        <v>14438.592107847344</v>
      </c>
      <c r="V380" s="32">
        <f t="shared" si="151"/>
        <v>14438.592107847344</v>
      </c>
      <c r="W380" s="572"/>
      <c r="X380" s="572"/>
      <c r="Y380" s="572"/>
      <c r="Z380" s="572"/>
      <c r="AA380" s="572"/>
      <c r="AB380" s="572"/>
      <c r="AC380" s="572"/>
      <c r="AD380" s="572"/>
      <c r="AE380" s="572"/>
    </row>
    <row r="381" spans="1:37" x14ac:dyDescent="0.2">
      <c r="C381" s="5" t="str">
        <f t="shared" si="148"/>
        <v>Supervisor/team Leader of Melting &amp; Casting</v>
      </c>
      <c r="D381" s="20"/>
      <c r="E381" s="518">
        <f>'Plant model'!E381</f>
        <v>0.25</v>
      </c>
      <c r="F381" s="1" t="s">
        <v>51</v>
      </c>
      <c r="I381" s="32">
        <f t="shared" ref="I381" si="152">$E381*I331</f>
        <v>3804.6832195968755</v>
      </c>
      <c r="J381" s="32">
        <f t="shared" ref="J381" si="153">$E381*J331</f>
        <v>3804.6832195968755</v>
      </c>
      <c r="K381" s="32">
        <f t="shared" si="151"/>
        <v>3804.6832195968755</v>
      </c>
      <c r="L381" s="32">
        <f t="shared" si="151"/>
        <v>3804.6832195968755</v>
      </c>
      <c r="M381" s="32">
        <f t="shared" si="151"/>
        <v>3804.6832195968755</v>
      </c>
      <c r="N381" s="32">
        <f t="shared" si="151"/>
        <v>3804.6832195968755</v>
      </c>
      <c r="O381" s="32">
        <f t="shared" si="151"/>
        <v>3804.6832195968755</v>
      </c>
      <c r="P381" s="32">
        <f t="shared" si="151"/>
        <v>3804.6832195968755</v>
      </c>
      <c r="Q381" s="32">
        <f t="shared" si="151"/>
        <v>3804.6832195968755</v>
      </c>
      <c r="R381" s="32">
        <f t="shared" si="151"/>
        <v>3804.6832195968755</v>
      </c>
      <c r="S381" s="32">
        <f t="shared" si="151"/>
        <v>3804.6832195968755</v>
      </c>
      <c r="T381" s="32">
        <f t="shared" si="151"/>
        <v>3804.6832195968755</v>
      </c>
      <c r="U381" s="32">
        <f t="shared" si="151"/>
        <v>3804.6832195968755</v>
      </c>
      <c r="V381" s="32">
        <f t="shared" si="151"/>
        <v>3804.6832195968755</v>
      </c>
      <c r="W381" s="572"/>
      <c r="X381" s="572"/>
      <c r="Y381" s="572"/>
      <c r="Z381" s="572"/>
      <c r="AA381" s="572"/>
      <c r="AB381" s="572"/>
      <c r="AC381" s="572"/>
      <c r="AD381" s="572"/>
      <c r="AE381" s="572"/>
    </row>
    <row r="382" spans="1:37" x14ac:dyDescent="0.2">
      <c r="C382" s="5" t="str">
        <f t="shared" si="148"/>
        <v>Senior Operator - EAF</v>
      </c>
      <c r="D382" s="20"/>
      <c r="E382" s="518">
        <f>'Plant model'!E382</f>
        <v>0.25</v>
      </c>
      <c r="F382" s="1" t="s">
        <v>51</v>
      </c>
      <c r="I382" s="32">
        <f t="shared" ref="I382" si="154">$E382*I332</f>
        <v>2849.2200176687816</v>
      </c>
      <c r="J382" s="32">
        <f t="shared" ref="J382" si="155">$E382*J332</f>
        <v>2849.2200176687816</v>
      </c>
      <c r="K382" s="32">
        <f t="shared" si="151"/>
        <v>2849.2200176687816</v>
      </c>
      <c r="L382" s="32">
        <f t="shared" si="151"/>
        <v>2849.2200176687816</v>
      </c>
      <c r="M382" s="32">
        <f t="shared" si="151"/>
        <v>2849.2200176687816</v>
      </c>
      <c r="N382" s="32">
        <f t="shared" si="151"/>
        <v>2849.2200176687816</v>
      </c>
      <c r="O382" s="32">
        <f t="shared" si="151"/>
        <v>2849.2200176687816</v>
      </c>
      <c r="P382" s="32">
        <f t="shared" si="151"/>
        <v>2849.2200176687816</v>
      </c>
      <c r="Q382" s="32">
        <f t="shared" si="151"/>
        <v>2849.2200176687816</v>
      </c>
      <c r="R382" s="32">
        <f t="shared" si="151"/>
        <v>2849.2200176687816</v>
      </c>
      <c r="S382" s="32">
        <f t="shared" si="151"/>
        <v>2849.2200176687816</v>
      </c>
      <c r="T382" s="32">
        <f t="shared" si="151"/>
        <v>2849.2200176687816</v>
      </c>
      <c r="U382" s="32">
        <f t="shared" si="151"/>
        <v>2849.2200176687816</v>
      </c>
      <c r="V382" s="32">
        <f t="shared" si="151"/>
        <v>2849.2200176687816</v>
      </c>
      <c r="W382" s="572"/>
      <c r="X382" s="572"/>
      <c r="Y382" s="572"/>
      <c r="Z382" s="572"/>
      <c r="AA382" s="572"/>
      <c r="AB382" s="572"/>
      <c r="AC382" s="572"/>
      <c r="AD382" s="572"/>
      <c r="AE382" s="572"/>
    </row>
    <row r="383" spans="1:37" x14ac:dyDescent="0.2">
      <c r="C383" s="5" t="str">
        <f t="shared" si="148"/>
        <v>Operator - Ladle Crane</v>
      </c>
      <c r="D383" s="20"/>
      <c r="E383" s="518">
        <f>'Plant model'!E383</f>
        <v>0.25</v>
      </c>
      <c r="F383" s="1" t="s">
        <v>51</v>
      </c>
      <c r="I383" s="32">
        <f t="shared" ref="I383" si="156">$E383*I333</f>
        <v>2576.0902654028509</v>
      </c>
      <c r="J383" s="32">
        <f t="shared" ref="J383" si="157">$E383*J333</f>
        <v>2576.0902654028509</v>
      </c>
      <c r="K383" s="32">
        <f t="shared" si="151"/>
        <v>2576.0902654028509</v>
      </c>
      <c r="L383" s="32">
        <f t="shared" si="151"/>
        <v>2576.0902654028509</v>
      </c>
      <c r="M383" s="32">
        <f t="shared" si="151"/>
        <v>2576.0902654028509</v>
      </c>
      <c r="N383" s="32">
        <f t="shared" si="151"/>
        <v>2576.0902654028509</v>
      </c>
      <c r="O383" s="32">
        <f t="shared" si="151"/>
        <v>2576.0902654028509</v>
      </c>
      <c r="P383" s="32">
        <f t="shared" si="151"/>
        <v>2576.0902654028509</v>
      </c>
      <c r="Q383" s="32">
        <f t="shared" si="151"/>
        <v>2576.0902654028509</v>
      </c>
      <c r="R383" s="32">
        <f t="shared" si="151"/>
        <v>2576.0902654028509</v>
      </c>
      <c r="S383" s="32">
        <f t="shared" si="151"/>
        <v>2576.0902654028509</v>
      </c>
      <c r="T383" s="32">
        <f t="shared" si="151"/>
        <v>2576.0902654028509</v>
      </c>
      <c r="U383" s="32">
        <f t="shared" si="151"/>
        <v>2576.0902654028509</v>
      </c>
      <c r="V383" s="32">
        <f t="shared" si="151"/>
        <v>2576.0902654028509</v>
      </c>
      <c r="W383" s="572"/>
      <c r="X383" s="572"/>
      <c r="Y383" s="572"/>
      <c r="Z383" s="572"/>
      <c r="AA383" s="572"/>
      <c r="AB383" s="572"/>
      <c r="AC383" s="572"/>
      <c r="AD383" s="572"/>
      <c r="AE383" s="572"/>
    </row>
    <row r="384" spans="1:37" x14ac:dyDescent="0.2">
      <c r="C384" s="5" t="str">
        <f t="shared" si="148"/>
        <v>Operator</v>
      </c>
      <c r="D384" s="20"/>
      <c r="E384" s="518">
        <f>'Plant model'!E384</f>
        <v>0.25</v>
      </c>
      <c r="F384" s="1" t="s">
        <v>51</v>
      </c>
      <c r="I384" s="32">
        <f t="shared" ref="I384" si="158">$E384*I334</f>
        <v>2350.6248276617289</v>
      </c>
      <c r="J384" s="32">
        <f t="shared" ref="J384" si="159">$E384*J334</f>
        <v>2350.6248276617289</v>
      </c>
      <c r="K384" s="32">
        <f t="shared" si="151"/>
        <v>2350.6248276617289</v>
      </c>
      <c r="L384" s="32">
        <f t="shared" si="151"/>
        <v>2350.6248276617289</v>
      </c>
      <c r="M384" s="32">
        <f t="shared" si="151"/>
        <v>2350.6248276617289</v>
      </c>
      <c r="N384" s="32">
        <f t="shared" si="151"/>
        <v>2350.6248276617289</v>
      </c>
      <c r="O384" s="32">
        <f t="shared" si="151"/>
        <v>2350.6248276617289</v>
      </c>
      <c r="P384" s="32">
        <f t="shared" si="151"/>
        <v>2350.6248276617289</v>
      </c>
      <c r="Q384" s="32">
        <f t="shared" si="151"/>
        <v>2350.6248276617289</v>
      </c>
      <c r="R384" s="32">
        <f t="shared" si="151"/>
        <v>2350.6248276617289</v>
      </c>
      <c r="S384" s="32">
        <f t="shared" si="151"/>
        <v>2350.6248276617289</v>
      </c>
      <c r="T384" s="32">
        <f t="shared" si="151"/>
        <v>2350.6248276617289</v>
      </c>
      <c r="U384" s="32">
        <f t="shared" si="151"/>
        <v>2350.6248276617289</v>
      </c>
      <c r="V384" s="32">
        <f t="shared" si="151"/>
        <v>2350.6248276617289</v>
      </c>
      <c r="W384" s="572"/>
      <c r="X384" s="572"/>
      <c r="Y384" s="572"/>
      <c r="Z384" s="572"/>
      <c r="AA384" s="572"/>
      <c r="AB384" s="572"/>
      <c r="AC384" s="572"/>
      <c r="AD384" s="572"/>
      <c r="AE384" s="572"/>
    </row>
    <row r="385" spans="3:31" x14ac:dyDescent="0.2">
      <c r="C385" s="5" t="str">
        <f t="shared" si="148"/>
        <v>Team Leader - Refractory</v>
      </c>
      <c r="D385" s="20"/>
      <c r="E385" s="518">
        <f>'Plant model'!E385</f>
        <v>0.25</v>
      </c>
      <c r="F385" s="1" t="s">
        <v>51</v>
      </c>
      <c r="I385" s="32">
        <f t="shared" ref="I385" si="160">$E385*I335</f>
        <v>2437.8128517577743</v>
      </c>
      <c r="J385" s="32">
        <f t="shared" ref="J385" si="161">$E385*J335</f>
        <v>2437.8128517577743</v>
      </c>
      <c r="K385" s="32">
        <f t="shared" si="151"/>
        <v>2437.8128517577743</v>
      </c>
      <c r="L385" s="32">
        <f t="shared" si="151"/>
        <v>2437.8128517577743</v>
      </c>
      <c r="M385" s="32">
        <f t="shared" si="151"/>
        <v>2437.8128517577743</v>
      </c>
      <c r="N385" s="32">
        <f t="shared" si="151"/>
        <v>2437.8128517577743</v>
      </c>
      <c r="O385" s="32">
        <f t="shared" si="151"/>
        <v>2437.8128517577743</v>
      </c>
      <c r="P385" s="32">
        <f t="shared" si="151"/>
        <v>2437.8128517577743</v>
      </c>
      <c r="Q385" s="32">
        <f t="shared" si="151"/>
        <v>2437.8128517577743</v>
      </c>
      <c r="R385" s="32">
        <f t="shared" si="151"/>
        <v>2437.8128517577743</v>
      </c>
      <c r="S385" s="32">
        <f t="shared" si="151"/>
        <v>2437.8128517577743</v>
      </c>
      <c r="T385" s="32">
        <f t="shared" si="151"/>
        <v>2437.8128517577743</v>
      </c>
      <c r="U385" s="32">
        <f t="shared" si="151"/>
        <v>2437.8128517577743</v>
      </c>
      <c r="V385" s="32">
        <f t="shared" si="151"/>
        <v>2437.8128517577743</v>
      </c>
      <c r="W385" s="572"/>
      <c r="X385" s="572"/>
      <c r="Y385" s="572"/>
      <c r="Z385" s="572"/>
      <c r="AA385" s="572"/>
      <c r="AB385" s="572"/>
      <c r="AC385" s="572"/>
      <c r="AD385" s="572"/>
      <c r="AE385" s="572"/>
    </row>
    <row r="386" spans="3:31" x14ac:dyDescent="0.2">
      <c r="C386" s="5" t="str">
        <f t="shared" si="148"/>
        <v>Operator - Refractory</v>
      </c>
      <c r="D386" s="20"/>
      <c r="E386" s="518">
        <f>'Plant model'!E386</f>
        <v>0.25</v>
      </c>
      <c r="F386" s="1" t="s">
        <v>51</v>
      </c>
      <c r="I386" s="32">
        <f t="shared" ref="I386" si="162">$E386*I336</f>
        <v>2113.3063621769807</v>
      </c>
      <c r="J386" s="32">
        <f t="shared" ref="J386" si="163">$E386*J336</f>
        <v>2113.3063621769807</v>
      </c>
      <c r="K386" s="32">
        <f t="shared" si="151"/>
        <v>2113.3063621769807</v>
      </c>
      <c r="L386" s="32">
        <f t="shared" si="151"/>
        <v>2113.3063621769807</v>
      </c>
      <c r="M386" s="32">
        <f t="shared" si="151"/>
        <v>2113.3063621769807</v>
      </c>
      <c r="N386" s="32">
        <f t="shared" si="151"/>
        <v>2113.3063621769807</v>
      </c>
      <c r="O386" s="32">
        <f t="shared" si="151"/>
        <v>2113.3063621769807</v>
      </c>
      <c r="P386" s="32">
        <f t="shared" si="151"/>
        <v>2113.3063621769807</v>
      </c>
      <c r="Q386" s="32">
        <f t="shared" si="151"/>
        <v>2113.3063621769807</v>
      </c>
      <c r="R386" s="32">
        <f t="shared" si="151"/>
        <v>2113.3063621769807</v>
      </c>
      <c r="S386" s="32">
        <f t="shared" si="151"/>
        <v>2113.3063621769807</v>
      </c>
      <c r="T386" s="32">
        <f t="shared" si="151"/>
        <v>2113.3063621769807</v>
      </c>
      <c r="U386" s="32">
        <f t="shared" si="151"/>
        <v>2113.3063621769807</v>
      </c>
      <c r="V386" s="32">
        <f t="shared" si="151"/>
        <v>2113.3063621769807</v>
      </c>
      <c r="W386" s="572"/>
      <c r="X386" s="572"/>
      <c r="Y386" s="572"/>
      <c r="Z386" s="572"/>
      <c r="AA386" s="572"/>
      <c r="AB386" s="572"/>
      <c r="AC386" s="572"/>
      <c r="AD386" s="572"/>
      <c r="AE386" s="572"/>
    </row>
    <row r="387" spans="3:31" x14ac:dyDescent="0.2">
      <c r="C387" s="20"/>
      <c r="D387" s="20"/>
    </row>
    <row r="388" spans="3:31" x14ac:dyDescent="0.2">
      <c r="C388" s="47" t="str">
        <f>C339</f>
        <v>Casting</v>
      </c>
      <c r="D388" s="20"/>
    </row>
    <row r="389" spans="3:31" x14ac:dyDescent="0.2">
      <c r="C389" s="5" t="str">
        <f>C340</f>
        <v xml:space="preserve">Senior Casting Operator </v>
      </c>
      <c r="D389" s="20"/>
      <c r="E389" s="518">
        <f>'Plant model'!E389</f>
        <v>0.25</v>
      </c>
      <c r="F389" s="1" t="s">
        <v>51</v>
      </c>
      <c r="I389" s="32">
        <f t="shared" ref="I389" si="164">$E389*I340</f>
        <v>2863.7594623944387</v>
      </c>
      <c r="J389" s="32">
        <f t="shared" ref="J389" si="165">$E389*J340</f>
        <v>2863.7594623944387</v>
      </c>
      <c r="K389" s="32">
        <f t="shared" ref="K389:V391" si="166">$E389*K340</f>
        <v>2863.7594623944387</v>
      </c>
      <c r="L389" s="32">
        <f t="shared" si="166"/>
        <v>2863.7594623944387</v>
      </c>
      <c r="M389" s="32">
        <f t="shared" si="166"/>
        <v>2863.7594623944387</v>
      </c>
      <c r="N389" s="32">
        <f t="shared" si="166"/>
        <v>2863.7594623944387</v>
      </c>
      <c r="O389" s="32">
        <f t="shared" si="166"/>
        <v>2863.7594623944387</v>
      </c>
      <c r="P389" s="32">
        <f t="shared" si="166"/>
        <v>2863.7594623944387</v>
      </c>
      <c r="Q389" s="32">
        <f t="shared" si="166"/>
        <v>2863.7594623944387</v>
      </c>
      <c r="R389" s="32">
        <f t="shared" si="166"/>
        <v>2863.7594623944387</v>
      </c>
      <c r="S389" s="32">
        <f t="shared" si="166"/>
        <v>2863.7594623944387</v>
      </c>
      <c r="T389" s="32">
        <f t="shared" si="166"/>
        <v>2863.7594623944387</v>
      </c>
      <c r="U389" s="32">
        <f t="shared" si="166"/>
        <v>2863.7594623944387</v>
      </c>
      <c r="V389" s="32">
        <f t="shared" si="166"/>
        <v>2863.7594623944387</v>
      </c>
      <c r="W389" s="572"/>
      <c r="X389" s="572"/>
      <c r="Y389" s="572"/>
      <c r="Z389" s="572"/>
      <c r="AA389" s="572"/>
      <c r="AB389" s="572"/>
      <c r="AC389" s="572"/>
      <c r="AD389" s="572"/>
      <c r="AE389" s="572"/>
    </row>
    <row r="390" spans="3:31" x14ac:dyDescent="0.2">
      <c r="C390" s="5" t="str">
        <f>C341</f>
        <v>Operator</v>
      </c>
      <c r="D390" s="20"/>
      <c r="E390" s="518">
        <f>'Plant model'!E390</f>
        <v>0.25</v>
      </c>
      <c r="F390" s="1" t="s">
        <v>51</v>
      </c>
      <c r="I390" s="32">
        <f t="shared" ref="I390" si="167">$E390*I341</f>
        <v>2528.2348038955543</v>
      </c>
      <c r="J390" s="32">
        <f t="shared" ref="J390" si="168">$E390*J341</f>
        <v>2528.2348038955543</v>
      </c>
      <c r="K390" s="32">
        <f t="shared" si="166"/>
        <v>2528.2348038955543</v>
      </c>
      <c r="L390" s="32">
        <f t="shared" si="166"/>
        <v>2528.2348038955543</v>
      </c>
      <c r="M390" s="32">
        <f t="shared" si="166"/>
        <v>2528.2348038955543</v>
      </c>
      <c r="N390" s="32">
        <f t="shared" si="166"/>
        <v>2528.2348038955543</v>
      </c>
      <c r="O390" s="32">
        <f t="shared" si="166"/>
        <v>2528.2348038955543</v>
      </c>
      <c r="P390" s="32">
        <f t="shared" si="166"/>
        <v>2528.2348038955543</v>
      </c>
      <c r="Q390" s="32">
        <f t="shared" si="166"/>
        <v>2528.2348038955543</v>
      </c>
      <c r="R390" s="32">
        <f t="shared" si="166"/>
        <v>2528.2348038955543</v>
      </c>
      <c r="S390" s="32">
        <f t="shared" si="166"/>
        <v>2528.2348038955543</v>
      </c>
      <c r="T390" s="32">
        <f t="shared" si="166"/>
        <v>2528.2348038955543</v>
      </c>
      <c r="U390" s="32">
        <f t="shared" si="166"/>
        <v>2528.2348038955543</v>
      </c>
      <c r="V390" s="32">
        <f t="shared" si="166"/>
        <v>2528.2348038955543</v>
      </c>
      <c r="W390" s="572"/>
      <c r="X390" s="572"/>
      <c r="Y390" s="572"/>
      <c r="Z390" s="572"/>
      <c r="AA390" s="572"/>
      <c r="AB390" s="572"/>
      <c r="AC390" s="572"/>
      <c r="AD390" s="572"/>
      <c r="AE390" s="572"/>
    </row>
    <row r="391" spans="3:31" x14ac:dyDescent="0.2">
      <c r="C391" s="5" t="str">
        <f>C342</f>
        <v>Operator - Casting bay</v>
      </c>
      <c r="D391" s="20"/>
      <c r="E391" s="518">
        <f>'Plant model'!E391</f>
        <v>0.25</v>
      </c>
      <c r="F391" s="1" t="s">
        <v>51</v>
      </c>
      <c r="I391" s="32">
        <f t="shared" ref="I391" si="169">$E391*I342</f>
        <v>2037.7242657519182</v>
      </c>
      <c r="J391" s="32">
        <f t="shared" ref="J391" si="170">$E391*J342</f>
        <v>2037.7242657519182</v>
      </c>
      <c r="K391" s="32">
        <f t="shared" si="166"/>
        <v>2037.7242657519182</v>
      </c>
      <c r="L391" s="32">
        <f t="shared" si="166"/>
        <v>2037.7242657519182</v>
      </c>
      <c r="M391" s="32">
        <f t="shared" si="166"/>
        <v>2037.7242657519182</v>
      </c>
      <c r="N391" s="32">
        <f t="shared" si="166"/>
        <v>2037.7242657519182</v>
      </c>
      <c r="O391" s="32">
        <f t="shared" si="166"/>
        <v>2037.7242657519182</v>
      </c>
      <c r="P391" s="32">
        <f t="shared" si="166"/>
        <v>2037.7242657519182</v>
      </c>
      <c r="Q391" s="32">
        <f t="shared" si="166"/>
        <v>2037.7242657519182</v>
      </c>
      <c r="R391" s="32">
        <f t="shared" si="166"/>
        <v>2037.7242657519182</v>
      </c>
      <c r="S391" s="32">
        <f t="shared" si="166"/>
        <v>2037.7242657519182</v>
      </c>
      <c r="T391" s="32">
        <f t="shared" si="166"/>
        <v>2037.7242657519182</v>
      </c>
      <c r="U391" s="32">
        <f t="shared" si="166"/>
        <v>2037.7242657519182</v>
      </c>
      <c r="V391" s="32">
        <f t="shared" si="166"/>
        <v>2037.7242657519182</v>
      </c>
      <c r="W391" s="572"/>
      <c r="X391" s="572"/>
      <c r="Y391" s="572"/>
      <c r="Z391" s="572"/>
      <c r="AA391" s="572"/>
      <c r="AB391" s="572"/>
      <c r="AC391" s="572"/>
      <c r="AD391" s="572"/>
      <c r="AE391" s="572"/>
    </row>
    <row r="392" spans="3:31" x14ac:dyDescent="0.2">
      <c r="C392" s="20"/>
      <c r="D392" s="20"/>
    </row>
    <row r="393" spans="3:31" x14ac:dyDescent="0.2">
      <c r="C393" s="47" t="str">
        <f>C344</f>
        <v>HYL</v>
      </c>
      <c r="D393" s="20"/>
    </row>
    <row r="394" spans="3:31" x14ac:dyDescent="0.2">
      <c r="C394" s="5" t="str">
        <f>C345</f>
        <v>Manager of HYL Production</v>
      </c>
      <c r="D394" s="20"/>
      <c r="E394" s="518">
        <f>'Plant model'!E394</f>
        <v>0.5</v>
      </c>
      <c r="F394" s="1" t="s">
        <v>51</v>
      </c>
      <c r="I394" s="32">
        <f t="shared" ref="I394" si="171">$E394*I345</f>
        <v>12799.81359425176</v>
      </c>
      <c r="J394" s="32">
        <f t="shared" ref="J394" si="172">$E394*J345</f>
        <v>12799.81359425176</v>
      </c>
      <c r="K394" s="32">
        <f t="shared" ref="K394:V397" si="173">$E394*K345</f>
        <v>12799.81359425176</v>
      </c>
      <c r="L394" s="32">
        <f t="shared" si="173"/>
        <v>12799.81359425176</v>
      </c>
      <c r="M394" s="32">
        <f t="shared" si="173"/>
        <v>12799.81359425176</v>
      </c>
      <c r="N394" s="32">
        <f t="shared" si="173"/>
        <v>12799.81359425176</v>
      </c>
      <c r="O394" s="32">
        <f t="shared" si="173"/>
        <v>12799.81359425176</v>
      </c>
      <c r="P394" s="32">
        <f t="shared" si="173"/>
        <v>12799.81359425176</v>
      </c>
      <c r="Q394" s="32">
        <f t="shared" si="173"/>
        <v>12799.81359425176</v>
      </c>
      <c r="R394" s="32">
        <f t="shared" si="173"/>
        <v>12799.81359425176</v>
      </c>
      <c r="S394" s="32">
        <f t="shared" si="173"/>
        <v>12799.81359425176</v>
      </c>
      <c r="T394" s="32">
        <f t="shared" si="173"/>
        <v>12799.81359425176</v>
      </c>
      <c r="U394" s="32">
        <f t="shared" si="173"/>
        <v>12799.81359425176</v>
      </c>
      <c r="V394" s="32">
        <f t="shared" si="173"/>
        <v>12799.81359425176</v>
      </c>
      <c r="W394" s="572"/>
      <c r="X394" s="572"/>
      <c r="Y394" s="572"/>
      <c r="Z394" s="572"/>
      <c r="AA394" s="572"/>
      <c r="AB394" s="572"/>
      <c r="AC394" s="572"/>
      <c r="AD394" s="572"/>
      <c r="AE394" s="572"/>
    </row>
    <row r="395" spans="3:31" x14ac:dyDescent="0.2">
      <c r="C395" s="5" t="str">
        <f>C346</f>
        <v>Supervisor/Team Leader of HYL</v>
      </c>
      <c r="D395" s="20"/>
      <c r="E395" s="518">
        <f>'Plant model'!E395</f>
        <v>0.25</v>
      </c>
      <c r="F395" s="1" t="s">
        <v>51</v>
      </c>
      <c r="I395" s="32">
        <f t="shared" ref="I395" si="174">$E395*I346</f>
        <v>3395.4795222006433</v>
      </c>
      <c r="J395" s="32">
        <f t="shared" ref="J395" si="175">$E395*J346</f>
        <v>3395.4795222006433</v>
      </c>
      <c r="K395" s="32">
        <f t="shared" si="173"/>
        <v>3395.4795222006433</v>
      </c>
      <c r="L395" s="32">
        <f t="shared" si="173"/>
        <v>3395.4795222006433</v>
      </c>
      <c r="M395" s="32">
        <f t="shared" si="173"/>
        <v>3395.4795222006433</v>
      </c>
      <c r="N395" s="32">
        <f t="shared" si="173"/>
        <v>3395.4795222006433</v>
      </c>
      <c r="O395" s="32">
        <f t="shared" si="173"/>
        <v>3395.4795222006433</v>
      </c>
      <c r="P395" s="32">
        <f t="shared" si="173"/>
        <v>3395.4795222006433</v>
      </c>
      <c r="Q395" s="32">
        <f t="shared" si="173"/>
        <v>3395.4795222006433</v>
      </c>
      <c r="R395" s="32">
        <f t="shared" si="173"/>
        <v>3395.4795222006433</v>
      </c>
      <c r="S395" s="32">
        <f t="shared" si="173"/>
        <v>3395.4795222006433</v>
      </c>
      <c r="T395" s="32">
        <f t="shared" si="173"/>
        <v>3395.4795222006433</v>
      </c>
      <c r="U395" s="32">
        <f t="shared" si="173"/>
        <v>3395.4795222006433</v>
      </c>
      <c r="V395" s="32">
        <f t="shared" si="173"/>
        <v>3395.4795222006433</v>
      </c>
      <c r="W395" s="572"/>
      <c r="X395" s="572"/>
      <c r="Y395" s="572"/>
      <c r="Z395" s="572"/>
      <c r="AA395" s="572"/>
      <c r="AB395" s="572"/>
      <c r="AC395" s="572"/>
      <c r="AD395" s="572"/>
      <c r="AE395" s="572"/>
    </row>
    <row r="396" spans="3:31" x14ac:dyDescent="0.2">
      <c r="C396" s="5" t="str">
        <f>C347</f>
        <v>Senior Operator - Mechanical</v>
      </c>
      <c r="D396" s="20"/>
      <c r="E396" s="518">
        <f>'Plant model'!E396</f>
        <v>0.25</v>
      </c>
      <c r="F396" s="1" t="s">
        <v>51</v>
      </c>
      <c r="I396" s="32">
        <f t="shared" ref="I396" si="176">$E396*I347</f>
        <v>2849.2200176687816</v>
      </c>
      <c r="J396" s="32">
        <f t="shared" ref="J396" si="177">$E396*J347</f>
        <v>2849.2200176687816</v>
      </c>
      <c r="K396" s="32">
        <f t="shared" si="173"/>
        <v>2849.2200176687816</v>
      </c>
      <c r="L396" s="32">
        <f t="shared" si="173"/>
        <v>2849.2200176687816</v>
      </c>
      <c r="M396" s="32">
        <f t="shared" si="173"/>
        <v>2849.2200176687816</v>
      </c>
      <c r="N396" s="32">
        <f t="shared" si="173"/>
        <v>2849.2200176687816</v>
      </c>
      <c r="O396" s="32">
        <f t="shared" si="173"/>
        <v>2849.2200176687816</v>
      </c>
      <c r="P396" s="32">
        <f t="shared" si="173"/>
        <v>2849.2200176687816</v>
      </c>
      <c r="Q396" s="32">
        <f t="shared" si="173"/>
        <v>2849.2200176687816</v>
      </c>
      <c r="R396" s="32">
        <f t="shared" si="173"/>
        <v>2849.2200176687816</v>
      </c>
      <c r="S396" s="32">
        <f t="shared" si="173"/>
        <v>2849.2200176687816</v>
      </c>
      <c r="T396" s="32">
        <f t="shared" si="173"/>
        <v>2849.2200176687816</v>
      </c>
      <c r="U396" s="32">
        <f t="shared" si="173"/>
        <v>2849.2200176687816</v>
      </c>
      <c r="V396" s="32">
        <f t="shared" si="173"/>
        <v>2849.2200176687816</v>
      </c>
      <c r="W396" s="572"/>
      <c r="X396" s="572"/>
      <c r="Y396" s="572"/>
      <c r="Z396" s="572"/>
      <c r="AA396" s="572"/>
      <c r="AB396" s="572"/>
      <c r="AC396" s="572"/>
      <c r="AD396" s="572"/>
      <c r="AE396" s="572"/>
    </row>
    <row r="397" spans="3:31" x14ac:dyDescent="0.2">
      <c r="C397" s="5" t="str">
        <f>C348</f>
        <v>Operator</v>
      </c>
      <c r="D397" s="20"/>
      <c r="E397" s="518">
        <f>'Plant model'!E397</f>
        <v>0.25</v>
      </c>
      <c r="F397" s="1" t="s">
        <v>51</v>
      </c>
      <c r="I397" s="32">
        <f t="shared" ref="I397" si="178">$E397*I348</f>
        <v>2037.7242657519182</v>
      </c>
      <c r="J397" s="32">
        <f t="shared" ref="J397" si="179">$E397*J348</f>
        <v>2037.7242657519182</v>
      </c>
      <c r="K397" s="32">
        <f t="shared" si="173"/>
        <v>2037.7242657519182</v>
      </c>
      <c r="L397" s="32">
        <f t="shared" si="173"/>
        <v>2037.7242657519182</v>
      </c>
      <c r="M397" s="32">
        <f t="shared" si="173"/>
        <v>2037.7242657519182</v>
      </c>
      <c r="N397" s="32">
        <f t="shared" si="173"/>
        <v>2037.7242657519182</v>
      </c>
      <c r="O397" s="32">
        <f t="shared" si="173"/>
        <v>2037.7242657519182</v>
      </c>
      <c r="P397" s="32">
        <f t="shared" si="173"/>
        <v>2037.7242657519182</v>
      </c>
      <c r="Q397" s="32">
        <f t="shared" si="173"/>
        <v>2037.7242657519182</v>
      </c>
      <c r="R397" s="32">
        <f t="shared" si="173"/>
        <v>2037.7242657519182</v>
      </c>
      <c r="S397" s="32">
        <f t="shared" si="173"/>
        <v>2037.7242657519182</v>
      </c>
      <c r="T397" s="32">
        <f t="shared" si="173"/>
        <v>2037.7242657519182</v>
      </c>
      <c r="U397" s="32">
        <f t="shared" si="173"/>
        <v>2037.7242657519182</v>
      </c>
      <c r="V397" s="32">
        <f t="shared" si="173"/>
        <v>2037.7242657519182</v>
      </c>
      <c r="W397" s="572"/>
      <c r="X397" s="572"/>
      <c r="Y397" s="572"/>
      <c r="Z397" s="572"/>
      <c r="AA397" s="572"/>
      <c r="AB397" s="572"/>
      <c r="AC397" s="572"/>
      <c r="AD397" s="572"/>
      <c r="AE397" s="572"/>
    </row>
    <row r="398" spans="3:31" x14ac:dyDescent="0.2">
      <c r="C398" s="5"/>
      <c r="D398" s="20"/>
    </row>
    <row r="399" spans="3:31" x14ac:dyDescent="0.2">
      <c r="C399" s="47" t="str">
        <f>C350</f>
        <v>Cold Processing</v>
      </c>
      <c r="D399" s="20"/>
    </row>
    <row r="400" spans="3:31" x14ac:dyDescent="0.2">
      <c r="C400" s="5" t="str">
        <f>C351</f>
        <v>Manager of Cold Processing Production</v>
      </c>
      <c r="D400" s="20"/>
      <c r="E400" s="518">
        <f>'Plant model'!E400</f>
        <v>0.5</v>
      </c>
      <c r="F400" s="1" t="s">
        <v>51</v>
      </c>
      <c r="I400" s="32">
        <f t="shared" ref="I400" si="180">$E400*I351</f>
        <v>12799.81359425176</v>
      </c>
      <c r="J400" s="32">
        <f t="shared" ref="J400" si="181">$E400*J351</f>
        <v>12799.81359425176</v>
      </c>
      <c r="K400" s="32">
        <f t="shared" ref="K400:V402" si="182">$E400*K351</f>
        <v>12799.81359425176</v>
      </c>
      <c r="L400" s="32">
        <f t="shared" si="182"/>
        <v>12799.81359425176</v>
      </c>
      <c r="M400" s="32">
        <f t="shared" si="182"/>
        <v>12799.81359425176</v>
      </c>
      <c r="N400" s="32">
        <f t="shared" si="182"/>
        <v>12799.81359425176</v>
      </c>
      <c r="O400" s="32">
        <f t="shared" si="182"/>
        <v>12799.81359425176</v>
      </c>
      <c r="P400" s="32">
        <f t="shared" si="182"/>
        <v>12799.81359425176</v>
      </c>
      <c r="Q400" s="32">
        <f t="shared" si="182"/>
        <v>12799.81359425176</v>
      </c>
      <c r="R400" s="32">
        <f t="shared" si="182"/>
        <v>12799.81359425176</v>
      </c>
      <c r="S400" s="32">
        <f t="shared" si="182"/>
        <v>12799.81359425176</v>
      </c>
      <c r="T400" s="32">
        <f t="shared" si="182"/>
        <v>12799.81359425176</v>
      </c>
      <c r="U400" s="32">
        <f t="shared" si="182"/>
        <v>12799.81359425176</v>
      </c>
      <c r="V400" s="32">
        <f t="shared" si="182"/>
        <v>12799.81359425176</v>
      </c>
      <c r="W400" s="572"/>
      <c r="X400" s="572"/>
      <c r="Y400" s="572"/>
      <c r="Z400" s="572"/>
      <c r="AA400" s="572"/>
      <c r="AB400" s="572"/>
      <c r="AC400" s="572"/>
      <c r="AD400" s="572"/>
      <c r="AE400" s="572"/>
    </row>
    <row r="401" spans="3:31" x14ac:dyDescent="0.2">
      <c r="C401" s="5" t="str">
        <f>C352</f>
        <v xml:space="preserve">Senior Operator </v>
      </c>
      <c r="D401" s="20"/>
      <c r="E401" s="518">
        <f>'Plant model'!E401</f>
        <v>0.25</v>
      </c>
      <c r="F401" s="1" t="s">
        <v>51</v>
      </c>
      <c r="I401" s="32">
        <f t="shared" ref="I401" si="183">$E401*I352</f>
        <v>2576.0902654028509</v>
      </c>
      <c r="J401" s="32">
        <f t="shared" ref="J401" si="184">$E401*J352</f>
        <v>2576.0902654028509</v>
      </c>
      <c r="K401" s="32">
        <f t="shared" si="182"/>
        <v>2576.0902654028509</v>
      </c>
      <c r="L401" s="32">
        <f t="shared" si="182"/>
        <v>2576.0902654028509</v>
      </c>
      <c r="M401" s="32">
        <f t="shared" si="182"/>
        <v>2576.0902654028509</v>
      </c>
      <c r="N401" s="32">
        <f t="shared" si="182"/>
        <v>2576.0902654028509</v>
      </c>
      <c r="O401" s="32">
        <f t="shared" si="182"/>
        <v>2576.0902654028509</v>
      </c>
      <c r="P401" s="32">
        <f t="shared" si="182"/>
        <v>2576.0902654028509</v>
      </c>
      <c r="Q401" s="32">
        <f t="shared" si="182"/>
        <v>2576.0902654028509</v>
      </c>
      <c r="R401" s="32">
        <f t="shared" si="182"/>
        <v>2576.0902654028509</v>
      </c>
      <c r="S401" s="32">
        <f t="shared" si="182"/>
        <v>2576.0902654028509</v>
      </c>
      <c r="T401" s="32">
        <f t="shared" si="182"/>
        <v>2576.0902654028509</v>
      </c>
      <c r="U401" s="32">
        <f t="shared" si="182"/>
        <v>2576.0902654028509</v>
      </c>
      <c r="V401" s="32">
        <f t="shared" si="182"/>
        <v>2576.0902654028509</v>
      </c>
      <c r="W401" s="572"/>
      <c r="X401" s="572"/>
      <c r="Y401" s="572"/>
      <c r="Z401" s="572"/>
      <c r="AA401" s="572"/>
      <c r="AB401" s="572"/>
      <c r="AC401" s="572"/>
      <c r="AD401" s="572"/>
      <c r="AE401" s="572"/>
    </row>
    <row r="402" spans="3:31" x14ac:dyDescent="0.2">
      <c r="C402" s="5" t="str">
        <f>C353</f>
        <v>Operator</v>
      </c>
      <c r="D402" s="20"/>
      <c r="E402" s="518">
        <f>'Plant model'!E402</f>
        <v>0.25</v>
      </c>
      <c r="F402" s="1" t="s">
        <v>51</v>
      </c>
      <c r="I402" s="32">
        <f t="shared" ref="I402" si="185">$E402*I353</f>
        <v>2128.7397203947367</v>
      </c>
      <c r="J402" s="32">
        <f t="shared" ref="J402" si="186">$E402*J353</f>
        <v>2128.7397203947367</v>
      </c>
      <c r="K402" s="32">
        <f t="shared" si="182"/>
        <v>2128.7397203947367</v>
      </c>
      <c r="L402" s="32">
        <f t="shared" si="182"/>
        <v>2128.7397203947367</v>
      </c>
      <c r="M402" s="32">
        <f t="shared" si="182"/>
        <v>2128.7397203947367</v>
      </c>
      <c r="N402" s="32">
        <f t="shared" si="182"/>
        <v>2128.7397203947367</v>
      </c>
      <c r="O402" s="32">
        <f t="shared" si="182"/>
        <v>2128.7397203947367</v>
      </c>
      <c r="P402" s="32">
        <f t="shared" si="182"/>
        <v>2128.7397203947367</v>
      </c>
      <c r="Q402" s="32">
        <f t="shared" si="182"/>
        <v>2128.7397203947367</v>
      </c>
      <c r="R402" s="32">
        <f t="shared" si="182"/>
        <v>2128.7397203947367</v>
      </c>
      <c r="S402" s="32">
        <f t="shared" si="182"/>
        <v>2128.7397203947367</v>
      </c>
      <c r="T402" s="32">
        <f t="shared" si="182"/>
        <v>2128.7397203947367</v>
      </c>
      <c r="U402" s="32">
        <f t="shared" si="182"/>
        <v>2128.7397203947367</v>
      </c>
      <c r="V402" s="32">
        <f t="shared" si="182"/>
        <v>2128.7397203947367</v>
      </c>
      <c r="W402" s="572"/>
      <c r="X402" s="572"/>
      <c r="Y402" s="572"/>
      <c r="Z402" s="572"/>
      <c r="AA402" s="572"/>
      <c r="AB402" s="572"/>
      <c r="AC402" s="572"/>
      <c r="AD402" s="572"/>
      <c r="AE402" s="572"/>
    </row>
    <row r="403" spans="3:31" x14ac:dyDescent="0.2">
      <c r="C403" s="20"/>
      <c r="D403" s="20"/>
    </row>
    <row r="404" spans="3:31" x14ac:dyDescent="0.2">
      <c r="C404" s="47" t="str">
        <f t="shared" ref="C404:C411" si="187">C355</f>
        <v>Shared Personnel</v>
      </c>
      <c r="D404" s="20"/>
    </row>
    <row r="405" spans="3:31" x14ac:dyDescent="0.2">
      <c r="C405" s="5" t="str">
        <f t="shared" si="187"/>
        <v>Maintenance Manager</v>
      </c>
      <c r="D405" s="20"/>
      <c r="E405" s="518">
        <f>'Plant model'!E405</f>
        <v>0.4</v>
      </c>
      <c r="F405" s="1" t="s">
        <v>51</v>
      </c>
      <c r="I405" s="32">
        <f t="shared" ref="I405" si="188">$E405*I356</f>
        <v>8928.8280645249397</v>
      </c>
      <c r="J405" s="32">
        <f t="shared" ref="J405" si="189">$E405*J356</f>
        <v>8928.8280645249397</v>
      </c>
      <c r="K405" s="32">
        <f t="shared" ref="K405:V411" si="190">$E405*K356</f>
        <v>8928.8280645249397</v>
      </c>
      <c r="L405" s="32">
        <f t="shared" si="190"/>
        <v>8928.8280645249397</v>
      </c>
      <c r="M405" s="32">
        <f t="shared" si="190"/>
        <v>8928.8280645249397</v>
      </c>
      <c r="N405" s="32">
        <f t="shared" si="190"/>
        <v>8928.8280645249397</v>
      </c>
      <c r="O405" s="32">
        <f t="shared" si="190"/>
        <v>8928.8280645249397</v>
      </c>
      <c r="P405" s="32">
        <f t="shared" si="190"/>
        <v>8928.8280645249397</v>
      </c>
      <c r="Q405" s="32">
        <f t="shared" si="190"/>
        <v>8928.8280645249397</v>
      </c>
      <c r="R405" s="32">
        <f t="shared" si="190"/>
        <v>8928.8280645249397</v>
      </c>
      <c r="S405" s="32">
        <f t="shared" si="190"/>
        <v>8928.8280645249397</v>
      </c>
      <c r="T405" s="32">
        <f t="shared" si="190"/>
        <v>8928.8280645249397</v>
      </c>
      <c r="U405" s="32">
        <f t="shared" si="190"/>
        <v>8928.8280645249397</v>
      </c>
      <c r="V405" s="32">
        <f t="shared" si="190"/>
        <v>8928.8280645249397</v>
      </c>
      <c r="W405" s="572"/>
      <c r="X405" s="572"/>
      <c r="Y405" s="572"/>
      <c r="Z405" s="572"/>
      <c r="AA405" s="572"/>
      <c r="AB405" s="572"/>
      <c r="AC405" s="572"/>
      <c r="AD405" s="572"/>
      <c r="AE405" s="572"/>
    </row>
    <row r="406" spans="3:31" x14ac:dyDescent="0.2">
      <c r="C406" s="5" t="str">
        <f t="shared" si="187"/>
        <v>Mechanical Engineer</v>
      </c>
      <c r="D406" s="20"/>
      <c r="E406" s="518">
        <f>'Plant model'!E406</f>
        <v>0.25</v>
      </c>
      <c r="F406" s="1" t="s">
        <v>51</v>
      </c>
      <c r="I406" s="32">
        <f t="shared" ref="I406" si="191">$E406*I357</f>
        <v>4603.0831577303461</v>
      </c>
      <c r="J406" s="32">
        <f t="shared" ref="J406" si="192">$E406*J357</f>
        <v>4603.0831577303461</v>
      </c>
      <c r="K406" s="32">
        <f t="shared" si="190"/>
        <v>4603.0831577303461</v>
      </c>
      <c r="L406" s="32">
        <f t="shared" si="190"/>
        <v>4603.0831577303461</v>
      </c>
      <c r="M406" s="32">
        <f t="shared" si="190"/>
        <v>4603.0831577303461</v>
      </c>
      <c r="N406" s="32">
        <f t="shared" si="190"/>
        <v>4603.0831577303461</v>
      </c>
      <c r="O406" s="32">
        <f t="shared" si="190"/>
        <v>4603.0831577303461</v>
      </c>
      <c r="P406" s="32">
        <f t="shared" si="190"/>
        <v>4603.0831577303461</v>
      </c>
      <c r="Q406" s="32">
        <f t="shared" si="190"/>
        <v>4603.0831577303461</v>
      </c>
      <c r="R406" s="32">
        <f t="shared" si="190"/>
        <v>4603.0831577303461</v>
      </c>
      <c r="S406" s="32">
        <f t="shared" si="190"/>
        <v>4603.0831577303461</v>
      </c>
      <c r="T406" s="32">
        <f t="shared" si="190"/>
        <v>4603.0831577303461</v>
      </c>
      <c r="U406" s="32">
        <f t="shared" si="190"/>
        <v>4603.0831577303461</v>
      </c>
      <c r="V406" s="32">
        <f t="shared" si="190"/>
        <v>4603.0831577303461</v>
      </c>
      <c r="W406" s="572"/>
      <c r="X406" s="572"/>
      <c r="Y406" s="572"/>
      <c r="Z406" s="572"/>
      <c r="AA406" s="572"/>
      <c r="AB406" s="572"/>
      <c r="AC406" s="572"/>
      <c r="AD406" s="572"/>
      <c r="AE406" s="572"/>
    </row>
    <row r="407" spans="3:31" x14ac:dyDescent="0.2">
      <c r="C407" s="5" t="str">
        <f t="shared" si="187"/>
        <v>Electrical Engineer</v>
      </c>
      <c r="D407" s="20"/>
      <c r="E407" s="518">
        <f>'Plant model'!E407</f>
        <v>0.25</v>
      </c>
      <c r="F407" s="1" t="s">
        <v>51</v>
      </c>
      <c r="I407" s="32">
        <f t="shared" ref="I407" si="193">$E407*I358</f>
        <v>4603.0831577303461</v>
      </c>
      <c r="J407" s="32">
        <f t="shared" ref="J407" si="194">$E407*J358</f>
        <v>4603.0831577303461</v>
      </c>
      <c r="K407" s="32">
        <f t="shared" si="190"/>
        <v>4603.0831577303461</v>
      </c>
      <c r="L407" s="32">
        <f t="shared" si="190"/>
        <v>4603.0831577303461</v>
      </c>
      <c r="M407" s="32">
        <f t="shared" si="190"/>
        <v>4603.0831577303461</v>
      </c>
      <c r="N407" s="32">
        <f t="shared" si="190"/>
        <v>4603.0831577303461</v>
      </c>
      <c r="O407" s="32">
        <f t="shared" si="190"/>
        <v>4603.0831577303461</v>
      </c>
      <c r="P407" s="32">
        <f t="shared" si="190"/>
        <v>4603.0831577303461</v>
      </c>
      <c r="Q407" s="32">
        <f t="shared" si="190"/>
        <v>4603.0831577303461</v>
      </c>
      <c r="R407" s="32">
        <f t="shared" si="190"/>
        <v>4603.0831577303461</v>
      </c>
      <c r="S407" s="32">
        <f t="shared" si="190"/>
        <v>4603.0831577303461</v>
      </c>
      <c r="T407" s="32">
        <f t="shared" si="190"/>
        <v>4603.0831577303461</v>
      </c>
      <c r="U407" s="32">
        <f t="shared" si="190"/>
        <v>4603.0831577303461</v>
      </c>
      <c r="V407" s="32">
        <f t="shared" si="190"/>
        <v>4603.0831577303461</v>
      </c>
      <c r="W407" s="572"/>
      <c r="X407" s="572"/>
      <c r="Y407" s="572"/>
      <c r="Z407" s="572"/>
      <c r="AA407" s="572"/>
      <c r="AB407" s="572"/>
      <c r="AC407" s="572"/>
      <c r="AD407" s="572"/>
      <c r="AE407" s="572"/>
    </row>
    <row r="408" spans="3:31" x14ac:dyDescent="0.2">
      <c r="C408" s="5" t="str">
        <f t="shared" si="187"/>
        <v>Information Systems Technician</v>
      </c>
      <c r="D408" s="20"/>
      <c r="E408" s="518">
        <f>'Plant model'!E408</f>
        <v>0.25</v>
      </c>
      <c r="F408" s="1" t="s">
        <v>51</v>
      </c>
      <c r="I408" s="32">
        <f t="shared" ref="I408" si="195">$E408*I359</f>
        <v>3395.4795222006433</v>
      </c>
      <c r="J408" s="32">
        <f t="shared" ref="J408" si="196">$E408*J359</f>
        <v>3395.4795222006433</v>
      </c>
      <c r="K408" s="32">
        <f t="shared" si="190"/>
        <v>3395.4795222006433</v>
      </c>
      <c r="L408" s="32">
        <f t="shared" si="190"/>
        <v>3395.4795222006433</v>
      </c>
      <c r="M408" s="32">
        <f t="shared" si="190"/>
        <v>3395.4795222006433</v>
      </c>
      <c r="N408" s="32">
        <f t="shared" si="190"/>
        <v>3395.4795222006433</v>
      </c>
      <c r="O408" s="32">
        <f t="shared" si="190"/>
        <v>3395.4795222006433</v>
      </c>
      <c r="P408" s="32">
        <f t="shared" si="190"/>
        <v>3395.4795222006433</v>
      </c>
      <c r="Q408" s="32">
        <f t="shared" si="190"/>
        <v>3395.4795222006433</v>
      </c>
      <c r="R408" s="32">
        <f t="shared" si="190"/>
        <v>3395.4795222006433</v>
      </c>
      <c r="S408" s="32">
        <f t="shared" si="190"/>
        <v>3395.4795222006433</v>
      </c>
      <c r="T408" s="32">
        <f t="shared" si="190"/>
        <v>3395.4795222006433</v>
      </c>
      <c r="U408" s="32">
        <f t="shared" si="190"/>
        <v>3395.4795222006433</v>
      </c>
      <c r="V408" s="32">
        <f t="shared" si="190"/>
        <v>3395.4795222006433</v>
      </c>
      <c r="W408" s="572"/>
      <c r="X408" s="572"/>
      <c r="Y408" s="572"/>
      <c r="Z408" s="572"/>
      <c r="AA408" s="572"/>
      <c r="AB408" s="572"/>
      <c r="AC408" s="572"/>
      <c r="AD408" s="572"/>
      <c r="AE408" s="572"/>
    </row>
    <row r="409" spans="3:31" x14ac:dyDescent="0.2">
      <c r="C409" s="5" t="str">
        <f t="shared" si="187"/>
        <v>Craft Maintenance - Electrical</v>
      </c>
      <c r="D409" s="20"/>
      <c r="E409" s="518">
        <f>'Plant model'!E409</f>
        <v>0.25</v>
      </c>
      <c r="F409" s="1" t="s">
        <v>51</v>
      </c>
      <c r="I409" s="32">
        <f t="shared" ref="I409" si="197">$E409*I360</f>
        <v>2849.2200176687816</v>
      </c>
      <c r="J409" s="32">
        <f t="shared" ref="J409" si="198">$E409*J360</f>
        <v>2849.2200176687816</v>
      </c>
      <c r="K409" s="32">
        <f t="shared" si="190"/>
        <v>2849.2200176687816</v>
      </c>
      <c r="L409" s="32">
        <f t="shared" si="190"/>
        <v>2849.2200176687816</v>
      </c>
      <c r="M409" s="32">
        <f t="shared" si="190"/>
        <v>2849.2200176687816</v>
      </c>
      <c r="N409" s="32">
        <f t="shared" si="190"/>
        <v>2849.2200176687816</v>
      </c>
      <c r="O409" s="32">
        <f t="shared" si="190"/>
        <v>2849.2200176687816</v>
      </c>
      <c r="P409" s="32">
        <f t="shared" si="190"/>
        <v>2849.2200176687816</v>
      </c>
      <c r="Q409" s="32">
        <f t="shared" si="190"/>
        <v>2849.2200176687816</v>
      </c>
      <c r="R409" s="32">
        <f t="shared" si="190"/>
        <v>2849.2200176687816</v>
      </c>
      <c r="S409" s="32">
        <f t="shared" si="190"/>
        <v>2849.2200176687816</v>
      </c>
      <c r="T409" s="32">
        <f t="shared" si="190"/>
        <v>2849.2200176687816</v>
      </c>
      <c r="U409" s="32">
        <f t="shared" si="190"/>
        <v>2849.2200176687816</v>
      </c>
      <c r="V409" s="32">
        <f t="shared" si="190"/>
        <v>2849.2200176687816</v>
      </c>
      <c r="W409" s="572"/>
      <c r="X409" s="572"/>
      <c r="Y409" s="572"/>
      <c r="Z409" s="572"/>
      <c r="AA409" s="572"/>
      <c r="AB409" s="572"/>
      <c r="AC409" s="572"/>
      <c r="AD409" s="572"/>
      <c r="AE409" s="572"/>
    </row>
    <row r="410" spans="3:31" x14ac:dyDescent="0.2">
      <c r="C410" s="5" t="str">
        <f t="shared" si="187"/>
        <v>Craft Maintenance - Mechanical</v>
      </c>
      <c r="D410" s="20"/>
      <c r="E410" s="518">
        <f>'Plant model'!E410</f>
        <v>0.25</v>
      </c>
      <c r="F410" s="1" t="s">
        <v>51</v>
      </c>
      <c r="I410" s="32">
        <f t="shared" ref="I410" si="199">$E410*I361</f>
        <v>2849.2200176687816</v>
      </c>
      <c r="J410" s="32">
        <f t="shared" ref="J410" si="200">$E410*J361</f>
        <v>2849.2200176687816</v>
      </c>
      <c r="K410" s="32">
        <f t="shared" si="190"/>
        <v>2849.2200176687816</v>
      </c>
      <c r="L410" s="32">
        <f t="shared" si="190"/>
        <v>2849.2200176687816</v>
      </c>
      <c r="M410" s="32">
        <f t="shared" si="190"/>
        <v>2849.2200176687816</v>
      </c>
      <c r="N410" s="32">
        <f t="shared" si="190"/>
        <v>2849.2200176687816</v>
      </c>
      <c r="O410" s="32">
        <f t="shared" si="190"/>
        <v>2849.2200176687816</v>
      </c>
      <c r="P410" s="32">
        <f t="shared" si="190"/>
        <v>2849.2200176687816</v>
      </c>
      <c r="Q410" s="32">
        <f t="shared" si="190"/>
        <v>2849.2200176687816</v>
      </c>
      <c r="R410" s="32">
        <f t="shared" si="190"/>
        <v>2849.2200176687816</v>
      </c>
      <c r="S410" s="32">
        <f t="shared" si="190"/>
        <v>2849.2200176687816</v>
      </c>
      <c r="T410" s="32">
        <f t="shared" si="190"/>
        <v>2849.2200176687816</v>
      </c>
      <c r="U410" s="32">
        <f t="shared" si="190"/>
        <v>2849.2200176687816</v>
      </c>
      <c r="V410" s="32">
        <f t="shared" si="190"/>
        <v>2849.2200176687816</v>
      </c>
      <c r="W410" s="572"/>
      <c r="X410" s="572"/>
      <c r="Y410" s="572"/>
      <c r="Z410" s="572"/>
      <c r="AA410" s="572"/>
      <c r="AB410" s="572"/>
      <c r="AC410" s="572"/>
      <c r="AD410" s="572"/>
      <c r="AE410" s="572"/>
    </row>
    <row r="411" spans="3:31" x14ac:dyDescent="0.2">
      <c r="C411" s="5" t="str">
        <f t="shared" si="187"/>
        <v>Quality Control Engineer</v>
      </c>
      <c r="D411" s="20"/>
      <c r="E411" s="518">
        <f>'Plant model'!E411</f>
        <v>0.25</v>
      </c>
      <c r="F411" s="1" t="s">
        <v>51</v>
      </c>
      <c r="I411" s="32">
        <f t="shared" ref="I411" si="201">$E411*I362</f>
        <v>2576.0902654028509</v>
      </c>
      <c r="J411" s="32">
        <f t="shared" ref="J411" si="202">$E411*J362</f>
        <v>2576.0902654028509</v>
      </c>
      <c r="K411" s="32">
        <f t="shared" si="190"/>
        <v>2576.0902654028509</v>
      </c>
      <c r="L411" s="32">
        <f t="shared" si="190"/>
        <v>2576.0902654028509</v>
      </c>
      <c r="M411" s="32">
        <f t="shared" si="190"/>
        <v>2576.0902654028509</v>
      </c>
      <c r="N411" s="32">
        <f t="shared" si="190"/>
        <v>2576.0902654028509</v>
      </c>
      <c r="O411" s="32">
        <f t="shared" si="190"/>
        <v>2576.0902654028509</v>
      </c>
      <c r="P411" s="32">
        <f t="shared" si="190"/>
        <v>2576.0902654028509</v>
      </c>
      <c r="Q411" s="32">
        <f t="shared" si="190"/>
        <v>2576.0902654028509</v>
      </c>
      <c r="R411" s="32">
        <f t="shared" si="190"/>
        <v>2576.0902654028509</v>
      </c>
      <c r="S411" s="32">
        <f t="shared" si="190"/>
        <v>2576.0902654028509</v>
      </c>
      <c r="T411" s="32">
        <f t="shared" si="190"/>
        <v>2576.0902654028509</v>
      </c>
      <c r="U411" s="32">
        <f t="shared" si="190"/>
        <v>2576.0902654028509</v>
      </c>
      <c r="V411" s="32">
        <f t="shared" si="190"/>
        <v>2576.0902654028509</v>
      </c>
      <c r="W411" s="572"/>
      <c r="X411" s="572"/>
      <c r="Y411" s="572"/>
      <c r="Z411" s="572"/>
      <c r="AA411" s="572"/>
      <c r="AB411" s="572"/>
      <c r="AC411" s="572"/>
      <c r="AD411" s="572"/>
      <c r="AE411" s="572"/>
    </row>
    <row r="412" spans="3:31" x14ac:dyDescent="0.2">
      <c r="C412" s="5"/>
      <c r="D412" s="20"/>
    </row>
    <row r="413" spans="3:31" x14ac:dyDescent="0.2">
      <c r="C413" s="47" t="str">
        <f t="shared" ref="C413:C422" si="203">C364</f>
        <v>Selling, General &amp; Administrative</v>
      </c>
      <c r="D413" s="20"/>
    </row>
    <row r="414" spans="3:31" x14ac:dyDescent="0.2">
      <c r="C414" s="5" t="str">
        <f t="shared" si="203"/>
        <v>CEO, CFO, COO</v>
      </c>
      <c r="D414" s="20"/>
      <c r="E414" s="518">
        <f>'Plant model'!E414</f>
        <v>0.25</v>
      </c>
      <c r="F414" s="1" t="s">
        <v>51</v>
      </c>
      <c r="I414" s="32">
        <f t="shared" ref="I414" si="204">$E414*I365</f>
        <v>10264.630902002478</v>
      </c>
      <c r="J414" s="32">
        <f t="shared" ref="J414" si="205">$E414*J365</f>
        <v>10264.630902002478</v>
      </c>
      <c r="K414" s="32">
        <f t="shared" ref="K414:V422" si="206">$E414*K365</f>
        <v>10264.630902002478</v>
      </c>
      <c r="L414" s="32">
        <f t="shared" si="206"/>
        <v>10264.630902002478</v>
      </c>
      <c r="M414" s="32">
        <f t="shared" si="206"/>
        <v>10264.630902002478</v>
      </c>
      <c r="N414" s="32">
        <f t="shared" si="206"/>
        <v>10264.630902002478</v>
      </c>
      <c r="O414" s="32">
        <f t="shared" si="206"/>
        <v>10264.630902002478</v>
      </c>
      <c r="P414" s="32">
        <f t="shared" si="206"/>
        <v>10264.630902002478</v>
      </c>
      <c r="Q414" s="32">
        <f t="shared" si="206"/>
        <v>10264.630902002478</v>
      </c>
      <c r="R414" s="32">
        <f t="shared" si="206"/>
        <v>10264.630902002478</v>
      </c>
      <c r="S414" s="32">
        <f t="shared" si="206"/>
        <v>10264.630902002478</v>
      </c>
      <c r="T414" s="32">
        <f t="shared" si="206"/>
        <v>10264.630902002478</v>
      </c>
      <c r="U414" s="32">
        <f t="shared" si="206"/>
        <v>10264.630902002478</v>
      </c>
      <c r="V414" s="32">
        <f t="shared" si="206"/>
        <v>10264.630902002478</v>
      </c>
      <c r="W414" s="572"/>
      <c r="X414" s="572"/>
      <c r="Y414" s="572"/>
      <c r="Z414" s="572"/>
      <c r="AA414" s="572"/>
      <c r="AB414" s="572"/>
      <c r="AC414" s="572"/>
      <c r="AD414" s="572"/>
      <c r="AE414" s="572"/>
    </row>
    <row r="415" spans="3:31" x14ac:dyDescent="0.2">
      <c r="C415" s="5" t="str">
        <f t="shared" si="203"/>
        <v>Administrator</v>
      </c>
      <c r="D415" s="20"/>
      <c r="E415" s="518">
        <f>'Plant model'!E415</f>
        <v>0.15</v>
      </c>
      <c r="F415" s="1" t="s">
        <v>51</v>
      </c>
      <c r="I415" s="32">
        <f t="shared" ref="I415" si="207">$E415*I366</f>
        <v>1283.4495970664173</v>
      </c>
      <c r="J415" s="32">
        <f t="shared" ref="J415" si="208">$E415*J366</f>
        <v>1283.4495970664173</v>
      </c>
      <c r="K415" s="32">
        <f t="shared" si="206"/>
        <v>1283.4495970664173</v>
      </c>
      <c r="L415" s="32">
        <f t="shared" si="206"/>
        <v>1283.4495970664173</v>
      </c>
      <c r="M415" s="32">
        <f t="shared" si="206"/>
        <v>1283.4495970664173</v>
      </c>
      <c r="N415" s="32">
        <f t="shared" si="206"/>
        <v>1283.4495970664173</v>
      </c>
      <c r="O415" s="32">
        <f t="shared" si="206"/>
        <v>1283.4495970664173</v>
      </c>
      <c r="P415" s="32">
        <f t="shared" si="206"/>
        <v>1283.4495970664173</v>
      </c>
      <c r="Q415" s="32">
        <f t="shared" si="206"/>
        <v>1283.4495970664173</v>
      </c>
      <c r="R415" s="32">
        <f t="shared" si="206"/>
        <v>1283.4495970664173</v>
      </c>
      <c r="S415" s="32">
        <f t="shared" si="206"/>
        <v>1283.4495970664173</v>
      </c>
      <c r="T415" s="32">
        <f t="shared" si="206"/>
        <v>1283.4495970664173</v>
      </c>
      <c r="U415" s="32">
        <f t="shared" si="206"/>
        <v>1283.4495970664173</v>
      </c>
      <c r="V415" s="32">
        <f t="shared" si="206"/>
        <v>1283.4495970664173</v>
      </c>
      <c r="W415" s="572"/>
      <c r="X415" s="572"/>
      <c r="Y415" s="572"/>
      <c r="Z415" s="572"/>
      <c r="AA415" s="572"/>
      <c r="AB415" s="572"/>
      <c r="AC415" s="572"/>
      <c r="AD415" s="572"/>
      <c r="AE415" s="572"/>
    </row>
    <row r="416" spans="3:31" x14ac:dyDescent="0.2">
      <c r="C416" s="5" t="str">
        <f t="shared" si="203"/>
        <v xml:space="preserve">Accounting </v>
      </c>
      <c r="D416" s="20"/>
      <c r="E416" s="518">
        <f>'Plant model'!E416</f>
        <v>0.25</v>
      </c>
      <c r="F416" s="1" t="s">
        <v>51</v>
      </c>
      <c r="I416" s="32">
        <f t="shared" ref="I416" si="209">$E416*I367</f>
        <v>3941.7390267325045</v>
      </c>
      <c r="J416" s="32">
        <f t="shared" ref="J416" si="210">$E416*J367</f>
        <v>3941.7390267325045</v>
      </c>
      <c r="K416" s="32">
        <f t="shared" si="206"/>
        <v>3941.7390267325045</v>
      </c>
      <c r="L416" s="32">
        <f t="shared" si="206"/>
        <v>3941.7390267325045</v>
      </c>
      <c r="M416" s="32">
        <f t="shared" si="206"/>
        <v>3941.7390267325045</v>
      </c>
      <c r="N416" s="32">
        <f t="shared" si="206"/>
        <v>3941.7390267325045</v>
      </c>
      <c r="O416" s="32">
        <f t="shared" si="206"/>
        <v>3941.7390267325045</v>
      </c>
      <c r="P416" s="32">
        <f t="shared" si="206"/>
        <v>3941.7390267325045</v>
      </c>
      <c r="Q416" s="32">
        <f t="shared" si="206"/>
        <v>3941.7390267325045</v>
      </c>
      <c r="R416" s="32">
        <f t="shared" si="206"/>
        <v>3941.7390267325045</v>
      </c>
      <c r="S416" s="32">
        <f t="shared" si="206"/>
        <v>3941.7390267325045</v>
      </c>
      <c r="T416" s="32">
        <f t="shared" si="206"/>
        <v>3941.7390267325045</v>
      </c>
      <c r="U416" s="32">
        <f t="shared" si="206"/>
        <v>3941.7390267325045</v>
      </c>
      <c r="V416" s="32">
        <f t="shared" si="206"/>
        <v>3941.7390267325045</v>
      </c>
      <c r="W416" s="572"/>
      <c r="X416" s="572"/>
      <c r="Y416" s="572"/>
      <c r="Z416" s="572"/>
      <c r="AA416" s="572"/>
      <c r="AB416" s="572"/>
      <c r="AC416" s="572"/>
      <c r="AD416" s="572"/>
      <c r="AE416" s="572"/>
    </row>
    <row r="417" spans="2:31" x14ac:dyDescent="0.2">
      <c r="C417" s="5" t="str">
        <f t="shared" si="203"/>
        <v>Purchasing - Buyer</v>
      </c>
      <c r="D417" s="20"/>
      <c r="E417" s="518">
        <f>'Plant model'!E417</f>
        <v>0.15</v>
      </c>
      <c r="F417" s="1" t="s">
        <v>51</v>
      </c>
      <c r="I417" s="32">
        <f t="shared" ref="I417" si="211">$E417*I368</f>
        <v>1480.1030186978871</v>
      </c>
      <c r="J417" s="32">
        <f t="shared" ref="J417" si="212">$E417*J368</f>
        <v>1480.1030186978871</v>
      </c>
      <c r="K417" s="32">
        <f t="shared" si="206"/>
        <v>1480.1030186978871</v>
      </c>
      <c r="L417" s="32">
        <f t="shared" si="206"/>
        <v>1480.1030186978871</v>
      </c>
      <c r="M417" s="32">
        <f t="shared" si="206"/>
        <v>1480.1030186978871</v>
      </c>
      <c r="N417" s="32">
        <f t="shared" si="206"/>
        <v>1480.1030186978871</v>
      </c>
      <c r="O417" s="32">
        <f t="shared" si="206"/>
        <v>1480.1030186978871</v>
      </c>
      <c r="P417" s="32">
        <f t="shared" si="206"/>
        <v>1480.1030186978871</v>
      </c>
      <c r="Q417" s="32">
        <f t="shared" si="206"/>
        <v>1480.1030186978871</v>
      </c>
      <c r="R417" s="32">
        <f t="shared" si="206"/>
        <v>1480.1030186978871</v>
      </c>
      <c r="S417" s="32">
        <f t="shared" si="206"/>
        <v>1480.1030186978871</v>
      </c>
      <c r="T417" s="32">
        <f t="shared" si="206"/>
        <v>1480.1030186978871</v>
      </c>
      <c r="U417" s="32">
        <f t="shared" si="206"/>
        <v>1480.1030186978871</v>
      </c>
      <c r="V417" s="32">
        <f t="shared" si="206"/>
        <v>1480.1030186978871</v>
      </c>
      <c r="W417" s="572"/>
      <c r="X417" s="572"/>
      <c r="Y417" s="572"/>
      <c r="Z417" s="572"/>
      <c r="AA417" s="572"/>
      <c r="AB417" s="572"/>
      <c r="AC417" s="572"/>
      <c r="AD417" s="572"/>
      <c r="AE417" s="572"/>
    </row>
    <row r="418" spans="2:31" x14ac:dyDescent="0.2">
      <c r="C418" s="5" t="str">
        <f t="shared" si="203"/>
        <v>Purchasing - Receiving</v>
      </c>
      <c r="D418" s="20"/>
      <c r="E418" s="518">
        <f>'Plant model'!E418</f>
        <v>0.15</v>
      </c>
      <c r="F418" s="1" t="s">
        <v>51</v>
      </c>
      <c r="I418" s="32">
        <f t="shared" ref="I418" si="213">$E418*I369</f>
        <v>1316.2251673383289</v>
      </c>
      <c r="J418" s="32">
        <f t="shared" ref="J418" si="214">$E418*J369</f>
        <v>1316.2251673383289</v>
      </c>
      <c r="K418" s="32">
        <f t="shared" si="206"/>
        <v>1316.2251673383289</v>
      </c>
      <c r="L418" s="32">
        <f t="shared" si="206"/>
        <v>1316.2251673383289</v>
      </c>
      <c r="M418" s="32">
        <f t="shared" si="206"/>
        <v>1316.2251673383289</v>
      </c>
      <c r="N418" s="32">
        <f t="shared" si="206"/>
        <v>1316.2251673383289</v>
      </c>
      <c r="O418" s="32">
        <f t="shared" si="206"/>
        <v>1316.2251673383289</v>
      </c>
      <c r="P418" s="32">
        <f t="shared" si="206"/>
        <v>1316.2251673383289</v>
      </c>
      <c r="Q418" s="32">
        <f t="shared" si="206"/>
        <v>1316.2251673383289</v>
      </c>
      <c r="R418" s="32">
        <f t="shared" si="206"/>
        <v>1316.2251673383289</v>
      </c>
      <c r="S418" s="32">
        <f t="shared" si="206"/>
        <v>1316.2251673383289</v>
      </c>
      <c r="T418" s="32">
        <f t="shared" si="206"/>
        <v>1316.2251673383289</v>
      </c>
      <c r="U418" s="32">
        <f t="shared" si="206"/>
        <v>1316.2251673383289</v>
      </c>
      <c r="V418" s="32">
        <f t="shared" si="206"/>
        <v>1316.2251673383289</v>
      </c>
      <c r="W418" s="572"/>
      <c r="X418" s="572"/>
      <c r="Y418" s="572"/>
      <c r="Z418" s="572"/>
      <c r="AA418" s="572"/>
      <c r="AB418" s="572"/>
      <c r="AC418" s="572"/>
      <c r="AD418" s="572"/>
      <c r="AE418" s="572"/>
    </row>
    <row r="419" spans="2:31" x14ac:dyDescent="0.2">
      <c r="C419" s="5" t="str">
        <f t="shared" si="203"/>
        <v>Human Resources/Safety Manager/Training</v>
      </c>
      <c r="D419" s="20"/>
      <c r="E419" s="518">
        <f>'Plant model'!E419</f>
        <v>0.25</v>
      </c>
      <c r="F419" s="1" t="s">
        <v>51</v>
      </c>
      <c r="I419" s="32">
        <f t="shared" ref="I419" si="215">$E419*I370</f>
        <v>3668.6092744665739</v>
      </c>
      <c r="J419" s="32">
        <f t="shared" ref="J419" si="216">$E419*J370</f>
        <v>3668.6092744665739</v>
      </c>
      <c r="K419" s="32">
        <f t="shared" si="206"/>
        <v>3668.6092744665739</v>
      </c>
      <c r="L419" s="32">
        <f t="shared" si="206"/>
        <v>3668.6092744665739</v>
      </c>
      <c r="M419" s="32">
        <f t="shared" si="206"/>
        <v>3668.6092744665739</v>
      </c>
      <c r="N419" s="32">
        <f t="shared" si="206"/>
        <v>3668.6092744665739</v>
      </c>
      <c r="O419" s="32">
        <f t="shared" si="206"/>
        <v>3668.6092744665739</v>
      </c>
      <c r="P419" s="32">
        <f t="shared" si="206"/>
        <v>3668.6092744665739</v>
      </c>
      <c r="Q419" s="32">
        <f t="shared" si="206"/>
        <v>3668.6092744665739</v>
      </c>
      <c r="R419" s="32">
        <f t="shared" si="206"/>
        <v>3668.6092744665739</v>
      </c>
      <c r="S419" s="32">
        <f t="shared" si="206"/>
        <v>3668.6092744665739</v>
      </c>
      <c r="T419" s="32">
        <f t="shared" si="206"/>
        <v>3668.6092744665739</v>
      </c>
      <c r="U419" s="32">
        <f t="shared" si="206"/>
        <v>3668.6092744665739</v>
      </c>
      <c r="V419" s="32">
        <f t="shared" si="206"/>
        <v>3668.6092744665739</v>
      </c>
      <c r="W419" s="572"/>
      <c r="X419" s="572"/>
      <c r="Y419" s="572"/>
      <c r="Z419" s="572"/>
      <c r="AA419" s="572"/>
      <c r="AB419" s="572"/>
      <c r="AC419" s="572"/>
      <c r="AD419" s="572"/>
      <c r="AE419" s="572"/>
    </row>
    <row r="420" spans="2:31" x14ac:dyDescent="0.2">
      <c r="C420" s="5" t="str">
        <f t="shared" si="203"/>
        <v>Sales Administrator</v>
      </c>
      <c r="D420" s="20"/>
      <c r="E420" s="518">
        <f>'Plant model'!E420</f>
        <v>0.15</v>
      </c>
      <c r="F420" s="1" t="s">
        <v>51</v>
      </c>
      <c r="I420" s="32">
        <f t="shared" ref="I420" si="217">$E420*I371</f>
        <v>1283.4495970664173</v>
      </c>
      <c r="J420" s="32">
        <f t="shared" ref="J420" si="218">$E420*J371</f>
        <v>1283.4495970664173</v>
      </c>
      <c r="K420" s="32">
        <f t="shared" si="206"/>
        <v>1283.4495970664173</v>
      </c>
      <c r="L420" s="32">
        <f t="shared" si="206"/>
        <v>1283.4495970664173</v>
      </c>
      <c r="M420" s="32">
        <f t="shared" si="206"/>
        <v>1283.4495970664173</v>
      </c>
      <c r="N420" s="32">
        <f t="shared" si="206"/>
        <v>1283.4495970664173</v>
      </c>
      <c r="O420" s="32">
        <f t="shared" si="206"/>
        <v>1283.4495970664173</v>
      </c>
      <c r="P420" s="32">
        <f t="shared" si="206"/>
        <v>1283.4495970664173</v>
      </c>
      <c r="Q420" s="32">
        <f t="shared" si="206"/>
        <v>1283.4495970664173</v>
      </c>
      <c r="R420" s="32">
        <f t="shared" si="206"/>
        <v>1283.4495970664173</v>
      </c>
      <c r="S420" s="32">
        <f t="shared" si="206"/>
        <v>1283.4495970664173</v>
      </c>
      <c r="T420" s="32">
        <f t="shared" si="206"/>
        <v>1283.4495970664173</v>
      </c>
      <c r="U420" s="32">
        <f t="shared" si="206"/>
        <v>1283.4495970664173</v>
      </c>
      <c r="V420" s="32">
        <f t="shared" si="206"/>
        <v>1283.4495970664173</v>
      </c>
      <c r="W420" s="572"/>
      <c r="X420" s="572"/>
      <c r="Y420" s="572"/>
      <c r="Z420" s="572"/>
      <c r="AA420" s="572"/>
      <c r="AB420" s="572"/>
      <c r="AC420" s="572"/>
      <c r="AD420" s="572"/>
      <c r="AE420" s="572"/>
    </row>
    <row r="421" spans="2:31" x14ac:dyDescent="0.2">
      <c r="C421" s="5" t="str">
        <f t="shared" si="203"/>
        <v>Inside Sales</v>
      </c>
      <c r="D421" s="20"/>
      <c r="E421" s="518">
        <f>'Plant model'!E421</f>
        <v>0.15</v>
      </c>
      <c r="F421" s="1" t="s">
        <v>51</v>
      </c>
      <c r="I421" s="32">
        <f t="shared" ref="I421" si="219">$E421*I372</f>
        <v>2037.2877133203858</v>
      </c>
      <c r="J421" s="32">
        <f t="shared" ref="J421" si="220">$E421*J372</f>
        <v>2037.2877133203858</v>
      </c>
      <c r="K421" s="32">
        <f t="shared" si="206"/>
        <v>2037.2877133203858</v>
      </c>
      <c r="L421" s="32">
        <f t="shared" si="206"/>
        <v>2037.2877133203858</v>
      </c>
      <c r="M421" s="32">
        <f t="shared" si="206"/>
        <v>2037.2877133203858</v>
      </c>
      <c r="N421" s="32">
        <f t="shared" si="206"/>
        <v>2037.2877133203858</v>
      </c>
      <c r="O421" s="32">
        <f t="shared" si="206"/>
        <v>2037.2877133203858</v>
      </c>
      <c r="P421" s="32">
        <f t="shared" si="206"/>
        <v>2037.2877133203858</v>
      </c>
      <c r="Q421" s="32">
        <f t="shared" si="206"/>
        <v>2037.2877133203858</v>
      </c>
      <c r="R421" s="32">
        <f t="shared" si="206"/>
        <v>2037.2877133203858</v>
      </c>
      <c r="S421" s="32">
        <f t="shared" si="206"/>
        <v>2037.2877133203858</v>
      </c>
      <c r="T421" s="32">
        <f t="shared" si="206"/>
        <v>2037.2877133203858</v>
      </c>
      <c r="U421" s="32">
        <f t="shared" si="206"/>
        <v>2037.2877133203858</v>
      </c>
      <c r="V421" s="32">
        <f t="shared" si="206"/>
        <v>2037.2877133203858</v>
      </c>
      <c r="W421" s="572"/>
      <c r="X421" s="572"/>
      <c r="Y421" s="572"/>
      <c r="Z421" s="572"/>
      <c r="AA421" s="572"/>
      <c r="AB421" s="572"/>
      <c r="AC421" s="572"/>
      <c r="AD421" s="572"/>
      <c r="AE421" s="572"/>
    </row>
    <row r="422" spans="2:31" x14ac:dyDescent="0.2">
      <c r="C422" s="5" t="str">
        <f t="shared" si="203"/>
        <v>Shipping Manager</v>
      </c>
      <c r="D422" s="20"/>
      <c r="E422" s="518">
        <f>'Plant model'!E422</f>
        <v>0.15</v>
      </c>
      <c r="F422" s="1" t="s">
        <v>51</v>
      </c>
      <c r="I422" s="32">
        <f t="shared" ref="I422" si="221">$E422*I373</f>
        <v>2528.921267399061</v>
      </c>
      <c r="J422" s="32">
        <f t="shared" ref="J422" si="222">$E422*J373</f>
        <v>2528.921267399061</v>
      </c>
      <c r="K422" s="32">
        <f t="shared" si="206"/>
        <v>2528.921267399061</v>
      </c>
      <c r="L422" s="32">
        <f t="shared" si="206"/>
        <v>2528.921267399061</v>
      </c>
      <c r="M422" s="32">
        <f t="shared" si="206"/>
        <v>2528.921267399061</v>
      </c>
      <c r="N422" s="32">
        <f t="shared" si="206"/>
        <v>2528.921267399061</v>
      </c>
      <c r="O422" s="32">
        <f t="shared" si="206"/>
        <v>2528.921267399061</v>
      </c>
      <c r="P422" s="32">
        <f t="shared" si="206"/>
        <v>2528.921267399061</v>
      </c>
      <c r="Q422" s="32">
        <f t="shared" si="206"/>
        <v>2528.921267399061</v>
      </c>
      <c r="R422" s="32">
        <f t="shared" si="206"/>
        <v>2528.921267399061</v>
      </c>
      <c r="S422" s="32">
        <f t="shared" si="206"/>
        <v>2528.921267399061</v>
      </c>
      <c r="T422" s="32">
        <f t="shared" si="206"/>
        <v>2528.921267399061</v>
      </c>
      <c r="U422" s="32">
        <f t="shared" si="206"/>
        <v>2528.921267399061</v>
      </c>
      <c r="V422" s="32">
        <f t="shared" si="206"/>
        <v>2528.921267399061</v>
      </c>
      <c r="W422" s="572"/>
      <c r="X422" s="572"/>
      <c r="Y422" s="572"/>
      <c r="Z422" s="572"/>
      <c r="AA422" s="572"/>
      <c r="AB422" s="572"/>
      <c r="AC422" s="572"/>
      <c r="AD422" s="572"/>
      <c r="AE422" s="572"/>
    </row>
    <row r="423" spans="2:31" x14ac:dyDescent="0.2">
      <c r="C423" s="20"/>
      <c r="D423" s="20"/>
    </row>
    <row r="424" spans="2:31" x14ac:dyDescent="0.2">
      <c r="C424" s="5" t="str">
        <f>C375</f>
        <v>Contingency</v>
      </c>
      <c r="D424" s="20"/>
      <c r="E424" s="518">
        <f>'Plant model'!E424</f>
        <v>0.15</v>
      </c>
      <c r="F424" s="1" t="s">
        <v>51</v>
      </c>
      <c r="I424" s="32">
        <f t="shared" ref="I424" si="223">$E424*I375</f>
        <v>3039.4736842105262</v>
      </c>
      <c r="J424" s="32">
        <f t="shared" ref="J424" si="224">$E424*J375</f>
        <v>3039.4736842105262</v>
      </c>
      <c r="K424" s="32">
        <f t="shared" ref="K424:V424" si="225">$E424*K375</f>
        <v>3039.4736842105262</v>
      </c>
      <c r="L424" s="32">
        <f t="shared" si="225"/>
        <v>3039.4736842105262</v>
      </c>
      <c r="M424" s="32">
        <f t="shared" si="225"/>
        <v>3039.4736842105262</v>
      </c>
      <c r="N424" s="32">
        <f t="shared" si="225"/>
        <v>3039.4736842105262</v>
      </c>
      <c r="O424" s="32">
        <f t="shared" si="225"/>
        <v>3039.4736842105262</v>
      </c>
      <c r="P424" s="32">
        <f t="shared" si="225"/>
        <v>3039.4736842105262</v>
      </c>
      <c r="Q424" s="32">
        <f t="shared" si="225"/>
        <v>3039.4736842105262</v>
      </c>
      <c r="R424" s="32">
        <f t="shared" si="225"/>
        <v>3039.4736842105262</v>
      </c>
      <c r="S424" s="32">
        <f t="shared" si="225"/>
        <v>3039.4736842105262</v>
      </c>
      <c r="T424" s="32">
        <f t="shared" si="225"/>
        <v>3039.4736842105262</v>
      </c>
      <c r="U424" s="32">
        <f t="shared" si="225"/>
        <v>3039.4736842105262</v>
      </c>
      <c r="V424" s="32">
        <f t="shared" si="225"/>
        <v>3039.4736842105262</v>
      </c>
      <c r="W424" s="572"/>
      <c r="X424" s="572"/>
      <c r="Y424" s="572"/>
      <c r="Z424" s="572"/>
      <c r="AA424" s="572"/>
      <c r="AB424" s="572"/>
      <c r="AC424" s="572"/>
      <c r="AD424" s="572"/>
      <c r="AE424" s="572"/>
    </row>
    <row r="425" spans="2:31" x14ac:dyDescent="0.2">
      <c r="C425" s="20"/>
      <c r="D425" s="20"/>
    </row>
    <row r="426" spans="2:31" x14ac:dyDescent="0.2">
      <c r="B426" s="24">
        <f>B377+0.01</f>
        <v>3.4399999999999995</v>
      </c>
      <c r="C426" s="20" t="s">
        <v>440</v>
      </c>
      <c r="D426" s="20"/>
    </row>
    <row r="427" spans="2:31" x14ac:dyDescent="0.2">
      <c r="C427" s="20"/>
      <c r="D427" s="20"/>
    </row>
    <row r="428" spans="2:31" x14ac:dyDescent="0.2">
      <c r="C428" s="47" t="str">
        <f t="shared" ref="C428:C435" si="226">C379</f>
        <v>Melting</v>
      </c>
      <c r="D428" s="20"/>
    </row>
    <row r="429" spans="2:31" x14ac:dyDescent="0.2">
      <c r="C429" s="5" t="str">
        <f t="shared" si="226"/>
        <v>Manager of Melting/Casting Production</v>
      </c>
      <c r="D429" s="20"/>
      <c r="F429" s="1" t="s">
        <v>51</v>
      </c>
      <c r="I429" s="49">
        <f t="shared" ref="I429" si="227">I330+I380</f>
        <v>43315.776323542028</v>
      </c>
      <c r="J429" s="49">
        <f t="shared" ref="J429" si="228">J330+J380</f>
        <v>43315.776323542028</v>
      </c>
      <c r="K429" s="49">
        <f t="shared" ref="K429:V435" si="229">K330+K380</f>
        <v>43315.776323542028</v>
      </c>
      <c r="L429" s="49">
        <f t="shared" si="229"/>
        <v>43315.776323542028</v>
      </c>
      <c r="M429" s="49">
        <f t="shared" si="229"/>
        <v>43315.776323542028</v>
      </c>
      <c r="N429" s="49">
        <f t="shared" si="229"/>
        <v>43315.776323542028</v>
      </c>
      <c r="O429" s="49">
        <f t="shared" si="229"/>
        <v>43315.776323542028</v>
      </c>
      <c r="P429" s="49">
        <f t="shared" si="229"/>
        <v>43315.776323542028</v>
      </c>
      <c r="Q429" s="49">
        <f t="shared" si="229"/>
        <v>43315.776323542028</v>
      </c>
      <c r="R429" s="49">
        <f t="shared" si="229"/>
        <v>43315.776323542028</v>
      </c>
      <c r="S429" s="49">
        <f t="shared" si="229"/>
        <v>43315.776323542028</v>
      </c>
      <c r="T429" s="49">
        <f t="shared" si="229"/>
        <v>43315.776323542028</v>
      </c>
      <c r="U429" s="49">
        <f t="shared" si="229"/>
        <v>43315.776323542028</v>
      </c>
      <c r="V429" s="49">
        <f t="shared" si="229"/>
        <v>43315.776323542028</v>
      </c>
      <c r="W429" s="585"/>
      <c r="X429" s="585"/>
      <c r="Y429" s="585"/>
      <c r="Z429" s="585"/>
      <c r="AA429" s="585"/>
      <c r="AB429" s="585"/>
      <c r="AC429" s="585"/>
      <c r="AD429" s="585"/>
      <c r="AE429" s="585"/>
    </row>
    <row r="430" spans="2:31" x14ac:dyDescent="0.2">
      <c r="C430" s="5" t="str">
        <f t="shared" si="226"/>
        <v>Supervisor/team Leader of Melting &amp; Casting</v>
      </c>
      <c r="D430" s="20"/>
      <c r="F430" s="1" t="s">
        <v>51</v>
      </c>
      <c r="I430" s="49">
        <f t="shared" ref="I430" si="230">I331+I381</f>
        <v>19023.416097984376</v>
      </c>
      <c r="J430" s="49">
        <f t="shared" ref="J430" si="231">J331+J381</f>
        <v>19023.416097984376</v>
      </c>
      <c r="K430" s="49">
        <f t="shared" si="229"/>
        <v>19023.416097984376</v>
      </c>
      <c r="L430" s="49">
        <f t="shared" si="229"/>
        <v>19023.416097984376</v>
      </c>
      <c r="M430" s="49">
        <f t="shared" si="229"/>
        <v>19023.416097984376</v>
      </c>
      <c r="N430" s="49">
        <f t="shared" si="229"/>
        <v>19023.416097984376</v>
      </c>
      <c r="O430" s="49">
        <f t="shared" si="229"/>
        <v>19023.416097984376</v>
      </c>
      <c r="P430" s="49">
        <f t="shared" si="229"/>
        <v>19023.416097984376</v>
      </c>
      <c r="Q430" s="49">
        <f t="shared" si="229"/>
        <v>19023.416097984376</v>
      </c>
      <c r="R430" s="49">
        <f t="shared" si="229"/>
        <v>19023.416097984376</v>
      </c>
      <c r="S430" s="49">
        <f t="shared" si="229"/>
        <v>19023.416097984376</v>
      </c>
      <c r="T430" s="49">
        <f t="shared" si="229"/>
        <v>19023.416097984376</v>
      </c>
      <c r="U430" s="49">
        <f t="shared" si="229"/>
        <v>19023.416097984376</v>
      </c>
      <c r="V430" s="49">
        <f t="shared" si="229"/>
        <v>19023.416097984376</v>
      </c>
      <c r="W430" s="585"/>
      <c r="X430" s="585"/>
      <c r="Y430" s="585"/>
      <c r="Z430" s="585"/>
      <c r="AA430" s="585"/>
      <c r="AB430" s="585"/>
      <c r="AC430" s="585"/>
      <c r="AD430" s="585"/>
      <c r="AE430" s="585"/>
    </row>
    <row r="431" spans="2:31" x14ac:dyDescent="0.2">
      <c r="C431" s="5" t="str">
        <f t="shared" si="226"/>
        <v>Senior Operator - EAF</v>
      </c>
      <c r="D431" s="20"/>
      <c r="F431" s="1" t="s">
        <v>51</v>
      </c>
      <c r="I431" s="49">
        <f t="shared" ref="I431" si="232">I332+I382</f>
        <v>14246.100088343908</v>
      </c>
      <c r="J431" s="49">
        <f t="shared" ref="J431" si="233">J332+J382</f>
        <v>14246.100088343908</v>
      </c>
      <c r="K431" s="49">
        <f t="shared" si="229"/>
        <v>14246.100088343908</v>
      </c>
      <c r="L431" s="49">
        <f t="shared" si="229"/>
        <v>14246.100088343908</v>
      </c>
      <c r="M431" s="49">
        <f t="shared" si="229"/>
        <v>14246.100088343908</v>
      </c>
      <c r="N431" s="49">
        <f t="shared" si="229"/>
        <v>14246.100088343908</v>
      </c>
      <c r="O431" s="49">
        <f t="shared" si="229"/>
        <v>14246.100088343908</v>
      </c>
      <c r="P431" s="49">
        <f t="shared" si="229"/>
        <v>14246.100088343908</v>
      </c>
      <c r="Q431" s="49">
        <f t="shared" si="229"/>
        <v>14246.100088343908</v>
      </c>
      <c r="R431" s="49">
        <f t="shared" si="229"/>
        <v>14246.100088343908</v>
      </c>
      <c r="S431" s="49">
        <f t="shared" si="229"/>
        <v>14246.100088343908</v>
      </c>
      <c r="T431" s="49">
        <f t="shared" si="229"/>
        <v>14246.100088343908</v>
      </c>
      <c r="U431" s="49">
        <f t="shared" si="229"/>
        <v>14246.100088343908</v>
      </c>
      <c r="V431" s="49">
        <f t="shared" si="229"/>
        <v>14246.100088343908</v>
      </c>
      <c r="W431" s="585"/>
      <c r="X431" s="585"/>
      <c r="Y431" s="585"/>
      <c r="Z431" s="585"/>
      <c r="AA431" s="585"/>
      <c r="AB431" s="585"/>
      <c r="AC431" s="585"/>
      <c r="AD431" s="585"/>
      <c r="AE431" s="585"/>
    </row>
    <row r="432" spans="2:31" x14ac:dyDescent="0.2">
      <c r="C432" s="5" t="str">
        <f t="shared" si="226"/>
        <v>Operator - Ladle Crane</v>
      </c>
      <c r="D432" s="20"/>
      <c r="F432" s="1" t="s">
        <v>51</v>
      </c>
      <c r="I432" s="49">
        <f t="shared" ref="I432" si="234">I333+I383</f>
        <v>12880.451327014254</v>
      </c>
      <c r="J432" s="49">
        <f t="shared" ref="J432" si="235">J333+J383</f>
        <v>12880.451327014254</v>
      </c>
      <c r="K432" s="49">
        <f t="shared" si="229"/>
        <v>12880.451327014254</v>
      </c>
      <c r="L432" s="49">
        <f t="shared" si="229"/>
        <v>12880.451327014254</v>
      </c>
      <c r="M432" s="49">
        <f t="shared" si="229"/>
        <v>12880.451327014254</v>
      </c>
      <c r="N432" s="49">
        <f t="shared" si="229"/>
        <v>12880.451327014254</v>
      </c>
      <c r="O432" s="49">
        <f t="shared" si="229"/>
        <v>12880.451327014254</v>
      </c>
      <c r="P432" s="49">
        <f t="shared" si="229"/>
        <v>12880.451327014254</v>
      </c>
      <c r="Q432" s="49">
        <f t="shared" si="229"/>
        <v>12880.451327014254</v>
      </c>
      <c r="R432" s="49">
        <f t="shared" si="229"/>
        <v>12880.451327014254</v>
      </c>
      <c r="S432" s="49">
        <f t="shared" si="229"/>
        <v>12880.451327014254</v>
      </c>
      <c r="T432" s="49">
        <f t="shared" si="229"/>
        <v>12880.451327014254</v>
      </c>
      <c r="U432" s="49">
        <f t="shared" si="229"/>
        <v>12880.451327014254</v>
      </c>
      <c r="V432" s="49">
        <f t="shared" si="229"/>
        <v>12880.451327014254</v>
      </c>
      <c r="W432" s="585"/>
      <c r="X432" s="585"/>
      <c r="Y432" s="585"/>
      <c r="Z432" s="585"/>
      <c r="AA432" s="585"/>
      <c r="AB432" s="585"/>
      <c r="AC432" s="585"/>
      <c r="AD432" s="585"/>
      <c r="AE432" s="585"/>
    </row>
    <row r="433" spans="3:31" x14ac:dyDescent="0.2">
      <c r="C433" s="5" t="str">
        <f t="shared" si="226"/>
        <v>Operator</v>
      </c>
      <c r="D433" s="20"/>
      <c r="F433" s="1" t="s">
        <v>51</v>
      </c>
      <c r="I433" s="49">
        <f t="shared" ref="I433" si="236">I334+I384</f>
        <v>11753.124138308645</v>
      </c>
      <c r="J433" s="49">
        <f t="shared" ref="J433" si="237">J334+J384</f>
        <v>11753.124138308645</v>
      </c>
      <c r="K433" s="49">
        <f t="shared" si="229"/>
        <v>11753.124138308645</v>
      </c>
      <c r="L433" s="49">
        <f t="shared" si="229"/>
        <v>11753.124138308645</v>
      </c>
      <c r="M433" s="49">
        <f t="shared" si="229"/>
        <v>11753.124138308645</v>
      </c>
      <c r="N433" s="49">
        <f t="shared" si="229"/>
        <v>11753.124138308645</v>
      </c>
      <c r="O433" s="49">
        <f t="shared" si="229"/>
        <v>11753.124138308645</v>
      </c>
      <c r="P433" s="49">
        <f t="shared" si="229"/>
        <v>11753.124138308645</v>
      </c>
      <c r="Q433" s="49">
        <f t="shared" si="229"/>
        <v>11753.124138308645</v>
      </c>
      <c r="R433" s="49">
        <f t="shared" si="229"/>
        <v>11753.124138308645</v>
      </c>
      <c r="S433" s="49">
        <f t="shared" si="229"/>
        <v>11753.124138308645</v>
      </c>
      <c r="T433" s="49">
        <f t="shared" si="229"/>
        <v>11753.124138308645</v>
      </c>
      <c r="U433" s="49">
        <f t="shared" si="229"/>
        <v>11753.124138308645</v>
      </c>
      <c r="V433" s="49">
        <f t="shared" si="229"/>
        <v>11753.124138308645</v>
      </c>
      <c r="W433" s="585"/>
      <c r="X433" s="585"/>
      <c r="Y433" s="585"/>
      <c r="Z433" s="585"/>
      <c r="AA433" s="585"/>
      <c r="AB433" s="585"/>
      <c r="AC433" s="585"/>
      <c r="AD433" s="585"/>
      <c r="AE433" s="585"/>
    </row>
    <row r="434" spans="3:31" x14ac:dyDescent="0.2">
      <c r="C434" s="5" t="str">
        <f t="shared" si="226"/>
        <v>Team Leader - Refractory</v>
      </c>
      <c r="D434" s="20"/>
      <c r="F434" s="1" t="s">
        <v>51</v>
      </c>
      <c r="I434" s="49">
        <f t="shared" ref="I434" si="238">I335+I385</f>
        <v>12189.064258788872</v>
      </c>
      <c r="J434" s="49">
        <f t="shared" ref="J434" si="239">J335+J385</f>
        <v>12189.064258788872</v>
      </c>
      <c r="K434" s="49">
        <f t="shared" si="229"/>
        <v>12189.064258788872</v>
      </c>
      <c r="L434" s="49">
        <f t="shared" si="229"/>
        <v>12189.064258788872</v>
      </c>
      <c r="M434" s="49">
        <f t="shared" si="229"/>
        <v>12189.064258788872</v>
      </c>
      <c r="N434" s="49">
        <f t="shared" si="229"/>
        <v>12189.064258788872</v>
      </c>
      <c r="O434" s="49">
        <f t="shared" si="229"/>
        <v>12189.064258788872</v>
      </c>
      <c r="P434" s="49">
        <f t="shared" si="229"/>
        <v>12189.064258788872</v>
      </c>
      <c r="Q434" s="49">
        <f t="shared" si="229"/>
        <v>12189.064258788872</v>
      </c>
      <c r="R434" s="49">
        <f t="shared" si="229"/>
        <v>12189.064258788872</v>
      </c>
      <c r="S434" s="49">
        <f t="shared" si="229"/>
        <v>12189.064258788872</v>
      </c>
      <c r="T434" s="49">
        <f t="shared" si="229"/>
        <v>12189.064258788872</v>
      </c>
      <c r="U434" s="49">
        <f t="shared" si="229"/>
        <v>12189.064258788872</v>
      </c>
      <c r="V434" s="49">
        <f t="shared" si="229"/>
        <v>12189.064258788872</v>
      </c>
      <c r="W434" s="585"/>
      <c r="X434" s="585"/>
      <c r="Y434" s="585"/>
      <c r="Z434" s="585"/>
      <c r="AA434" s="585"/>
      <c r="AB434" s="585"/>
      <c r="AC434" s="585"/>
      <c r="AD434" s="585"/>
      <c r="AE434" s="585"/>
    </row>
    <row r="435" spans="3:31" x14ac:dyDescent="0.2">
      <c r="C435" s="5" t="str">
        <f t="shared" si="226"/>
        <v>Operator - Refractory</v>
      </c>
      <c r="D435" s="20"/>
      <c r="F435" s="1" t="s">
        <v>51</v>
      </c>
      <c r="I435" s="49">
        <f t="shared" ref="I435" si="240">I336+I386</f>
        <v>10566.531810884902</v>
      </c>
      <c r="J435" s="49">
        <f t="shared" ref="J435" si="241">J336+J386</f>
        <v>10566.531810884902</v>
      </c>
      <c r="K435" s="49">
        <f t="shared" si="229"/>
        <v>10566.531810884902</v>
      </c>
      <c r="L435" s="49">
        <f t="shared" si="229"/>
        <v>10566.531810884902</v>
      </c>
      <c r="M435" s="49">
        <f t="shared" si="229"/>
        <v>10566.531810884902</v>
      </c>
      <c r="N435" s="49">
        <f t="shared" si="229"/>
        <v>10566.531810884902</v>
      </c>
      <c r="O435" s="49">
        <f t="shared" si="229"/>
        <v>10566.531810884902</v>
      </c>
      <c r="P435" s="49">
        <f t="shared" si="229"/>
        <v>10566.531810884902</v>
      </c>
      <c r="Q435" s="49">
        <f t="shared" si="229"/>
        <v>10566.531810884902</v>
      </c>
      <c r="R435" s="49">
        <f t="shared" si="229"/>
        <v>10566.531810884902</v>
      </c>
      <c r="S435" s="49">
        <f t="shared" si="229"/>
        <v>10566.531810884902</v>
      </c>
      <c r="T435" s="49">
        <f t="shared" si="229"/>
        <v>10566.531810884902</v>
      </c>
      <c r="U435" s="49">
        <f t="shared" si="229"/>
        <v>10566.531810884902</v>
      </c>
      <c r="V435" s="49">
        <f t="shared" si="229"/>
        <v>10566.531810884902</v>
      </c>
      <c r="W435" s="585"/>
      <c r="X435" s="585"/>
      <c r="Y435" s="585"/>
      <c r="Z435" s="585"/>
      <c r="AA435" s="585"/>
      <c r="AB435" s="585"/>
      <c r="AC435" s="585"/>
      <c r="AD435" s="585"/>
      <c r="AE435" s="585"/>
    </row>
    <row r="436" spans="3:31" x14ac:dyDescent="0.2">
      <c r="C436" s="5"/>
      <c r="D436" s="20"/>
      <c r="I436" s="49"/>
      <c r="J436" s="49"/>
      <c r="K436" s="49"/>
      <c r="L436" s="49"/>
      <c r="M436" s="49"/>
      <c r="N436" s="49"/>
      <c r="O436" s="49"/>
      <c r="P436" s="49"/>
      <c r="Q436" s="49"/>
      <c r="R436" s="49"/>
      <c r="S436" s="49"/>
      <c r="T436" s="49"/>
      <c r="U436" s="49"/>
      <c r="V436" s="49"/>
      <c r="W436" s="585"/>
      <c r="X436" s="585"/>
      <c r="Y436" s="585"/>
      <c r="Z436" s="585"/>
      <c r="AA436" s="585"/>
      <c r="AB436" s="585"/>
      <c r="AC436" s="585"/>
      <c r="AD436" s="585"/>
      <c r="AE436" s="585"/>
    </row>
    <row r="437" spans="3:31" x14ac:dyDescent="0.2">
      <c r="C437" s="47" t="str">
        <f>C388</f>
        <v>Casting</v>
      </c>
      <c r="D437" s="20"/>
      <c r="I437" s="49"/>
      <c r="J437" s="49"/>
      <c r="K437" s="49"/>
      <c r="L437" s="49"/>
      <c r="M437" s="49"/>
      <c r="N437" s="49"/>
      <c r="O437" s="49"/>
      <c r="P437" s="49"/>
      <c r="Q437" s="49"/>
      <c r="R437" s="49"/>
      <c r="S437" s="49"/>
      <c r="T437" s="49"/>
      <c r="U437" s="49"/>
      <c r="V437" s="49"/>
      <c r="W437" s="585"/>
      <c r="X437" s="585"/>
      <c r="Y437" s="585"/>
      <c r="Z437" s="585"/>
      <c r="AA437" s="585"/>
      <c r="AB437" s="585"/>
      <c r="AC437" s="585"/>
      <c r="AD437" s="585"/>
      <c r="AE437" s="585"/>
    </row>
    <row r="438" spans="3:31" x14ac:dyDescent="0.2">
      <c r="C438" s="5" t="str">
        <f>C389</f>
        <v xml:space="preserve">Senior Casting Operator </v>
      </c>
      <c r="D438" s="20"/>
      <c r="F438" s="1" t="s">
        <v>51</v>
      </c>
      <c r="I438" s="49">
        <f t="shared" ref="I438" si="242">I340+I389</f>
        <v>14318.797311972194</v>
      </c>
      <c r="J438" s="49">
        <f t="shared" ref="J438" si="243">J340+J389</f>
        <v>14318.797311972194</v>
      </c>
      <c r="K438" s="49">
        <f t="shared" ref="K438:V440" si="244">K340+K389</f>
        <v>14318.797311972194</v>
      </c>
      <c r="L438" s="49">
        <f t="shared" si="244"/>
        <v>14318.797311972194</v>
      </c>
      <c r="M438" s="49">
        <f t="shared" si="244"/>
        <v>14318.797311972194</v>
      </c>
      <c r="N438" s="49">
        <f t="shared" si="244"/>
        <v>14318.797311972194</v>
      </c>
      <c r="O438" s="49">
        <f t="shared" si="244"/>
        <v>14318.797311972194</v>
      </c>
      <c r="P438" s="49">
        <f t="shared" si="244"/>
        <v>14318.797311972194</v>
      </c>
      <c r="Q438" s="49">
        <f t="shared" si="244"/>
        <v>14318.797311972194</v>
      </c>
      <c r="R438" s="49">
        <f t="shared" si="244"/>
        <v>14318.797311972194</v>
      </c>
      <c r="S438" s="49">
        <f t="shared" si="244"/>
        <v>14318.797311972194</v>
      </c>
      <c r="T438" s="49">
        <f t="shared" si="244"/>
        <v>14318.797311972194</v>
      </c>
      <c r="U438" s="49">
        <f t="shared" si="244"/>
        <v>14318.797311972194</v>
      </c>
      <c r="V438" s="49">
        <f t="shared" si="244"/>
        <v>14318.797311972194</v>
      </c>
      <c r="W438" s="585"/>
      <c r="X438" s="585"/>
      <c r="Y438" s="585"/>
      <c r="Z438" s="585"/>
      <c r="AA438" s="585"/>
      <c r="AB438" s="585"/>
      <c r="AC438" s="585"/>
      <c r="AD438" s="585"/>
      <c r="AE438" s="585"/>
    </row>
    <row r="439" spans="3:31" x14ac:dyDescent="0.2">
      <c r="C439" s="5" t="str">
        <f>C390</f>
        <v>Operator</v>
      </c>
      <c r="D439" s="20"/>
      <c r="F439" s="1" t="s">
        <v>51</v>
      </c>
      <c r="I439" s="49">
        <f t="shared" ref="I439" si="245">I341+I390</f>
        <v>12641.17401947777</v>
      </c>
      <c r="J439" s="49">
        <f t="shared" ref="J439" si="246">J341+J390</f>
        <v>12641.17401947777</v>
      </c>
      <c r="K439" s="49">
        <f t="shared" si="244"/>
        <v>12641.17401947777</v>
      </c>
      <c r="L439" s="49">
        <f t="shared" si="244"/>
        <v>12641.17401947777</v>
      </c>
      <c r="M439" s="49">
        <f t="shared" si="244"/>
        <v>12641.17401947777</v>
      </c>
      <c r="N439" s="49">
        <f t="shared" si="244"/>
        <v>12641.17401947777</v>
      </c>
      <c r="O439" s="49">
        <f t="shared" si="244"/>
        <v>12641.17401947777</v>
      </c>
      <c r="P439" s="49">
        <f t="shared" si="244"/>
        <v>12641.17401947777</v>
      </c>
      <c r="Q439" s="49">
        <f t="shared" si="244"/>
        <v>12641.17401947777</v>
      </c>
      <c r="R439" s="49">
        <f t="shared" si="244"/>
        <v>12641.17401947777</v>
      </c>
      <c r="S439" s="49">
        <f t="shared" si="244"/>
        <v>12641.17401947777</v>
      </c>
      <c r="T439" s="49">
        <f t="shared" si="244"/>
        <v>12641.17401947777</v>
      </c>
      <c r="U439" s="49">
        <f t="shared" si="244"/>
        <v>12641.17401947777</v>
      </c>
      <c r="V439" s="49">
        <f t="shared" si="244"/>
        <v>12641.17401947777</v>
      </c>
      <c r="W439" s="585"/>
      <c r="X439" s="585"/>
      <c r="Y439" s="585"/>
      <c r="Z439" s="585"/>
      <c r="AA439" s="585"/>
      <c r="AB439" s="585"/>
      <c r="AC439" s="585"/>
      <c r="AD439" s="585"/>
      <c r="AE439" s="585"/>
    </row>
    <row r="440" spans="3:31" x14ac:dyDescent="0.2">
      <c r="C440" s="5" t="str">
        <f>C391</f>
        <v>Operator - Casting bay</v>
      </c>
      <c r="D440" s="20"/>
      <c r="F440" s="1" t="s">
        <v>51</v>
      </c>
      <c r="I440" s="49">
        <f t="shared" ref="I440" si="247">I342+I391</f>
        <v>10188.621328759591</v>
      </c>
      <c r="J440" s="49">
        <f t="shared" ref="J440" si="248">J342+J391</f>
        <v>10188.621328759591</v>
      </c>
      <c r="K440" s="49">
        <f t="shared" si="244"/>
        <v>10188.621328759591</v>
      </c>
      <c r="L440" s="49">
        <f t="shared" si="244"/>
        <v>10188.621328759591</v>
      </c>
      <c r="M440" s="49">
        <f t="shared" si="244"/>
        <v>10188.621328759591</v>
      </c>
      <c r="N440" s="49">
        <f t="shared" si="244"/>
        <v>10188.621328759591</v>
      </c>
      <c r="O440" s="49">
        <f t="shared" si="244"/>
        <v>10188.621328759591</v>
      </c>
      <c r="P440" s="49">
        <f t="shared" si="244"/>
        <v>10188.621328759591</v>
      </c>
      <c r="Q440" s="49">
        <f t="shared" si="244"/>
        <v>10188.621328759591</v>
      </c>
      <c r="R440" s="49">
        <f t="shared" si="244"/>
        <v>10188.621328759591</v>
      </c>
      <c r="S440" s="49">
        <f t="shared" si="244"/>
        <v>10188.621328759591</v>
      </c>
      <c r="T440" s="49">
        <f t="shared" si="244"/>
        <v>10188.621328759591</v>
      </c>
      <c r="U440" s="49">
        <f t="shared" si="244"/>
        <v>10188.621328759591</v>
      </c>
      <c r="V440" s="49">
        <f t="shared" si="244"/>
        <v>10188.621328759591</v>
      </c>
      <c r="W440" s="585"/>
      <c r="X440" s="585"/>
      <c r="Y440" s="585"/>
      <c r="Z440" s="585"/>
      <c r="AA440" s="585"/>
      <c r="AB440" s="585"/>
      <c r="AC440" s="585"/>
      <c r="AD440" s="585"/>
      <c r="AE440" s="585"/>
    </row>
    <row r="441" spans="3:31" x14ac:dyDescent="0.2">
      <c r="C441" s="5"/>
      <c r="D441" s="20"/>
      <c r="I441" s="49"/>
      <c r="J441" s="49"/>
      <c r="K441" s="49"/>
      <c r="L441" s="49"/>
      <c r="M441" s="49"/>
      <c r="N441" s="49"/>
      <c r="O441" s="49"/>
      <c r="P441" s="49"/>
      <c r="Q441" s="49"/>
      <c r="R441" s="49"/>
      <c r="S441" s="49"/>
      <c r="T441" s="49"/>
      <c r="U441" s="49"/>
      <c r="V441" s="49"/>
      <c r="W441" s="585"/>
      <c r="X441" s="585"/>
      <c r="Y441" s="585"/>
      <c r="Z441" s="585"/>
      <c r="AA441" s="585"/>
      <c r="AB441" s="585"/>
      <c r="AC441" s="585"/>
      <c r="AD441" s="585"/>
      <c r="AE441" s="585"/>
    </row>
    <row r="442" spans="3:31" x14ac:dyDescent="0.2">
      <c r="C442" s="47" t="str">
        <f>C393</f>
        <v>HYL</v>
      </c>
      <c r="D442" s="20"/>
      <c r="I442" s="49"/>
      <c r="J442" s="49"/>
      <c r="K442" s="49"/>
      <c r="L442" s="49"/>
      <c r="M442" s="49"/>
      <c r="N442" s="49"/>
      <c r="O442" s="49"/>
      <c r="P442" s="49"/>
      <c r="Q442" s="49"/>
      <c r="R442" s="49"/>
      <c r="S442" s="49"/>
      <c r="T442" s="49"/>
      <c r="U442" s="49"/>
      <c r="V442" s="49"/>
      <c r="W442" s="585"/>
      <c r="X442" s="585"/>
      <c r="Y442" s="585"/>
      <c r="Z442" s="585"/>
      <c r="AA442" s="585"/>
      <c r="AB442" s="585"/>
      <c r="AC442" s="585"/>
      <c r="AD442" s="585"/>
      <c r="AE442" s="585"/>
    </row>
    <row r="443" spans="3:31" x14ac:dyDescent="0.2">
      <c r="C443" s="5" t="str">
        <f>C394</f>
        <v>Manager of HYL Production</v>
      </c>
      <c r="D443" s="20"/>
      <c r="F443" s="1" t="s">
        <v>51</v>
      </c>
      <c r="I443" s="49">
        <f t="shared" ref="I443" si="249">I345+I394</f>
        <v>38399.440782755279</v>
      </c>
      <c r="J443" s="49">
        <f t="shared" ref="J443" si="250">J345+J394</f>
        <v>38399.440782755279</v>
      </c>
      <c r="K443" s="49">
        <f t="shared" ref="K443:V446" si="251">K345+K394</f>
        <v>38399.440782755279</v>
      </c>
      <c r="L443" s="49">
        <f t="shared" si="251"/>
        <v>38399.440782755279</v>
      </c>
      <c r="M443" s="49">
        <f t="shared" si="251"/>
        <v>38399.440782755279</v>
      </c>
      <c r="N443" s="49">
        <f t="shared" si="251"/>
        <v>38399.440782755279</v>
      </c>
      <c r="O443" s="49">
        <f t="shared" si="251"/>
        <v>38399.440782755279</v>
      </c>
      <c r="P443" s="49">
        <f t="shared" si="251"/>
        <v>38399.440782755279</v>
      </c>
      <c r="Q443" s="49">
        <f t="shared" si="251"/>
        <v>38399.440782755279</v>
      </c>
      <c r="R443" s="49">
        <f t="shared" si="251"/>
        <v>38399.440782755279</v>
      </c>
      <c r="S443" s="49">
        <f t="shared" si="251"/>
        <v>38399.440782755279</v>
      </c>
      <c r="T443" s="49">
        <f t="shared" si="251"/>
        <v>38399.440782755279</v>
      </c>
      <c r="U443" s="49">
        <f t="shared" si="251"/>
        <v>38399.440782755279</v>
      </c>
      <c r="V443" s="49">
        <f t="shared" si="251"/>
        <v>38399.440782755279</v>
      </c>
      <c r="W443" s="585"/>
      <c r="X443" s="585"/>
      <c r="Y443" s="585"/>
      <c r="Z443" s="585"/>
      <c r="AA443" s="585"/>
      <c r="AB443" s="585"/>
      <c r="AC443" s="585"/>
      <c r="AD443" s="585"/>
      <c r="AE443" s="585"/>
    </row>
    <row r="444" spans="3:31" x14ac:dyDescent="0.2">
      <c r="C444" s="5" t="str">
        <f>C395</f>
        <v>Supervisor/Team Leader of HYL</v>
      </c>
      <c r="D444" s="20"/>
      <c r="F444" s="1" t="s">
        <v>51</v>
      </c>
      <c r="I444" s="49">
        <f t="shared" ref="I444" si="252">I346+I395</f>
        <v>16977.397611003216</v>
      </c>
      <c r="J444" s="49">
        <f t="shared" ref="J444" si="253">J346+J395</f>
        <v>16977.397611003216</v>
      </c>
      <c r="K444" s="49">
        <f t="shared" si="251"/>
        <v>16977.397611003216</v>
      </c>
      <c r="L444" s="49">
        <f t="shared" si="251"/>
        <v>16977.397611003216</v>
      </c>
      <c r="M444" s="49">
        <f t="shared" si="251"/>
        <v>16977.397611003216</v>
      </c>
      <c r="N444" s="49">
        <f t="shared" si="251"/>
        <v>16977.397611003216</v>
      </c>
      <c r="O444" s="49">
        <f t="shared" si="251"/>
        <v>16977.397611003216</v>
      </c>
      <c r="P444" s="49">
        <f t="shared" si="251"/>
        <v>16977.397611003216</v>
      </c>
      <c r="Q444" s="49">
        <f t="shared" si="251"/>
        <v>16977.397611003216</v>
      </c>
      <c r="R444" s="49">
        <f t="shared" si="251"/>
        <v>16977.397611003216</v>
      </c>
      <c r="S444" s="49">
        <f t="shared" si="251"/>
        <v>16977.397611003216</v>
      </c>
      <c r="T444" s="49">
        <f t="shared" si="251"/>
        <v>16977.397611003216</v>
      </c>
      <c r="U444" s="49">
        <f t="shared" si="251"/>
        <v>16977.397611003216</v>
      </c>
      <c r="V444" s="49">
        <f t="shared" si="251"/>
        <v>16977.397611003216</v>
      </c>
      <c r="W444" s="585"/>
      <c r="X444" s="585"/>
      <c r="Y444" s="585"/>
      <c r="Z444" s="585"/>
      <c r="AA444" s="585"/>
      <c r="AB444" s="585"/>
      <c r="AC444" s="585"/>
      <c r="AD444" s="585"/>
      <c r="AE444" s="585"/>
    </row>
    <row r="445" spans="3:31" x14ac:dyDescent="0.2">
      <c r="C445" s="5" t="str">
        <f>C396</f>
        <v>Senior Operator - Mechanical</v>
      </c>
      <c r="D445" s="20"/>
      <c r="F445" s="1" t="s">
        <v>51</v>
      </c>
      <c r="I445" s="49">
        <f t="shared" ref="I445" si="254">I347+I396</f>
        <v>14246.100088343908</v>
      </c>
      <c r="J445" s="49">
        <f t="shared" ref="J445" si="255">J347+J396</f>
        <v>14246.100088343908</v>
      </c>
      <c r="K445" s="49">
        <f t="shared" si="251"/>
        <v>14246.100088343908</v>
      </c>
      <c r="L445" s="49">
        <f t="shared" si="251"/>
        <v>14246.100088343908</v>
      </c>
      <c r="M445" s="49">
        <f t="shared" si="251"/>
        <v>14246.100088343908</v>
      </c>
      <c r="N445" s="49">
        <f t="shared" si="251"/>
        <v>14246.100088343908</v>
      </c>
      <c r="O445" s="49">
        <f t="shared" si="251"/>
        <v>14246.100088343908</v>
      </c>
      <c r="P445" s="49">
        <f t="shared" si="251"/>
        <v>14246.100088343908</v>
      </c>
      <c r="Q445" s="49">
        <f t="shared" si="251"/>
        <v>14246.100088343908</v>
      </c>
      <c r="R445" s="49">
        <f t="shared" si="251"/>
        <v>14246.100088343908</v>
      </c>
      <c r="S445" s="49">
        <f t="shared" si="251"/>
        <v>14246.100088343908</v>
      </c>
      <c r="T445" s="49">
        <f t="shared" si="251"/>
        <v>14246.100088343908</v>
      </c>
      <c r="U445" s="49">
        <f t="shared" si="251"/>
        <v>14246.100088343908</v>
      </c>
      <c r="V445" s="49">
        <f t="shared" si="251"/>
        <v>14246.100088343908</v>
      </c>
      <c r="W445" s="585"/>
      <c r="X445" s="585"/>
      <c r="Y445" s="585"/>
      <c r="Z445" s="585"/>
      <c r="AA445" s="585"/>
      <c r="AB445" s="585"/>
      <c r="AC445" s="585"/>
      <c r="AD445" s="585"/>
      <c r="AE445" s="585"/>
    </row>
    <row r="446" spans="3:31" x14ac:dyDescent="0.2">
      <c r="C446" s="5" t="str">
        <f>C397</f>
        <v>Operator</v>
      </c>
      <c r="D446" s="20"/>
      <c r="F446" s="1" t="s">
        <v>51</v>
      </c>
      <c r="I446" s="49">
        <f t="shared" ref="I446" si="256">I348+I397</f>
        <v>10188.621328759591</v>
      </c>
      <c r="J446" s="49">
        <f t="shared" ref="J446" si="257">J348+J397</f>
        <v>10188.621328759591</v>
      </c>
      <c r="K446" s="49">
        <f t="shared" si="251"/>
        <v>10188.621328759591</v>
      </c>
      <c r="L446" s="49">
        <f t="shared" si="251"/>
        <v>10188.621328759591</v>
      </c>
      <c r="M446" s="49">
        <f t="shared" si="251"/>
        <v>10188.621328759591</v>
      </c>
      <c r="N446" s="49">
        <f t="shared" si="251"/>
        <v>10188.621328759591</v>
      </c>
      <c r="O446" s="49">
        <f t="shared" si="251"/>
        <v>10188.621328759591</v>
      </c>
      <c r="P446" s="49">
        <f t="shared" si="251"/>
        <v>10188.621328759591</v>
      </c>
      <c r="Q446" s="49">
        <f t="shared" si="251"/>
        <v>10188.621328759591</v>
      </c>
      <c r="R446" s="49">
        <f t="shared" si="251"/>
        <v>10188.621328759591</v>
      </c>
      <c r="S446" s="49">
        <f t="shared" si="251"/>
        <v>10188.621328759591</v>
      </c>
      <c r="T446" s="49">
        <f t="shared" si="251"/>
        <v>10188.621328759591</v>
      </c>
      <c r="U446" s="49">
        <f t="shared" si="251"/>
        <v>10188.621328759591</v>
      </c>
      <c r="V446" s="49">
        <f t="shared" si="251"/>
        <v>10188.621328759591</v>
      </c>
      <c r="W446" s="585"/>
      <c r="X446" s="585"/>
      <c r="Y446" s="585"/>
      <c r="Z446" s="585"/>
      <c r="AA446" s="585"/>
      <c r="AB446" s="585"/>
      <c r="AC446" s="585"/>
      <c r="AD446" s="585"/>
      <c r="AE446" s="585"/>
    </row>
    <row r="447" spans="3:31" x14ac:dyDescent="0.2">
      <c r="C447" s="5"/>
      <c r="D447" s="20"/>
      <c r="I447" s="49"/>
      <c r="J447" s="49"/>
      <c r="K447" s="49"/>
      <c r="L447" s="49"/>
      <c r="M447" s="49"/>
      <c r="N447" s="49"/>
      <c r="O447" s="49"/>
      <c r="P447" s="49"/>
      <c r="Q447" s="49"/>
      <c r="R447" s="49"/>
      <c r="S447" s="49"/>
      <c r="T447" s="49"/>
      <c r="U447" s="49"/>
      <c r="V447" s="49"/>
      <c r="W447" s="585"/>
      <c r="X447" s="585"/>
      <c r="Y447" s="585"/>
      <c r="Z447" s="585"/>
      <c r="AA447" s="585"/>
      <c r="AB447" s="585"/>
      <c r="AC447" s="585"/>
      <c r="AD447" s="585"/>
      <c r="AE447" s="585"/>
    </row>
    <row r="448" spans="3:31" x14ac:dyDescent="0.2">
      <c r="C448" s="47" t="str">
        <f>C399</f>
        <v>Cold Processing</v>
      </c>
      <c r="D448" s="20"/>
      <c r="I448" s="49"/>
      <c r="J448" s="49"/>
      <c r="K448" s="49"/>
      <c r="L448" s="49"/>
      <c r="M448" s="49"/>
      <c r="N448" s="49"/>
      <c r="O448" s="49"/>
      <c r="P448" s="49"/>
      <c r="Q448" s="49"/>
      <c r="R448" s="49"/>
      <c r="S448" s="49"/>
      <c r="T448" s="49"/>
      <c r="U448" s="49"/>
      <c r="V448" s="49"/>
      <c r="W448" s="585"/>
      <c r="X448" s="585"/>
      <c r="Y448" s="585"/>
      <c r="Z448" s="585"/>
      <c r="AA448" s="585"/>
      <c r="AB448" s="585"/>
      <c r="AC448" s="585"/>
      <c r="AD448" s="585"/>
      <c r="AE448" s="585"/>
    </row>
    <row r="449" spans="3:31" x14ac:dyDescent="0.2">
      <c r="C449" s="5" t="str">
        <f>C400</f>
        <v>Manager of Cold Processing Production</v>
      </c>
      <c r="D449" s="20"/>
      <c r="F449" s="1" t="s">
        <v>51</v>
      </c>
      <c r="I449" s="49">
        <f t="shared" ref="I449" si="258">I351+I400</f>
        <v>38399.440782755279</v>
      </c>
      <c r="J449" s="49">
        <f t="shared" ref="J449" si="259">J351+J400</f>
        <v>38399.440782755279</v>
      </c>
      <c r="K449" s="49">
        <f t="shared" ref="K449:V451" si="260">K351+K400</f>
        <v>38399.440782755279</v>
      </c>
      <c r="L449" s="49">
        <f t="shared" si="260"/>
        <v>38399.440782755279</v>
      </c>
      <c r="M449" s="49">
        <f t="shared" si="260"/>
        <v>38399.440782755279</v>
      </c>
      <c r="N449" s="49">
        <f t="shared" si="260"/>
        <v>38399.440782755279</v>
      </c>
      <c r="O449" s="49">
        <f t="shared" si="260"/>
        <v>38399.440782755279</v>
      </c>
      <c r="P449" s="49">
        <f t="shared" si="260"/>
        <v>38399.440782755279</v>
      </c>
      <c r="Q449" s="49">
        <f t="shared" si="260"/>
        <v>38399.440782755279</v>
      </c>
      <c r="R449" s="49">
        <f t="shared" si="260"/>
        <v>38399.440782755279</v>
      </c>
      <c r="S449" s="49">
        <f t="shared" si="260"/>
        <v>38399.440782755279</v>
      </c>
      <c r="T449" s="49">
        <f t="shared" si="260"/>
        <v>38399.440782755279</v>
      </c>
      <c r="U449" s="49">
        <f t="shared" si="260"/>
        <v>38399.440782755279</v>
      </c>
      <c r="V449" s="49">
        <f t="shared" si="260"/>
        <v>38399.440782755279</v>
      </c>
      <c r="W449" s="585"/>
      <c r="X449" s="585"/>
      <c r="Y449" s="585"/>
      <c r="Z449" s="585"/>
      <c r="AA449" s="585"/>
      <c r="AB449" s="585"/>
      <c r="AC449" s="585"/>
      <c r="AD449" s="585"/>
      <c r="AE449" s="585"/>
    </row>
    <row r="450" spans="3:31" x14ac:dyDescent="0.2">
      <c r="C450" s="5" t="str">
        <f>C401</f>
        <v xml:space="preserve">Senior Operator </v>
      </c>
      <c r="D450" s="20"/>
      <c r="F450" s="1" t="s">
        <v>51</v>
      </c>
      <c r="I450" s="49">
        <f t="shared" ref="I450" si="261">I352+I401</f>
        <v>12880.451327014254</v>
      </c>
      <c r="J450" s="49">
        <f t="shared" ref="J450" si="262">J352+J401</f>
        <v>12880.451327014254</v>
      </c>
      <c r="K450" s="49">
        <f t="shared" si="260"/>
        <v>12880.451327014254</v>
      </c>
      <c r="L450" s="49">
        <f t="shared" si="260"/>
        <v>12880.451327014254</v>
      </c>
      <c r="M450" s="49">
        <f t="shared" si="260"/>
        <v>12880.451327014254</v>
      </c>
      <c r="N450" s="49">
        <f t="shared" si="260"/>
        <v>12880.451327014254</v>
      </c>
      <c r="O450" s="49">
        <f t="shared" si="260"/>
        <v>12880.451327014254</v>
      </c>
      <c r="P450" s="49">
        <f t="shared" si="260"/>
        <v>12880.451327014254</v>
      </c>
      <c r="Q450" s="49">
        <f t="shared" si="260"/>
        <v>12880.451327014254</v>
      </c>
      <c r="R450" s="49">
        <f t="shared" si="260"/>
        <v>12880.451327014254</v>
      </c>
      <c r="S450" s="49">
        <f t="shared" si="260"/>
        <v>12880.451327014254</v>
      </c>
      <c r="T450" s="49">
        <f t="shared" si="260"/>
        <v>12880.451327014254</v>
      </c>
      <c r="U450" s="49">
        <f t="shared" si="260"/>
        <v>12880.451327014254</v>
      </c>
      <c r="V450" s="49">
        <f t="shared" si="260"/>
        <v>12880.451327014254</v>
      </c>
      <c r="W450" s="585"/>
      <c r="X450" s="585"/>
      <c r="Y450" s="585"/>
      <c r="Z450" s="585"/>
      <c r="AA450" s="585"/>
      <c r="AB450" s="585"/>
      <c r="AC450" s="585"/>
      <c r="AD450" s="585"/>
      <c r="AE450" s="585"/>
    </row>
    <row r="451" spans="3:31" x14ac:dyDescent="0.2">
      <c r="C451" s="5" t="str">
        <f>C402</f>
        <v>Operator</v>
      </c>
      <c r="D451" s="20"/>
      <c r="F451" s="1" t="s">
        <v>51</v>
      </c>
      <c r="I451" s="49">
        <f t="shared" ref="I451" si="263">I353+I402</f>
        <v>10643.698601973683</v>
      </c>
      <c r="J451" s="49">
        <f t="shared" ref="J451" si="264">J353+J402</f>
        <v>10643.698601973683</v>
      </c>
      <c r="K451" s="49">
        <f t="shared" si="260"/>
        <v>10643.698601973683</v>
      </c>
      <c r="L451" s="49">
        <f t="shared" si="260"/>
        <v>10643.698601973683</v>
      </c>
      <c r="M451" s="49">
        <f t="shared" si="260"/>
        <v>10643.698601973683</v>
      </c>
      <c r="N451" s="49">
        <f t="shared" si="260"/>
        <v>10643.698601973683</v>
      </c>
      <c r="O451" s="49">
        <f t="shared" si="260"/>
        <v>10643.698601973683</v>
      </c>
      <c r="P451" s="49">
        <f t="shared" si="260"/>
        <v>10643.698601973683</v>
      </c>
      <c r="Q451" s="49">
        <f t="shared" si="260"/>
        <v>10643.698601973683</v>
      </c>
      <c r="R451" s="49">
        <f t="shared" si="260"/>
        <v>10643.698601973683</v>
      </c>
      <c r="S451" s="49">
        <f t="shared" si="260"/>
        <v>10643.698601973683</v>
      </c>
      <c r="T451" s="49">
        <f t="shared" si="260"/>
        <v>10643.698601973683</v>
      </c>
      <c r="U451" s="49">
        <f t="shared" si="260"/>
        <v>10643.698601973683</v>
      </c>
      <c r="V451" s="49">
        <f t="shared" si="260"/>
        <v>10643.698601973683</v>
      </c>
      <c r="W451" s="585"/>
      <c r="X451" s="585"/>
      <c r="Y451" s="585"/>
      <c r="Z451" s="585"/>
      <c r="AA451" s="585"/>
      <c r="AB451" s="585"/>
      <c r="AC451" s="585"/>
      <c r="AD451" s="585"/>
      <c r="AE451" s="585"/>
    </row>
    <row r="452" spans="3:31" x14ac:dyDescent="0.2">
      <c r="C452" s="5"/>
      <c r="D452" s="20"/>
      <c r="I452" s="49"/>
      <c r="J452" s="49"/>
      <c r="K452" s="49"/>
      <c r="L452" s="49"/>
      <c r="M452" s="49"/>
      <c r="N452" s="49"/>
      <c r="O452" s="49"/>
      <c r="P452" s="49"/>
      <c r="Q452" s="49"/>
      <c r="R452" s="49"/>
      <c r="S452" s="49"/>
      <c r="T452" s="49"/>
      <c r="U452" s="49"/>
      <c r="V452" s="49"/>
      <c r="W452" s="585"/>
      <c r="X452" s="585"/>
      <c r="Y452" s="585"/>
      <c r="Z452" s="585"/>
      <c r="AA452" s="585"/>
      <c r="AB452" s="585"/>
      <c r="AC452" s="585"/>
      <c r="AD452" s="585"/>
      <c r="AE452" s="585"/>
    </row>
    <row r="453" spans="3:31" x14ac:dyDescent="0.2">
      <c r="C453" s="47" t="str">
        <f t="shared" ref="C453:C460" si="265">C404</f>
        <v>Shared Personnel</v>
      </c>
      <c r="D453" s="20"/>
      <c r="I453" s="49"/>
      <c r="J453" s="49"/>
      <c r="K453" s="49"/>
      <c r="L453" s="49"/>
      <c r="M453" s="49"/>
      <c r="N453" s="49"/>
      <c r="O453" s="49"/>
      <c r="P453" s="49"/>
      <c r="Q453" s="49"/>
      <c r="R453" s="49"/>
      <c r="S453" s="49"/>
      <c r="T453" s="49"/>
      <c r="U453" s="49"/>
      <c r="V453" s="49"/>
      <c r="W453" s="585"/>
      <c r="X453" s="585"/>
      <c r="Y453" s="585"/>
      <c r="Z453" s="585"/>
      <c r="AA453" s="585"/>
      <c r="AB453" s="585"/>
      <c r="AC453" s="585"/>
      <c r="AD453" s="585"/>
      <c r="AE453" s="585"/>
    </row>
    <row r="454" spans="3:31" x14ac:dyDescent="0.2">
      <c r="C454" s="5" t="str">
        <f t="shared" si="265"/>
        <v>Maintenance Manager</v>
      </c>
      <c r="D454" s="20"/>
      <c r="F454" s="1" t="s">
        <v>51</v>
      </c>
      <c r="I454" s="49">
        <f t="shared" ref="I454" si="266">I356+I405</f>
        <v>31250.898225837289</v>
      </c>
      <c r="J454" s="49">
        <f t="shared" ref="J454" si="267">J356+J405</f>
        <v>31250.898225837289</v>
      </c>
      <c r="K454" s="49">
        <f t="shared" ref="K454:V460" si="268">K356+K405</f>
        <v>31250.898225837289</v>
      </c>
      <c r="L454" s="49">
        <f t="shared" si="268"/>
        <v>31250.898225837289</v>
      </c>
      <c r="M454" s="49">
        <f t="shared" si="268"/>
        <v>31250.898225837289</v>
      </c>
      <c r="N454" s="49">
        <f t="shared" si="268"/>
        <v>31250.898225837289</v>
      </c>
      <c r="O454" s="49">
        <f t="shared" si="268"/>
        <v>31250.898225837289</v>
      </c>
      <c r="P454" s="49">
        <f t="shared" si="268"/>
        <v>31250.898225837289</v>
      </c>
      <c r="Q454" s="49">
        <f t="shared" si="268"/>
        <v>31250.898225837289</v>
      </c>
      <c r="R454" s="49">
        <f t="shared" si="268"/>
        <v>31250.898225837289</v>
      </c>
      <c r="S454" s="49">
        <f t="shared" si="268"/>
        <v>31250.898225837289</v>
      </c>
      <c r="T454" s="49">
        <f t="shared" si="268"/>
        <v>31250.898225837289</v>
      </c>
      <c r="U454" s="49">
        <f t="shared" si="268"/>
        <v>31250.898225837289</v>
      </c>
      <c r="V454" s="49">
        <f t="shared" si="268"/>
        <v>31250.898225837289</v>
      </c>
      <c r="W454" s="585"/>
      <c r="X454" s="585"/>
      <c r="Y454" s="585"/>
      <c r="Z454" s="585"/>
      <c r="AA454" s="585"/>
      <c r="AB454" s="585"/>
      <c r="AC454" s="585"/>
      <c r="AD454" s="585"/>
      <c r="AE454" s="585"/>
    </row>
    <row r="455" spans="3:31" x14ac:dyDescent="0.2">
      <c r="C455" s="5" t="str">
        <f t="shared" si="265"/>
        <v>Mechanical Engineer</v>
      </c>
      <c r="D455" s="20"/>
      <c r="F455" s="1" t="s">
        <v>51</v>
      </c>
      <c r="I455" s="49">
        <f t="shared" ref="I455" si="269">I357+I406</f>
        <v>23015.415788651731</v>
      </c>
      <c r="J455" s="49">
        <f t="shared" ref="J455" si="270">J357+J406</f>
        <v>23015.415788651731</v>
      </c>
      <c r="K455" s="49">
        <f t="shared" si="268"/>
        <v>23015.415788651731</v>
      </c>
      <c r="L455" s="49">
        <f t="shared" si="268"/>
        <v>23015.415788651731</v>
      </c>
      <c r="M455" s="49">
        <f t="shared" si="268"/>
        <v>23015.415788651731</v>
      </c>
      <c r="N455" s="49">
        <f t="shared" si="268"/>
        <v>23015.415788651731</v>
      </c>
      <c r="O455" s="49">
        <f t="shared" si="268"/>
        <v>23015.415788651731</v>
      </c>
      <c r="P455" s="49">
        <f t="shared" si="268"/>
        <v>23015.415788651731</v>
      </c>
      <c r="Q455" s="49">
        <f t="shared" si="268"/>
        <v>23015.415788651731</v>
      </c>
      <c r="R455" s="49">
        <f t="shared" si="268"/>
        <v>23015.415788651731</v>
      </c>
      <c r="S455" s="49">
        <f t="shared" si="268"/>
        <v>23015.415788651731</v>
      </c>
      <c r="T455" s="49">
        <f t="shared" si="268"/>
        <v>23015.415788651731</v>
      </c>
      <c r="U455" s="49">
        <f t="shared" si="268"/>
        <v>23015.415788651731</v>
      </c>
      <c r="V455" s="49">
        <f t="shared" si="268"/>
        <v>23015.415788651731</v>
      </c>
      <c r="W455" s="585"/>
      <c r="X455" s="585"/>
      <c r="Y455" s="585"/>
      <c r="Z455" s="585"/>
      <c r="AA455" s="585"/>
      <c r="AB455" s="585"/>
      <c r="AC455" s="585"/>
      <c r="AD455" s="585"/>
      <c r="AE455" s="585"/>
    </row>
    <row r="456" spans="3:31" x14ac:dyDescent="0.2">
      <c r="C456" s="5" t="str">
        <f t="shared" si="265"/>
        <v>Electrical Engineer</v>
      </c>
      <c r="D456" s="20"/>
      <c r="F456" s="1" t="s">
        <v>51</v>
      </c>
      <c r="I456" s="49">
        <f t="shared" ref="I456" si="271">I358+I407</f>
        <v>23015.415788651731</v>
      </c>
      <c r="J456" s="49">
        <f t="shared" ref="J456" si="272">J358+J407</f>
        <v>23015.415788651731</v>
      </c>
      <c r="K456" s="49">
        <f t="shared" si="268"/>
        <v>23015.415788651731</v>
      </c>
      <c r="L456" s="49">
        <f t="shared" si="268"/>
        <v>23015.415788651731</v>
      </c>
      <c r="M456" s="49">
        <f t="shared" si="268"/>
        <v>23015.415788651731</v>
      </c>
      <c r="N456" s="49">
        <f t="shared" si="268"/>
        <v>23015.415788651731</v>
      </c>
      <c r="O456" s="49">
        <f t="shared" si="268"/>
        <v>23015.415788651731</v>
      </c>
      <c r="P456" s="49">
        <f t="shared" si="268"/>
        <v>23015.415788651731</v>
      </c>
      <c r="Q456" s="49">
        <f t="shared" si="268"/>
        <v>23015.415788651731</v>
      </c>
      <c r="R456" s="49">
        <f t="shared" si="268"/>
        <v>23015.415788651731</v>
      </c>
      <c r="S456" s="49">
        <f t="shared" si="268"/>
        <v>23015.415788651731</v>
      </c>
      <c r="T456" s="49">
        <f t="shared" si="268"/>
        <v>23015.415788651731</v>
      </c>
      <c r="U456" s="49">
        <f t="shared" si="268"/>
        <v>23015.415788651731</v>
      </c>
      <c r="V456" s="49">
        <f t="shared" si="268"/>
        <v>23015.415788651731</v>
      </c>
      <c r="W456" s="585"/>
      <c r="X456" s="585"/>
      <c r="Y456" s="585"/>
      <c r="Z456" s="585"/>
      <c r="AA456" s="585"/>
      <c r="AB456" s="585"/>
      <c r="AC456" s="585"/>
      <c r="AD456" s="585"/>
      <c r="AE456" s="585"/>
    </row>
    <row r="457" spans="3:31" x14ac:dyDescent="0.2">
      <c r="C457" s="5" t="str">
        <f t="shared" si="265"/>
        <v>Information Systems Technician</v>
      </c>
      <c r="D457" s="20"/>
      <c r="F457" s="1" t="s">
        <v>51</v>
      </c>
      <c r="I457" s="49">
        <f t="shared" ref="I457" si="273">I359+I408</f>
        <v>16977.397611003216</v>
      </c>
      <c r="J457" s="49">
        <f t="shared" ref="J457" si="274">J359+J408</f>
        <v>16977.397611003216</v>
      </c>
      <c r="K457" s="49">
        <f t="shared" si="268"/>
        <v>16977.397611003216</v>
      </c>
      <c r="L457" s="49">
        <f t="shared" si="268"/>
        <v>16977.397611003216</v>
      </c>
      <c r="M457" s="49">
        <f t="shared" si="268"/>
        <v>16977.397611003216</v>
      </c>
      <c r="N457" s="49">
        <f t="shared" si="268"/>
        <v>16977.397611003216</v>
      </c>
      <c r="O457" s="49">
        <f t="shared" si="268"/>
        <v>16977.397611003216</v>
      </c>
      <c r="P457" s="49">
        <f t="shared" si="268"/>
        <v>16977.397611003216</v>
      </c>
      <c r="Q457" s="49">
        <f t="shared" si="268"/>
        <v>16977.397611003216</v>
      </c>
      <c r="R457" s="49">
        <f t="shared" si="268"/>
        <v>16977.397611003216</v>
      </c>
      <c r="S457" s="49">
        <f t="shared" si="268"/>
        <v>16977.397611003216</v>
      </c>
      <c r="T457" s="49">
        <f t="shared" si="268"/>
        <v>16977.397611003216</v>
      </c>
      <c r="U457" s="49">
        <f t="shared" si="268"/>
        <v>16977.397611003216</v>
      </c>
      <c r="V457" s="49">
        <f t="shared" si="268"/>
        <v>16977.397611003216</v>
      </c>
      <c r="W457" s="585"/>
      <c r="X457" s="585"/>
      <c r="Y457" s="585"/>
      <c r="Z457" s="585"/>
      <c r="AA457" s="585"/>
      <c r="AB457" s="585"/>
      <c r="AC457" s="585"/>
      <c r="AD457" s="585"/>
      <c r="AE457" s="585"/>
    </row>
    <row r="458" spans="3:31" x14ac:dyDescent="0.2">
      <c r="C458" s="5" t="str">
        <f t="shared" si="265"/>
        <v>Craft Maintenance - Electrical</v>
      </c>
      <c r="D458" s="20"/>
      <c r="F458" s="1" t="s">
        <v>51</v>
      </c>
      <c r="I458" s="49">
        <f t="shared" ref="I458" si="275">I360+I409</f>
        <v>14246.100088343908</v>
      </c>
      <c r="J458" s="49">
        <f t="shared" ref="J458" si="276">J360+J409</f>
        <v>14246.100088343908</v>
      </c>
      <c r="K458" s="49">
        <f t="shared" si="268"/>
        <v>14246.100088343908</v>
      </c>
      <c r="L458" s="49">
        <f t="shared" si="268"/>
        <v>14246.100088343908</v>
      </c>
      <c r="M458" s="49">
        <f t="shared" si="268"/>
        <v>14246.100088343908</v>
      </c>
      <c r="N458" s="49">
        <f t="shared" si="268"/>
        <v>14246.100088343908</v>
      </c>
      <c r="O458" s="49">
        <f t="shared" si="268"/>
        <v>14246.100088343908</v>
      </c>
      <c r="P458" s="49">
        <f t="shared" si="268"/>
        <v>14246.100088343908</v>
      </c>
      <c r="Q458" s="49">
        <f t="shared" si="268"/>
        <v>14246.100088343908</v>
      </c>
      <c r="R458" s="49">
        <f t="shared" si="268"/>
        <v>14246.100088343908</v>
      </c>
      <c r="S458" s="49">
        <f t="shared" si="268"/>
        <v>14246.100088343908</v>
      </c>
      <c r="T458" s="49">
        <f t="shared" si="268"/>
        <v>14246.100088343908</v>
      </c>
      <c r="U458" s="49">
        <f t="shared" si="268"/>
        <v>14246.100088343908</v>
      </c>
      <c r="V458" s="49">
        <f t="shared" si="268"/>
        <v>14246.100088343908</v>
      </c>
      <c r="W458" s="585"/>
      <c r="X458" s="585"/>
      <c r="Y458" s="585"/>
      <c r="Z458" s="585"/>
      <c r="AA458" s="585"/>
      <c r="AB458" s="585"/>
      <c r="AC458" s="585"/>
      <c r="AD458" s="585"/>
      <c r="AE458" s="585"/>
    </row>
    <row r="459" spans="3:31" x14ac:dyDescent="0.2">
      <c r="C459" s="5" t="str">
        <f t="shared" si="265"/>
        <v>Craft Maintenance - Mechanical</v>
      </c>
      <c r="D459" s="20"/>
      <c r="F459" s="1" t="s">
        <v>51</v>
      </c>
      <c r="I459" s="49">
        <f t="shared" ref="I459" si="277">I361+I410</f>
        <v>14246.100088343908</v>
      </c>
      <c r="J459" s="49">
        <f t="shared" ref="J459" si="278">J361+J410</f>
        <v>14246.100088343908</v>
      </c>
      <c r="K459" s="49">
        <f t="shared" si="268"/>
        <v>14246.100088343908</v>
      </c>
      <c r="L459" s="49">
        <f t="shared" si="268"/>
        <v>14246.100088343908</v>
      </c>
      <c r="M459" s="49">
        <f t="shared" si="268"/>
        <v>14246.100088343908</v>
      </c>
      <c r="N459" s="49">
        <f t="shared" si="268"/>
        <v>14246.100088343908</v>
      </c>
      <c r="O459" s="49">
        <f t="shared" si="268"/>
        <v>14246.100088343908</v>
      </c>
      <c r="P459" s="49">
        <f t="shared" si="268"/>
        <v>14246.100088343908</v>
      </c>
      <c r="Q459" s="49">
        <f t="shared" si="268"/>
        <v>14246.100088343908</v>
      </c>
      <c r="R459" s="49">
        <f t="shared" si="268"/>
        <v>14246.100088343908</v>
      </c>
      <c r="S459" s="49">
        <f t="shared" si="268"/>
        <v>14246.100088343908</v>
      </c>
      <c r="T459" s="49">
        <f t="shared" si="268"/>
        <v>14246.100088343908</v>
      </c>
      <c r="U459" s="49">
        <f t="shared" si="268"/>
        <v>14246.100088343908</v>
      </c>
      <c r="V459" s="49">
        <f t="shared" si="268"/>
        <v>14246.100088343908</v>
      </c>
      <c r="W459" s="585"/>
      <c r="X459" s="585"/>
      <c r="Y459" s="585"/>
      <c r="Z459" s="585"/>
      <c r="AA459" s="585"/>
      <c r="AB459" s="585"/>
      <c r="AC459" s="585"/>
      <c r="AD459" s="585"/>
      <c r="AE459" s="585"/>
    </row>
    <row r="460" spans="3:31" x14ac:dyDescent="0.2">
      <c r="C460" s="5" t="str">
        <f t="shared" si="265"/>
        <v>Quality Control Engineer</v>
      </c>
      <c r="D460" s="20"/>
      <c r="F460" s="1" t="s">
        <v>51</v>
      </c>
      <c r="I460" s="49">
        <f t="shared" ref="I460" si="279">I362+I411</f>
        <v>12880.451327014254</v>
      </c>
      <c r="J460" s="49">
        <f t="shared" ref="J460" si="280">J362+J411</f>
        <v>12880.451327014254</v>
      </c>
      <c r="K460" s="49">
        <f t="shared" si="268"/>
        <v>12880.451327014254</v>
      </c>
      <c r="L460" s="49">
        <f t="shared" si="268"/>
        <v>12880.451327014254</v>
      </c>
      <c r="M460" s="49">
        <f t="shared" si="268"/>
        <v>12880.451327014254</v>
      </c>
      <c r="N460" s="49">
        <f t="shared" si="268"/>
        <v>12880.451327014254</v>
      </c>
      <c r="O460" s="49">
        <f t="shared" si="268"/>
        <v>12880.451327014254</v>
      </c>
      <c r="P460" s="49">
        <f t="shared" si="268"/>
        <v>12880.451327014254</v>
      </c>
      <c r="Q460" s="49">
        <f t="shared" si="268"/>
        <v>12880.451327014254</v>
      </c>
      <c r="R460" s="49">
        <f t="shared" si="268"/>
        <v>12880.451327014254</v>
      </c>
      <c r="S460" s="49">
        <f t="shared" si="268"/>
        <v>12880.451327014254</v>
      </c>
      <c r="T460" s="49">
        <f t="shared" si="268"/>
        <v>12880.451327014254</v>
      </c>
      <c r="U460" s="49">
        <f t="shared" si="268"/>
        <v>12880.451327014254</v>
      </c>
      <c r="V460" s="49">
        <f t="shared" si="268"/>
        <v>12880.451327014254</v>
      </c>
      <c r="W460" s="585"/>
      <c r="X460" s="585"/>
      <c r="Y460" s="585"/>
      <c r="Z460" s="585"/>
      <c r="AA460" s="585"/>
      <c r="AB460" s="585"/>
      <c r="AC460" s="585"/>
      <c r="AD460" s="585"/>
      <c r="AE460" s="585"/>
    </row>
    <row r="461" spans="3:31" x14ac:dyDescent="0.2">
      <c r="C461" s="5"/>
      <c r="D461" s="20"/>
      <c r="L461" s="49"/>
      <c r="M461" s="49"/>
      <c r="N461" s="49"/>
      <c r="O461" s="49"/>
      <c r="P461" s="49"/>
      <c r="Q461" s="49"/>
      <c r="R461" s="49"/>
      <c r="S461" s="49"/>
      <c r="T461" s="49"/>
      <c r="U461" s="49"/>
      <c r="V461" s="49"/>
      <c r="W461" s="585"/>
      <c r="X461" s="585"/>
      <c r="Y461" s="585"/>
      <c r="Z461" s="585"/>
      <c r="AA461" s="585"/>
      <c r="AB461" s="585"/>
      <c r="AC461" s="585"/>
      <c r="AD461" s="585"/>
      <c r="AE461" s="585"/>
    </row>
    <row r="462" spans="3:31" x14ac:dyDescent="0.2">
      <c r="C462" s="47" t="str">
        <f t="shared" ref="C462:C471" si="281">C413</f>
        <v>Selling, General &amp; Administrative</v>
      </c>
      <c r="D462" s="20"/>
      <c r="L462" s="49"/>
      <c r="M462" s="49"/>
      <c r="N462" s="49"/>
      <c r="O462" s="49"/>
      <c r="P462" s="49"/>
      <c r="Q462" s="49"/>
      <c r="R462" s="49"/>
      <c r="S462" s="49"/>
      <c r="T462" s="49"/>
      <c r="U462" s="49"/>
      <c r="V462" s="49"/>
      <c r="W462" s="585"/>
      <c r="X462" s="585"/>
      <c r="Y462" s="585"/>
      <c r="Z462" s="585"/>
      <c r="AA462" s="585"/>
      <c r="AB462" s="585"/>
      <c r="AC462" s="585"/>
      <c r="AD462" s="585"/>
      <c r="AE462" s="585"/>
    </row>
    <row r="463" spans="3:31" x14ac:dyDescent="0.2">
      <c r="C463" s="5" t="str">
        <f t="shared" si="281"/>
        <v>CEO, CFO, COO</v>
      </c>
      <c r="D463" s="20"/>
      <c r="F463" s="1" t="s">
        <v>51</v>
      </c>
      <c r="I463" s="49">
        <f t="shared" ref="I463" si="282">I365+I414</f>
        <v>51323.154510012391</v>
      </c>
      <c r="J463" s="49">
        <f t="shared" ref="J463" si="283">J365+J414</f>
        <v>51323.154510012391</v>
      </c>
      <c r="K463" s="49">
        <f t="shared" ref="K463:V471" si="284">K365+K414</f>
        <v>51323.154510012391</v>
      </c>
      <c r="L463" s="49">
        <f t="shared" si="284"/>
        <v>51323.154510012391</v>
      </c>
      <c r="M463" s="49">
        <f t="shared" si="284"/>
        <v>51323.154510012391</v>
      </c>
      <c r="N463" s="49">
        <f t="shared" si="284"/>
        <v>51323.154510012391</v>
      </c>
      <c r="O463" s="49">
        <f t="shared" si="284"/>
        <v>51323.154510012391</v>
      </c>
      <c r="P463" s="49">
        <f t="shared" si="284"/>
        <v>51323.154510012391</v>
      </c>
      <c r="Q463" s="49">
        <f t="shared" si="284"/>
        <v>51323.154510012391</v>
      </c>
      <c r="R463" s="49">
        <f t="shared" si="284"/>
        <v>51323.154510012391</v>
      </c>
      <c r="S463" s="49">
        <f t="shared" si="284"/>
        <v>51323.154510012391</v>
      </c>
      <c r="T463" s="49">
        <f t="shared" si="284"/>
        <v>51323.154510012391</v>
      </c>
      <c r="U463" s="49">
        <f t="shared" si="284"/>
        <v>51323.154510012391</v>
      </c>
      <c r="V463" s="49">
        <f t="shared" si="284"/>
        <v>51323.154510012391</v>
      </c>
      <c r="W463" s="585"/>
      <c r="X463" s="585"/>
      <c r="Y463" s="585"/>
      <c r="Z463" s="585"/>
      <c r="AA463" s="585"/>
      <c r="AB463" s="585"/>
      <c r="AC463" s="585"/>
      <c r="AD463" s="585"/>
      <c r="AE463" s="585"/>
    </row>
    <row r="464" spans="3:31" x14ac:dyDescent="0.2">
      <c r="C464" s="5" t="str">
        <f t="shared" si="281"/>
        <v>Administrator</v>
      </c>
      <c r="D464" s="20"/>
      <c r="F464" s="1" t="s">
        <v>51</v>
      </c>
      <c r="I464" s="49">
        <f t="shared" ref="I464" si="285">I366+I415</f>
        <v>9839.7802441758668</v>
      </c>
      <c r="J464" s="49">
        <f t="shared" ref="J464" si="286">J366+J415</f>
        <v>9839.7802441758668</v>
      </c>
      <c r="K464" s="49">
        <f t="shared" si="284"/>
        <v>9839.7802441758668</v>
      </c>
      <c r="L464" s="49">
        <f t="shared" si="284"/>
        <v>9839.7802441758668</v>
      </c>
      <c r="M464" s="49">
        <f t="shared" si="284"/>
        <v>9839.7802441758668</v>
      </c>
      <c r="N464" s="49">
        <f t="shared" si="284"/>
        <v>9839.7802441758668</v>
      </c>
      <c r="O464" s="49">
        <f t="shared" si="284"/>
        <v>9839.7802441758668</v>
      </c>
      <c r="P464" s="49">
        <f t="shared" si="284"/>
        <v>9839.7802441758668</v>
      </c>
      <c r="Q464" s="49">
        <f t="shared" si="284"/>
        <v>9839.7802441758668</v>
      </c>
      <c r="R464" s="49">
        <f t="shared" si="284"/>
        <v>9839.7802441758668</v>
      </c>
      <c r="S464" s="49">
        <f t="shared" si="284"/>
        <v>9839.7802441758668</v>
      </c>
      <c r="T464" s="49">
        <f t="shared" si="284"/>
        <v>9839.7802441758668</v>
      </c>
      <c r="U464" s="49">
        <f t="shared" si="284"/>
        <v>9839.7802441758668</v>
      </c>
      <c r="V464" s="49">
        <f t="shared" si="284"/>
        <v>9839.7802441758668</v>
      </c>
      <c r="W464" s="585"/>
      <c r="X464" s="585"/>
      <c r="Y464" s="585"/>
      <c r="Z464" s="585"/>
      <c r="AA464" s="585"/>
      <c r="AB464" s="585"/>
      <c r="AC464" s="585"/>
      <c r="AD464" s="585"/>
      <c r="AE464" s="585"/>
    </row>
    <row r="465" spans="2:31" x14ac:dyDescent="0.2">
      <c r="C465" s="5" t="str">
        <f t="shared" si="281"/>
        <v xml:space="preserve">Accounting </v>
      </c>
      <c r="D465" s="20"/>
      <c r="F465" s="1" t="s">
        <v>51</v>
      </c>
      <c r="I465" s="49">
        <f t="shared" ref="I465" si="287">I367+I416</f>
        <v>19708.695133662521</v>
      </c>
      <c r="J465" s="49">
        <f t="shared" ref="J465" si="288">J367+J416</f>
        <v>19708.695133662521</v>
      </c>
      <c r="K465" s="49">
        <f t="shared" si="284"/>
        <v>19708.695133662521</v>
      </c>
      <c r="L465" s="49">
        <f t="shared" si="284"/>
        <v>19708.695133662521</v>
      </c>
      <c r="M465" s="49">
        <f t="shared" si="284"/>
        <v>19708.695133662521</v>
      </c>
      <c r="N465" s="49">
        <f t="shared" si="284"/>
        <v>19708.695133662521</v>
      </c>
      <c r="O465" s="49">
        <f t="shared" si="284"/>
        <v>19708.695133662521</v>
      </c>
      <c r="P465" s="49">
        <f t="shared" si="284"/>
        <v>19708.695133662521</v>
      </c>
      <c r="Q465" s="49">
        <f t="shared" si="284"/>
        <v>19708.695133662521</v>
      </c>
      <c r="R465" s="49">
        <f t="shared" si="284"/>
        <v>19708.695133662521</v>
      </c>
      <c r="S465" s="49">
        <f t="shared" si="284"/>
        <v>19708.695133662521</v>
      </c>
      <c r="T465" s="49">
        <f t="shared" si="284"/>
        <v>19708.695133662521</v>
      </c>
      <c r="U465" s="49">
        <f t="shared" si="284"/>
        <v>19708.695133662521</v>
      </c>
      <c r="V465" s="49">
        <f t="shared" si="284"/>
        <v>19708.695133662521</v>
      </c>
      <c r="W465" s="585"/>
      <c r="X465" s="585"/>
      <c r="Y465" s="585"/>
      <c r="Z465" s="585"/>
      <c r="AA465" s="585"/>
      <c r="AB465" s="585"/>
      <c r="AC465" s="585"/>
      <c r="AD465" s="585"/>
      <c r="AE465" s="585"/>
    </row>
    <row r="466" spans="2:31" x14ac:dyDescent="0.2">
      <c r="C466" s="5" t="str">
        <f t="shared" si="281"/>
        <v>Purchasing - Buyer</v>
      </c>
      <c r="D466" s="20"/>
      <c r="F466" s="1" t="s">
        <v>51</v>
      </c>
      <c r="I466" s="49">
        <f t="shared" ref="I466" si="289">I368+I417</f>
        <v>11347.456476683803</v>
      </c>
      <c r="J466" s="49">
        <f t="shared" ref="J466" si="290">J368+J417</f>
        <v>11347.456476683803</v>
      </c>
      <c r="K466" s="49">
        <f t="shared" si="284"/>
        <v>11347.456476683803</v>
      </c>
      <c r="L466" s="49">
        <f t="shared" si="284"/>
        <v>11347.456476683803</v>
      </c>
      <c r="M466" s="49">
        <f t="shared" si="284"/>
        <v>11347.456476683803</v>
      </c>
      <c r="N466" s="49">
        <f t="shared" si="284"/>
        <v>11347.456476683803</v>
      </c>
      <c r="O466" s="49">
        <f t="shared" si="284"/>
        <v>11347.456476683803</v>
      </c>
      <c r="P466" s="49">
        <f t="shared" si="284"/>
        <v>11347.456476683803</v>
      </c>
      <c r="Q466" s="49">
        <f t="shared" si="284"/>
        <v>11347.456476683803</v>
      </c>
      <c r="R466" s="49">
        <f t="shared" si="284"/>
        <v>11347.456476683803</v>
      </c>
      <c r="S466" s="49">
        <f t="shared" si="284"/>
        <v>11347.456476683803</v>
      </c>
      <c r="T466" s="49">
        <f t="shared" si="284"/>
        <v>11347.456476683803</v>
      </c>
      <c r="U466" s="49">
        <f t="shared" si="284"/>
        <v>11347.456476683803</v>
      </c>
      <c r="V466" s="49">
        <f t="shared" si="284"/>
        <v>11347.456476683803</v>
      </c>
      <c r="W466" s="585"/>
      <c r="X466" s="585"/>
      <c r="Y466" s="585"/>
      <c r="Z466" s="585"/>
      <c r="AA466" s="585"/>
      <c r="AB466" s="585"/>
      <c r="AC466" s="585"/>
      <c r="AD466" s="585"/>
      <c r="AE466" s="585"/>
    </row>
    <row r="467" spans="2:31" x14ac:dyDescent="0.2">
      <c r="C467" s="5" t="str">
        <f t="shared" si="281"/>
        <v>Purchasing - Receiving</v>
      </c>
      <c r="D467" s="20"/>
      <c r="F467" s="1" t="s">
        <v>51</v>
      </c>
      <c r="I467" s="49">
        <f t="shared" ref="I467" si="291">I369+I418</f>
        <v>10091.059616260522</v>
      </c>
      <c r="J467" s="49">
        <f t="shared" ref="J467" si="292">J369+J418</f>
        <v>10091.059616260522</v>
      </c>
      <c r="K467" s="49">
        <f t="shared" si="284"/>
        <v>10091.059616260522</v>
      </c>
      <c r="L467" s="49">
        <f t="shared" si="284"/>
        <v>10091.059616260522</v>
      </c>
      <c r="M467" s="49">
        <f t="shared" si="284"/>
        <v>10091.059616260522</v>
      </c>
      <c r="N467" s="49">
        <f t="shared" si="284"/>
        <v>10091.059616260522</v>
      </c>
      <c r="O467" s="49">
        <f t="shared" si="284"/>
        <v>10091.059616260522</v>
      </c>
      <c r="P467" s="49">
        <f t="shared" si="284"/>
        <v>10091.059616260522</v>
      </c>
      <c r="Q467" s="49">
        <f t="shared" si="284"/>
        <v>10091.059616260522</v>
      </c>
      <c r="R467" s="49">
        <f t="shared" si="284"/>
        <v>10091.059616260522</v>
      </c>
      <c r="S467" s="49">
        <f t="shared" si="284"/>
        <v>10091.059616260522</v>
      </c>
      <c r="T467" s="49">
        <f t="shared" si="284"/>
        <v>10091.059616260522</v>
      </c>
      <c r="U467" s="49">
        <f t="shared" si="284"/>
        <v>10091.059616260522</v>
      </c>
      <c r="V467" s="49">
        <f t="shared" si="284"/>
        <v>10091.059616260522</v>
      </c>
      <c r="W467" s="585"/>
      <c r="X467" s="585"/>
      <c r="Y467" s="585"/>
      <c r="Z467" s="585"/>
      <c r="AA467" s="585"/>
      <c r="AB467" s="585"/>
      <c r="AC467" s="585"/>
      <c r="AD467" s="585"/>
      <c r="AE467" s="585"/>
    </row>
    <row r="468" spans="2:31" x14ac:dyDescent="0.2">
      <c r="C468" s="5" t="str">
        <f t="shared" si="281"/>
        <v>Human Resources/Safety Manager/Training</v>
      </c>
      <c r="D468" s="20"/>
      <c r="F468" s="1" t="s">
        <v>51</v>
      </c>
      <c r="I468" s="49">
        <f t="shared" ref="I468" si="293">I370+I419</f>
        <v>18343.046372332868</v>
      </c>
      <c r="J468" s="49">
        <f t="shared" ref="J468" si="294">J370+J419</f>
        <v>18343.046372332868</v>
      </c>
      <c r="K468" s="49">
        <f t="shared" si="284"/>
        <v>18343.046372332868</v>
      </c>
      <c r="L468" s="49">
        <f t="shared" si="284"/>
        <v>18343.046372332868</v>
      </c>
      <c r="M468" s="49">
        <f t="shared" si="284"/>
        <v>18343.046372332868</v>
      </c>
      <c r="N468" s="49">
        <f t="shared" si="284"/>
        <v>18343.046372332868</v>
      </c>
      <c r="O468" s="49">
        <f t="shared" si="284"/>
        <v>18343.046372332868</v>
      </c>
      <c r="P468" s="49">
        <f t="shared" si="284"/>
        <v>18343.046372332868</v>
      </c>
      <c r="Q468" s="49">
        <f t="shared" si="284"/>
        <v>18343.046372332868</v>
      </c>
      <c r="R468" s="49">
        <f t="shared" si="284"/>
        <v>18343.046372332868</v>
      </c>
      <c r="S468" s="49">
        <f t="shared" si="284"/>
        <v>18343.046372332868</v>
      </c>
      <c r="T468" s="49">
        <f t="shared" si="284"/>
        <v>18343.046372332868</v>
      </c>
      <c r="U468" s="49">
        <f t="shared" si="284"/>
        <v>18343.046372332868</v>
      </c>
      <c r="V468" s="49">
        <f t="shared" si="284"/>
        <v>18343.046372332868</v>
      </c>
      <c r="W468" s="585"/>
      <c r="X468" s="585"/>
      <c r="Y468" s="585"/>
      <c r="Z468" s="585"/>
      <c r="AA468" s="585"/>
      <c r="AB468" s="585"/>
      <c r="AC468" s="585"/>
      <c r="AD468" s="585"/>
      <c r="AE468" s="585"/>
    </row>
    <row r="469" spans="2:31" x14ac:dyDescent="0.2">
      <c r="C469" s="5" t="str">
        <f t="shared" si="281"/>
        <v>Sales Administrator</v>
      </c>
      <c r="D469" s="20"/>
      <c r="F469" s="1" t="s">
        <v>51</v>
      </c>
      <c r="I469" s="49">
        <f t="shared" ref="I469" si="295">I371+I420</f>
        <v>9839.7802441758668</v>
      </c>
      <c r="J469" s="49">
        <f t="shared" ref="J469" si="296">J371+J420</f>
        <v>9839.7802441758668</v>
      </c>
      <c r="K469" s="49">
        <f t="shared" si="284"/>
        <v>9839.7802441758668</v>
      </c>
      <c r="L469" s="49">
        <f t="shared" si="284"/>
        <v>9839.7802441758668</v>
      </c>
      <c r="M469" s="49">
        <f t="shared" si="284"/>
        <v>9839.7802441758668</v>
      </c>
      <c r="N469" s="49">
        <f t="shared" si="284"/>
        <v>9839.7802441758668</v>
      </c>
      <c r="O469" s="49">
        <f t="shared" si="284"/>
        <v>9839.7802441758668</v>
      </c>
      <c r="P469" s="49">
        <f t="shared" si="284"/>
        <v>9839.7802441758668</v>
      </c>
      <c r="Q469" s="49">
        <f t="shared" si="284"/>
        <v>9839.7802441758668</v>
      </c>
      <c r="R469" s="49">
        <f t="shared" si="284"/>
        <v>9839.7802441758668</v>
      </c>
      <c r="S469" s="49">
        <f t="shared" si="284"/>
        <v>9839.7802441758668</v>
      </c>
      <c r="T469" s="49">
        <f t="shared" si="284"/>
        <v>9839.7802441758668</v>
      </c>
      <c r="U469" s="49">
        <f t="shared" si="284"/>
        <v>9839.7802441758668</v>
      </c>
      <c r="V469" s="49">
        <f t="shared" si="284"/>
        <v>9839.7802441758668</v>
      </c>
      <c r="W469" s="585"/>
      <c r="X469" s="585"/>
      <c r="Y469" s="585"/>
      <c r="Z469" s="585"/>
      <c r="AA469" s="585"/>
      <c r="AB469" s="585"/>
      <c r="AC469" s="585"/>
      <c r="AD469" s="585"/>
      <c r="AE469" s="585"/>
    </row>
    <row r="470" spans="2:31" x14ac:dyDescent="0.2">
      <c r="C470" s="5" t="str">
        <f t="shared" si="281"/>
        <v>Inside Sales</v>
      </c>
      <c r="D470" s="20"/>
      <c r="F470" s="1" t="s">
        <v>51</v>
      </c>
      <c r="I470" s="49">
        <f t="shared" ref="I470" si="297">I372+I421</f>
        <v>15619.205802122959</v>
      </c>
      <c r="J470" s="49">
        <f t="shared" ref="J470" si="298">J372+J421</f>
        <v>15619.205802122959</v>
      </c>
      <c r="K470" s="49">
        <f t="shared" si="284"/>
        <v>15619.205802122959</v>
      </c>
      <c r="L470" s="49">
        <f t="shared" si="284"/>
        <v>15619.205802122959</v>
      </c>
      <c r="M470" s="49">
        <f t="shared" si="284"/>
        <v>15619.205802122959</v>
      </c>
      <c r="N470" s="49">
        <f t="shared" si="284"/>
        <v>15619.205802122959</v>
      </c>
      <c r="O470" s="49">
        <f t="shared" si="284"/>
        <v>15619.205802122959</v>
      </c>
      <c r="P470" s="49">
        <f t="shared" si="284"/>
        <v>15619.205802122959</v>
      </c>
      <c r="Q470" s="49">
        <f t="shared" si="284"/>
        <v>15619.205802122959</v>
      </c>
      <c r="R470" s="49">
        <f t="shared" si="284"/>
        <v>15619.205802122959</v>
      </c>
      <c r="S470" s="49">
        <f t="shared" si="284"/>
        <v>15619.205802122959</v>
      </c>
      <c r="T470" s="49">
        <f t="shared" si="284"/>
        <v>15619.205802122959</v>
      </c>
      <c r="U470" s="49">
        <f t="shared" si="284"/>
        <v>15619.205802122959</v>
      </c>
      <c r="V470" s="49">
        <f t="shared" si="284"/>
        <v>15619.205802122959</v>
      </c>
      <c r="W470" s="585"/>
      <c r="X470" s="585"/>
      <c r="Y470" s="585"/>
      <c r="Z470" s="585"/>
      <c r="AA470" s="585"/>
      <c r="AB470" s="585"/>
      <c r="AC470" s="585"/>
      <c r="AD470" s="585"/>
      <c r="AE470" s="585"/>
    </row>
    <row r="471" spans="2:31" x14ac:dyDescent="0.2">
      <c r="C471" s="5" t="str">
        <f t="shared" si="281"/>
        <v>Shipping Manager</v>
      </c>
      <c r="D471" s="20"/>
      <c r="F471" s="1" t="s">
        <v>51</v>
      </c>
      <c r="I471" s="49">
        <f t="shared" ref="I471" si="299">I373+I422</f>
        <v>19388.396383392803</v>
      </c>
      <c r="J471" s="49">
        <f t="shared" ref="J471" si="300">J373+J422</f>
        <v>19388.396383392803</v>
      </c>
      <c r="K471" s="49">
        <f t="shared" si="284"/>
        <v>19388.396383392803</v>
      </c>
      <c r="L471" s="49">
        <f t="shared" si="284"/>
        <v>19388.396383392803</v>
      </c>
      <c r="M471" s="49">
        <f t="shared" si="284"/>
        <v>19388.396383392803</v>
      </c>
      <c r="N471" s="49">
        <f t="shared" si="284"/>
        <v>19388.396383392803</v>
      </c>
      <c r="O471" s="49">
        <f t="shared" si="284"/>
        <v>19388.396383392803</v>
      </c>
      <c r="P471" s="49">
        <f t="shared" si="284"/>
        <v>19388.396383392803</v>
      </c>
      <c r="Q471" s="49">
        <f t="shared" si="284"/>
        <v>19388.396383392803</v>
      </c>
      <c r="R471" s="49">
        <f t="shared" si="284"/>
        <v>19388.396383392803</v>
      </c>
      <c r="S471" s="49">
        <f t="shared" si="284"/>
        <v>19388.396383392803</v>
      </c>
      <c r="T471" s="49">
        <f t="shared" si="284"/>
        <v>19388.396383392803</v>
      </c>
      <c r="U471" s="49">
        <f t="shared" si="284"/>
        <v>19388.396383392803</v>
      </c>
      <c r="V471" s="49">
        <f t="shared" si="284"/>
        <v>19388.396383392803</v>
      </c>
      <c r="W471" s="585"/>
      <c r="X471" s="585"/>
      <c r="Y471" s="585"/>
      <c r="Z471" s="585"/>
      <c r="AA471" s="585"/>
      <c r="AB471" s="585"/>
      <c r="AC471" s="585"/>
      <c r="AD471" s="585"/>
      <c r="AE471" s="585"/>
    </row>
    <row r="472" spans="2:31" x14ac:dyDescent="0.2">
      <c r="C472" s="20"/>
      <c r="D472" s="20"/>
    </row>
    <row r="473" spans="2:31" x14ac:dyDescent="0.2">
      <c r="C473" s="5" t="str">
        <f>C424</f>
        <v>Contingency</v>
      </c>
      <c r="D473" s="20"/>
      <c r="F473" s="1" t="s">
        <v>51</v>
      </c>
      <c r="I473" s="49">
        <f t="shared" ref="I473" si="301">I375+I424</f>
        <v>23302.63157894737</v>
      </c>
      <c r="J473" s="49">
        <f t="shared" ref="J473" si="302">J375+J424</f>
        <v>23302.63157894737</v>
      </c>
      <c r="K473" s="49">
        <f t="shared" ref="K473:V473" si="303">K375+K424</f>
        <v>23302.63157894737</v>
      </c>
      <c r="L473" s="49">
        <f t="shared" si="303"/>
        <v>23302.63157894737</v>
      </c>
      <c r="M473" s="49">
        <f t="shared" si="303"/>
        <v>23302.63157894737</v>
      </c>
      <c r="N473" s="49">
        <f t="shared" si="303"/>
        <v>23302.63157894737</v>
      </c>
      <c r="O473" s="49">
        <f t="shared" si="303"/>
        <v>23302.63157894737</v>
      </c>
      <c r="P473" s="49">
        <f t="shared" si="303"/>
        <v>23302.63157894737</v>
      </c>
      <c r="Q473" s="49">
        <f t="shared" si="303"/>
        <v>23302.63157894737</v>
      </c>
      <c r="R473" s="49">
        <f t="shared" si="303"/>
        <v>23302.63157894737</v>
      </c>
      <c r="S473" s="49">
        <f t="shared" si="303"/>
        <v>23302.63157894737</v>
      </c>
      <c r="T473" s="49">
        <f t="shared" si="303"/>
        <v>23302.63157894737</v>
      </c>
      <c r="U473" s="49">
        <f t="shared" si="303"/>
        <v>23302.63157894737</v>
      </c>
      <c r="V473" s="49">
        <f t="shared" si="303"/>
        <v>23302.63157894737</v>
      </c>
      <c r="W473" s="585"/>
      <c r="X473" s="585"/>
      <c r="Y473" s="585"/>
      <c r="Z473" s="585"/>
      <c r="AA473" s="585"/>
      <c r="AB473" s="585"/>
      <c r="AC473" s="585"/>
      <c r="AD473" s="585"/>
      <c r="AE473" s="585"/>
    </row>
    <row r="474" spans="2:31" x14ac:dyDescent="0.2">
      <c r="C474" s="20"/>
      <c r="D474" s="20"/>
    </row>
    <row r="475" spans="2:31" x14ac:dyDescent="0.2">
      <c r="B475" s="24">
        <f>B327+0.01</f>
        <v>3.4299999999999997</v>
      </c>
      <c r="C475" s="20" t="s">
        <v>52</v>
      </c>
      <c r="D475" s="20"/>
    </row>
    <row r="476" spans="2:31" x14ac:dyDescent="0.2">
      <c r="B476" s="24"/>
      <c r="C476" s="20"/>
      <c r="D476" s="20"/>
    </row>
    <row r="477" spans="2:31" x14ac:dyDescent="0.2">
      <c r="C477" s="5" t="s">
        <v>53</v>
      </c>
      <c r="D477" s="5"/>
      <c r="E477" s="518">
        <f>'Plant model'!E477</f>
        <v>0.2</v>
      </c>
      <c r="F477" s="1" t="s">
        <v>8</v>
      </c>
      <c r="I477" s="162">
        <f>$E$477</f>
        <v>0.2</v>
      </c>
      <c r="J477" s="162">
        <f>$E$477</f>
        <v>0.2</v>
      </c>
      <c r="K477" s="162">
        <f>$E$477</f>
        <v>0.2</v>
      </c>
      <c r="L477" s="162">
        <f>$E$477</f>
        <v>0.2</v>
      </c>
      <c r="M477" s="162">
        <f t="shared" ref="M477:V477" si="304">$E$477</f>
        <v>0.2</v>
      </c>
      <c r="N477" s="162">
        <f t="shared" si="304"/>
        <v>0.2</v>
      </c>
      <c r="O477" s="162">
        <f t="shared" si="304"/>
        <v>0.2</v>
      </c>
      <c r="P477" s="162">
        <f t="shared" si="304"/>
        <v>0.2</v>
      </c>
      <c r="Q477" s="162">
        <f t="shared" si="304"/>
        <v>0.2</v>
      </c>
      <c r="R477" s="162">
        <f t="shared" si="304"/>
        <v>0.2</v>
      </c>
      <c r="S477" s="162">
        <f t="shared" si="304"/>
        <v>0.2</v>
      </c>
      <c r="T477" s="162">
        <f t="shared" si="304"/>
        <v>0.2</v>
      </c>
      <c r="U477" s="162">
        <f t="shared" si="304"/>
        <v>0.2</v>
      </c>
      <c r="V477" s="162">
        <f t="shared" si="304"/>
        <v>0.2</v>
      </c>
      <c r="W477" s="586"/>
      <c r="X477" s="586"/>
      <c r="Y477" s="586"/>
      <c r="Z477" s="586"/>
      <c r="AA477" s="586"/>
      <c r="AB477" s="586"/>
      <c r="AC477" s="586"/>
      <c r="AD477" s="586"/>
      <c r="AE477" s="586"/>
    </row>
    <row r="478" spans="2:31" x14ac:dyDescent="0.2">
      <c r="C478" s="20"/>
      <c r="D478" s="20"/>
    </row>
    <row r="479" spans="2:31" x14ac:dyDescent="0.2">
      <c r="C479" s="47" t="str">
        <f t="shared" ref="C479:C486" si="305">C428</f>
        <v>Melting</v>
      </c>
      <c r="D479" s="47"/>
    </row>
    <row r="480" spans="2:31" x14ac:dyDescent="0.2">
      <c r="C480" s="5" t="str">
        <f t="shared" si="305"/>
        <v>Manager of Melting/Casting Production</v>
      </c>
      <c r="D480" s="5"/>
      <c r="F480" s="1" t="s">
        <v>51</v>
      </c>
      <c r="I480" s="32">
        <f t="shared" ref="I480" si="306">I$477*I429</f>
        <v>8663.1552647084063</v>
      </c>
      <c r="J480" s="32">
        <f t="shared" ref="J480" si="307">J$477*J429</f>
        <v>8663.1552647084063</v>
      </c>
      <c r="K480" s="32">
        <f t="shared" ref="K480:V486" si="308">K$477*K429</f>
        <v>8663.1552647084063</v>
      </c>
      <c r="L480" s="32">
        <f t="shared" si="308"/>
        <v>8663.1552647084063</v>
      </c>
      <c r="M480" s="32">
        <f t="shared" si="308"/>
        <v>8663.1552647084063</v>
      </c>
      <c r="N480" s="32">
        <f t="shared" si="308"/>
        <v>8663.1552647084063</v>
      </c>
      <c r="O480" s="32">
        <f t="shared" si="308"/>
        <v>8663.1552647084063</v>
      </c>
      <c r="P480" s="32">
        <f t="shared" si="308"/>
        <v>8663.1552647084063</v>
      </c>
      <c r="Q480" s="32">
        <f t="shared" si="308"/>
        <v>8663.1552647084063</v>
      </c>
      <c r="R480" s="32">
        <f t="shared" si="308"/>
        <v>8663.1552647084063</v>
      </c>
      <c r="S480" s="32">
        <f t="shared" si="308"/>
        <v>8663.1552647084063</v>
      </c>
      <c r="T480" s="32">
        <f t="shared" si="308"/>
        <v>8663.1552647084063</v>
      </c>
      <c r="U480" s="32">
        <f t="shared" si="308"/>
        <v>8663.1552647084063</v>
      </c>
      <c r="V480" s="32">
        <f t="shared" si="308"/>
        <v>8663.1552647084063</v>
      </c>
      <c r="W480" s="572"/>
      <c r="X480" s="572"/>
      <c r="Y480" s="572"/>
      <c r="Z480" s="572"/>
      <c r="AA480" s="572"/>
      <c r="AB480" s="572"/>
      <c r="AC480" s="572"/>
      <c r="AD480" s="572"/>
      <c r="AE480" s="572"/>
    </row>
    <row r="481" spans="3:31" x14ac:dyDescent="0.2">
      <c r="C481" s="5" t="str">
        <f t="shared" si="305"/>
        <v>Supervisor/team Leader of Melting &amp; Casting</v>
      </c>
      <c r="D481" s="5"/>
      <c r="F481" s="1" t="s">
        <v>51</v>
      </c>
      <c r="I481" s="32">
        <f t="shared" ref="I481" si="309">I$477*I430</f>
        <v>3804.6832195968755</v>
      </c>
      <c r="J481" s="32">
        <f t="shared" ref="J481" si="310">J$477*J430</f>
        <v>3804.6832195968755</v>
      </c>
      <c r="K481" s="32">
        <f t="shared" si="308"/>
        <v>3804.6832195968755</v>
      </c>
      <c r="L481" s="32">
        <f t="shared" si="308"/>
        <v>3804.6832195968755</v>
      </c>
      <c r="M481" s="32">
        <f t="shared" si="308"/>
        <v>3804.6832195968755</v>
      </c>
      <c r="N481" s="32">
        <f t="shared" si="308"/>
        <v>3804.6832195968755</v>
      </c>
      <c r="O481" s="32">
        <f t="shared" si="308"/>
        <v>3804.6832195968755</v>
      </c>
      <c r="P481" s="32">
        <f t="shared" si="308"/>
        <v>3804.6832195968755</v>
      </c>
      <c r="Q481" s="32">
        <f t="shared" si="308"/>
        <v>3804.6832195968755</v>
      </c>
      <c r="R481" s="32">
        <f t="shared" si="308"/>
        <v>3804.6832195968755</v>
      </c>
      <c r="S481" s="32">
        <f t="shared" si="308"/>
        <v>3804.6832195968755</v>
      </c>
      <c r="T481" s="32">
        <f t="shared" si="308"/>
        <v>3804.6832195968755</v>
      </c>
      <c r="U481" s="32">
        <f t="shared" si="308"/>
        <v>3804.6832195968755</v>
      </c>
      <c r="V481" s="32">
        <f t="shared" si="308"/>
        <v>3804.6832195968755</v>
      </c>
      <c r="W481" s="572"/>
      <c r="X481" s="572"/>
      <c r="Y481" s="572"/>
      <c r="Z481" s="572"/>
      <c r="AA481" s="572"/>
      <c r="AB481" s="572"/>
      <c r="AC481" s="572"/>
      <c r="AD481" s="572"/>
      <c r="AE481" s="572"/>
    </row>
    <row r="482" spans="3:31" x14ac:dyDescent="0.2">
      <c r="C482" s="5" t="str">
        <f t="shared" si="305"/>
        <v>Senior Operator - EAF</v>
      </c>
      <c r="D482" s="5"/>
      <c r="F482" s="1" t="s">
        <v>51</v>
      </c>
      <c r="I482" s="32">
        <f t="shared" ref="I482" si="311">I$477*I431</f>
        <v>2849.220017668782</v>
      </c>
      <c r="J482" s="32">
        <f t="shared" ref="J482" si="312">J$477*J431</f>
        <v>2849.220017668782</v>
      </c>
      <c r="K482" s="32">
        <f t="shared" si="308"/>
        <v>2849.220017668782</v>
      </c>
      <c r="L482" s="32">
        <f t="shared" si="308"/>
        <v>2849.220017668782</v>
      </c>
      <c r="M482" s="32">
        <f t="shared" si="308"/>
        <v>2849.220017668782</v>
      </c>
      <c r="N482" s="32">
        <f t="shared" si="308"/>
        <v>2849.220017668782</v>
      </c>
      <c r="O482" s="32">
        <f t="shared" si="308"/>
        <v>2849.220017668782</v>
      </c>
      <c r="P482" s="32">
        <f t="shared" si="308"/>
        <v>2849.220017668782</v>
      </c>
      <c r="Q482" s="32">
        <f t="shared" si="308"/>
        <v>2849.220017668782</v>
      </c>
      <c r="R482" s="32">
        <f t="shared" si="308"/>
        <v>2849.220017668782</v>
      </c>
      <c r="S482" s="32">
        <f t="shared" si="308"/>
        <v>2849.220017668782</v>
      </c>
      <c r="T482" s="32">
        <f t="shared" si="308"/>
        <v>2849.220017668782</v>
      </c>
      <c r="U482" s="32">
        <f t="shared" si="308"/>
        <v>2849.220017668782</v>
      </c>
      <c r="V482" s="32">
        <f t="shared" si="308"/>
        <v>2849.220017668782</v>
      </c>
      <c r="W482" s="572"/>
      <c r="X482" s="572"/>
      <c r="Y482" s="572"/>
      <c r="Z482" s="572"/>
      <c r="AA482" s="572"/>
      <c r="AB482" s="572"/>
      <c r="AC482" s="572"/>
      <c r="AD482" s="572"/>
      <c r="AE482" s="572"/>
    </row>
    <row r="483" spans="3:31" x14ac:dyDescent="0.2">
      <c r="C483" s="5" t="str">
        <f t="shared" si="305"/>
        <v>Operator - Ladle Crane</v>
      </c>
      <c r="D483" s="5"/>
      <c r="F483" s="1" t="s">
        <v>51</v>
      </c>
      <c r="I483" s="32">
        <f t="shared" ref="I483" si="313">I$477*I432</f>
        <v>2576.0902654028509</v>
      </c>
      <c r="J483" s="32">
        <f t="shared" ref="J483" si="314">J$477*J432</f>
        <v>2576.0902654028509</v>
      </c>
      <c r="K483" s="32">
        <f t="shared" si="308"/>
        <v>2576.0902654028509</v>
      </c>
      <c r="L483" s="32">
        <f t="shared" si="308"/>
        <v>2576.0902654028509</v>
      </c>
      <c r="M483" s="32">
        <f t="shared" si="308"/>
        <v>2576.0902654028509</v>
      </c>
      <c r="N483" s="32">
        <f t="shared" si="308"/>
        <v>2576.0902654028509</v>
      </c>
      <c r="O483" s="32">
        <f t="shared" si="308"/>
        <v>2576.0902654028509</v>
      </c>
      <c r="P483" s="32">
        <f t="shared" si="308"/>
        <v>2576.0902654028509</v>
      </c>
      <c r="Q483" s="32">
        <f t="shared" si="308"/>
        <v>2576.0902654028509</v>
      </c>
      <c r="R483" s="32">
        <f t="shared" si="308"/>
        <v>2576.0902654028509</v>
      </c>
      <c r="S483" s="32">
        <f t="shared" si="308"/>
        <v>2576.0902654028509</v>
      </c>
      <c r="T483" s="32">
        <f t="shared" si="308"/>
        <v>2576.0902654028509</v>
      </c>
      <c r="U483" s="32">
        <f t="shared" si="308"/>
        <v>2576.0902654028509</v>
      </c>
      <c r="V483" s="32">
        <f t="shared" si="308"/>
        <v>2576.0902654028509</v>
      </c>
      <c r="W483" s="572"/>
      <c r="X483" s="572"/>
      <c r="Y483" s="572"/>
      <c r="Z483" s="572"/>
      <c r="AA483" s="572"/>
      <c r="AB483" s="572"/>
      <c r="AC483" s="572"/>
      <c r="AD483" s="572"/>
      <c r="AE483" s="572"/>
    </row>
    <row r="484" spans="3:31" x14ac:dyDescent="0.2">
      <c r="C484" s="5" t="str">
        <f t="shared" si="305"/>
        <v>Operator</v>
      </c>
      <c r="D484" s="5"/>
      <c r="F484" s="1" t="s">
        <v>51</v>
      </c>
      <c r="I484" s="32">
        <f t="shared" ref="I484" si="315">I$477*I433</f>
        <v>2350.6248276617293</v>
      </c>
      <c r="J484" s="32">
        <f t="shared" ref="J484" si="316">J$477*J433</f>
        <v>2350.6248276617293</v>
      </c>
      <c r="K484" s="32">
        <f t="shared" si="308"/>
        <v>2350.6248276617293</v>
      </c>
      <c r="L484" s="32">
        <f t="shared" si="308"/>
        <v>2350.6248276617293</v>
      </c>
      <c r="M484" s="32">
        <f t="shared" si="308"/>
        <v>2350.6248276617293</v>
      </c>
      <c r="N484" s="32">
        <f t="shared" si="308"/>
        <v>2350.6248276617293</v>
      </c>
      <c r="O484" s="32">
        <f t="shared" si="308"/>
        <v>2350.6248276617293</v>
      </c>
      <c r="P484" s="32">
        <f t="shared" si="308"/>
        <v>2350.6248276617293</v>
      </c>
      <c r="Q484" s="32">
        <f t="shared" si="308"/>
        <v>2350.6248276617293</v>
      </c>
      <c r="R484" s="32">
        <f t="shared" si="308"/>
        <v>2350.6248276617293</v>
      </c>
      <c r="S484" s="32">
        <f t="shared" si="308"/>
        <v>2350.6248276617293</v>
      </c>
      <c r="T484" s="32">
        <f t="shared" si="308"/>
        <v>2350.6248276617293</v>
      </c>
      <c r="U484" s="32">
        <f t="shared" si="308"/>
        <v>2350.6248276617293</v>
      </c>
      <c r="V484" s="32">
        <f t="shared" si="308"/>
        <v>2350.6248276617293</v>
      </c>
      <c r="W484" s="572"/>
      <c r="X484" s="572"/>
      <c r="Y484" s="572"/>
      <c r="Z484" s="572"/>
      <c r="AA484" s="572"/>
      <c r="AB484" s="572"/>
      <c r="AC484" s="572"/>
      <c r="AD484" s="572"/>
      <c r="AE484" s="572"/>
    </row>
    <row r="485" spans="3:31" x14ac:dyDescent="0.2">
      <c r="C485" s="5" t="str">
        <f t="shared" si="305"/>
        <v>Team Leader - Refractory</v>
      </c>
      <c r="D485" s="5"/>
      <c r="F485" s="1" t="s">
        <v>51</v>
      </c>
      <c r="I485" s="32">
        <f t="shared" ref="I485" si="317">I$477*I434</f>
        <v>2437.8128517577748</v>
      </c>
      <c r="J485" s="32">
        <f t="shared" ref="J485" si="318">J$477*J434</f>
        <v>2437.8128517577748</v>
      </c>
      <c r="K485" s="32">
        <f t="shared" si="308"/>
        <v>2437.8128517577748</v>
      </c>
      <c r="L485" s="32">
        <f t="shared" si="308"/>
        <v>2437.8128517577748</v>
      </c>
      <c r="M485" s="32">
        <f t="shared" si="308"/>
        <v>2437.8128517577748</v>
      </c>
      <c r="N485" s="32">
        <f t="shared" si="308"/>
        <v>2437.8128517577748</v>
      </c>
      <c r="O485" s="32">
        <f t="shared" si="308"/>
        <v>2437.8128517577748</v>
      </c>
      <c r="P485" s="32">
        <f t="shared" si="308"/>
        <v>2437.8128517577748</v>
      </c>
      <c r="Q485" s="32">
        <f t="shared" si="308"/>
        <v>2437.8128517577748</v>
      </c>
      <c r="R485" s="32">
        <f t="shared" si="308"/>
        <v>2437.8128517577748</v>
      </c>
      <c r="S485" s="32">
        <f t="shared" si="308"/>
        <v>2437.8128517577748</v>
      </c>
      <c r="T485" s="32">
        <f t="shared" si="308"/>
        <v>2437.8128517577748</v>
      </c>
      <c r="U485" s="32">
        <f t="shared" si="308"/>
        <v>2437.8128517577748</v>
      </c>
      <c r="V485" s="32">
        <f t="shared" si="308"/>
        <v>2437.8128517577748</v>
      </c>
      <c r="W485" s="572"/>
      <c r="X485" s="572"/>
      <c r="Y485" s="572"/>
      <c r="Z485" s="572"/>
      <c r="AA485" s="572"/>
      <c r="AB485" s="572"/>
      <c r="AC485" s="572"/>
      <c r="AD485" s="572"/>
      <c r="AE485" s="572"/>
    </row>
    <row r="486" spans="3:31" x14ac:dyDescent="0.2">
      <c r="C486" s="5" t="str">
        <f t="shared" si="305"/>
        <v>Operator - Refractory</v>
      </c>
      <c r="D486" s="5"/>
      <c r="F486" s="1" t="s">
        <v>51</v>
      </c>
      <c r="I486" s="32">
        <f t="shared" ref="I486" si="319">I$477*I435</f>
        <v>2113.3063621769807</v>
      </c>
      <c r="J486" s="32">
        <f t="shared" ref="J486" si="320">J$477*J435</f>
        <v>2113.3063621769807</v>
      </c>
      <c r="K486" s="32">
        <f t="shared" si="308"/>
        <v>2113.3063621769807</v>
      </c>
      <c r="L486" s="32">
        <f t="shared" si="308"/>
        <v>2113.3063621769807</v>
      </c>
      <c r="M486" s="32">
        <f t="shared" si="308"/>
        <v>2113.3063621769807</v>
      </c>
      <c r="N486" s="32">
        <f t="shared" si="308"/>
        <v>2113.3063621769807</v>
      </c>
      <c r="O486" s="32">
        <f t="shared" si="308"/>
        <v>2113.3063621769807</v>
      </c>
      <c r="P486" s="32">
        <f t="shared" si="308"/>
        <v>2113.3063621769807</v>
      </c>
      <c r="Q486" s="32">
        <f t="shared" si="308"/>
        <v>2113.3063621769807</v>
      </c>
      <c r="R486" s="32">
        <f t="shared" si="308"/>
        <v>2113.3063621769807</v>
      </c>
      <c r="S486" s="32">
        <f t="shared" si="308"/>
        <v>2113.3063621769807</v>
      </c>
      <c r="T486" s="32">
        <f t="shared" si="308"/>
        <v>2113.3063621769807</v>
      </c>
      <c r="U486" s="32">
        <f t="shared" si="308"/>
        <v>2113.3063621769807</v>
      </c>
      <c r="V486" s="32">
        <f t="shared" si="308"/>
        <v>2113.3063621769807</v>
      </c>
      <c r="W486" s="572"/>
      <c r="X486" s="572"/>
      <c r="Y486" s="572"/>
      <c r="Z486" s="572"/>
      <c r="AA486" s="572"/>
      <c r="AB486" s="572"/>
      <c r="AC486" s="572"/>
      <c r="AD486" s="572"/>
      <c r="AE486" s="572"/>
    </row>
    <row r="487" spans="3:31" x14ac:dyDescent="0.2">
      <c r="C487" s="5"/>
      <c r="D487" s="5"/>
      <c r="I487" s="32"/>
      <c r="J487" s="32"/>
      <c r="K487" s="32"/>
      <c r="L487" s="32"/>
      <c r="M487" s="32"/>
      <c r="N487" s="32"/>
      <c r="O487" s="32"/>
      <c r="P487" s="32"/>
      <c r="Q487" s="32"/>
      <c r="R487" s="32"/>
      <c r="S487" s="32"/>
      <c r="T487" s="32"/>
      <c r="U487" s="32"/>
      <c r="V487" s="32"/>
      <c r="W487" s="572"/>
      <c r="X487" s="572"/>
      <c r="Y487" s="572"/>
      <c r="Z487" s="572"/>
      <c r="AA487" s="572"/>
      <c r="AB487" s="572"/>
      <c r="AC487" s="572"/>
      <c r="AD487" s="572"/>
      <c r="AE487" s="572"/>
    </row>
    <row r="488" spans="3:31" x14ac:dyDescent="0.2">
      <c r="C488" s="47" t="str">
        <f>C437</f>
        <v>Casting</v>
      </c>
      <c r="D488" s="5"/>
      <c r="I488" s="32"/>
      <c r="J488" s="32"/>
      <c r="K488" s="32"/>
      <c r="L488" s="32"/>
      <c r="M488" s="32"/>
      <c r="N488" s="32"/>
      <c r="O488" s="32"/>
      <c r="P488" s="32"/>
      <c r="Q488" s="32"/>
      <c r="R488" s="32"/>
      <c r="S488" s="32"/>
      <c r="T488" s="32"/>
      <c r="U488" s="32"/>
      <c r="V488" s="32"/>
      <c r="W488" s="572"/>
      <c r="X488" s="572"/>
      <c r="Y488" s="572"/>
      <c r="Z488" s="572"/>
      <c r="AA488" s="572"/>
      <c r="AB488" s="572"/>
      <c r="AC488" s="572"/>
      <c r="AD488" s="572"/>
      <c r="AE488" s="572"/>
    </row>
    <row r="489" spans="3:31" x14ac:dyDescent="0.2">
      <c r="C489" s="5" t="str">
        <f>C438</f>
        <v xml:space="preserve">Senior Casting Operator </v>
      </c>
      <c r="D489" s="5"/>
      <c r="F489" s="1" t="s">
        <v>51</v>
      </c>
      <c r="I489" s="32">
        <f t="shared" ref="I489" si="321">I$477*I438</f>
        <v>2863.7594623944387</v>
      </c>
      <c r="J489" s="32">
        <f t="shared" ref="J489" si="322">J$477*J438</f>
        <v>2863.7594623944387</v>
      </c>
      <c r="K489" s="32">
        <f t="shared" ref="K489:V491" si="323">K$477*K438</f>
        <v>2863.7594623944387</v>
      </c>
      <c r="L489" s="32">
        <f t="shared" si="323"/>
        <v>2863.7594623944387</v>
      </c>
      <c r="M489" s="32">
        <f t="shared" si="323"/>
        <v>2863.7594623944387</v>
      </c>
      <c r="N489" s="32">
        <f t="shared" si="323"/>
        <v>2863.7594623944387</v>
      </c>
      <c r="O489" s="32">
        <f t="shared" si="323"/>
        <v>2863.7594623944387</v>
      </c>
      <c r="P489" s="32">
        <f t="shared" si="323"/>
        <v>2863.7594623944387</v>
      </c>
      <c r="Q489" s="32">
        <f t="shared" si="323"/>
        <v>2863.7594623944387</v>
      </c>
      <c r="R489" s="32">
        <f t="shared" si="323"/>
        <v>2863.7594623944387</v>
      </c>
      <c r="S489" s="32">
        <f t="shared" si="323"/>
        <v>2863.7594623944387</v>
      </c>
      <c r="T489" s="32">
        <f t="shared" si="323"/>
        <v>2863.7594623944387</v>
      </c>
      <c r="U489" s="32">
        <f t="shared" si="323"/>
        <v>2863.7594623944387</v>
      </c>
      <c r="V489" s="32">
        <f t="shared" si="323"/>
        <v>2863.7594623944387</v>
      </c>
      <c r="W489" s="572"/>
      <c r="X489" s="572"/>
      <c r="Y489" s="572"/>
      <c r="Z489" s="572"/>
      <c r="AA489" s="572"/>
      <c r="AB489" s="572"/>
      <c r="AC489" s="572"/>
      <c r="AD489" s="572"/>
      <c r="AE489" s="572"/>
    </row>
    <row r="490" spans="3:31" x14ac:dyDescent="0.2">
      <c r="C490" s="5" t="str">
        <f>C439</f>
        <v>Operator</v>
      </c>
      <c r="D490" s="5"/>
      <c r="F490" s="1" t="s">
        <v>51</v>
      </c>
      <c r="I490" s="32">
        <f t="shared" ref="I490" si="324">I$477*I439</f>
        <v>2528.2348038955543</v>
      </c>
      <c r="J490" s="32">
        <f t="shared" ref="J490" si="325">J$477*J439</f>
        <v>2528.2348038955543</v>
      </c>
      <c r="K490" s="32">
        <f t="shared" si="323"/>
        <v>2528.2348038955543</v>
      </c>
      <c r="L490" s="32">
        <f t="shared" si="323"/>
        <v>2528.2348038955543</v>
      </c>
      <c r="M490" s="32">
        <f t="shared" si="323"/>
        <v>2528.2348038955543</v>
      </c>
      <c r="N490" s="32">
        <f t="shared" si="323"/>
        <v>2528.2348038955543</v>
      </c>
      <c r="O490" s="32">
        <f t="shared" si="323"/>
        <v>2528.2348038955543</v>
      </c>
      <c r="P490" s="32">
        <f t="shared" si="323"/>
        <v>2528.2348038955543</v>
      </c>
      <c r="Q490" s="32">
        <f t="shared" si="323"/>
        <v>2528.2348038955543</v>
      </c>
      <c r="R490" s="32">
        <f t="shared" si="323"/>
        <v>2528.2348038955543</v>
      </c>
      <c r="S490" s="32">
        <f t="shared" si="323"/>
        <v>2528.2348038955543</v>
      </c>
      <c r="T490" s="32">
        <f t="shared" si="323"/>
        <v>2528.2348038955543</v>
      </c>
      <c r="U490" s="32">
        <f t="shared" si="323"/>
        <v>2528.2348038955543</v>
      </c>
      <c r="V490" s="32">
        <f t="shared" si="323"/>
        <v>2528.2348038955543</v>
      </c>
      <c r="W490" s="572"/>
      <c r="X490" s="572"/>
      <c r="Y490" s="572"/>
      <c r="Z490" s="572"/>
      <c r="AA490" s="572"/>
      <c r="AB490" s="572"/>
      <c r="AC490" s="572"/>
      <c r="AD490" s="572"/>
      <c r="AE490" s="572"/>
    </row>
    <row r="491" spans="3:31" x14ac:dyDescent="0.2">
      <c r="C491" s="5" t="str">
        <f>C440</f>
        <v>Operator - Casting bay</v>
      </c>
      <c r="D491" s="5"/>
      <c r="F491" s="1" t="s">
        <v>51</v>
      </c>
      <c r="I491" s="32">
        <f t="shared" ref="I491" si="326">I$477*I440</f>
        <v>2037.7242657519182</v>
      </c>
      <c r="J491" s="32">
        <f t="shared" ref="J491" si="327">J$477*J440</f>
        <v>2037.7242657519182</v>
      </c>
      <c r="K491" s="32">
        <f t="shared" si="323"/>
        <v>2037.7242657519182</v>
      </c>
      <c r="L491" s="32">
        <f t="shared" si="323"/>
        <v>2037.7242657519182</v>
      </c>
      <c r="M491" s="32">
        <f t="shared" si="323"/>
        <v>2037.7242657519182</v>
      </c>
      <c r="N491" s="32">
        <f t="shared" si="323"/>
        <v>2037.7242657519182</v>
      </c>
      <c r="O491" s="32">
        <f t="shared" si="323"/>
        <v>2037.7242657519182</v>
      </c>
      <c r="P491" s="32">
        <f t="shared" si="323"/>
        <v>2037.7242657519182</v>
      </c>
      <c r="Q491" s="32">
        <f t="shared" si="323"/>
        <v>2037.7242657519182</v>
      </c>
      <c r="R491" s="32">
        <f t="shared" si="323"/>
        <v>2037.7242657519182</v>
      </c>
      <c r="S491" s="32">
        <f t="shared" si="323"/>
        <v>2037.7242657519182</v>
      </c>
      <c r="T491" s="32">
        <f t="shared" si="323"/>
        <v>2037.7242657519182</v>
      </c>
      <c r="U491" s="32">
        <f t="shared" si="323"/>
        <v>2037.7242657519182</v>
      </c>
      <c r="V491" s="32">
        <f t="shared" si="323"/>
        <v>2037.7242657519182</v>
      </c>
      <c r="W491" s="572"/>
      <c r="X491" s="572"/>
      <c r="Y491" s="572"/>
      <c r="Z491" s="572"/>
      <c r="AA491" s="572"/>
      <c r="AB491" s="572"/>
      <c r="AC491" s="572"/>
      <c r="AD491" s="572"/>
      <c r="AE491" s="572"/>
    </row>
    <row r="492" spans="3:31" x14ac:dyDescent="0.2">
      <c r="C492" s="5"/>
      <c r="D492" s="5"/>
      <c r="I492" s="32"/>
      <c r="J492" s="32"/>
      <c r="K492" s="32"/>
      <c r="L492" s="32"/>
      <c r="M492" s="32"/>
      <c r="N492" s="32"/>
      <c r="O492" s="32"/>
      <c r="P492" s="32"/>
      <c r="Q492" s="32"/>
      <c r="R492" s="32"/>
      <c r="S492" s="32"/>
      <c r="T492" s="32"/>
      <c r="U492" s="32"/>
      <c r="V492" s="32"/>
      <c r="W492" s="572"/>
      <c r="X492" s="572"/>
      <c r="Y492" s="572"/>
      <c r="Z492" s="572"/>
      <c r="AA492" s="572"/>
      <c r="AB492" s="572"/>
      <c r="AC492" s="572"/>
      <c r="AD492" s="572"/>
      <c r="AE492" s="572"/>
    </row>
    <row r="493" spans="3:31" x14ac:dyDescent="0.2">
      <c r="C493" s="47" t="str">
        <f>C442</f>
        <v>HYL</v>
      </c>
      <c r="D493" s="5"/>
      <c r="I493" s="32"/>
      <c r="J493" s="32"/>
      <c r="K493" s="32"/>
      <c r="L493" s="32"/>
      <c r="M493" s="32"/>
      <c r="N493" s="32"/>
      <c r="O493" s="32"/>
      <c r="P493" s="32"/>
      <c r="Q493" s="32"/>
      <c r="R493" s="32"/>
      <c r="S493" s="32"/>
      <c r="T493" s="32"/>
      <c r="U493" s="32"/>
      <c r="V493" s="32"/>
      <c r="W493" s="572"/>
      <c r="X493" s="572"/>
      <c r="Y493" s="572"/>
      <c r="Z493" s="572"/>
      <c r="AA493" s="572"/>
      <c r="AB493" s="572"/>
      <c r="AC493" s="572"/>
      <c r="AD493" s="572"/>
      <c r="AE493" s="572"/>
    </row>
    <row r="494" spans="3:31" x14ac:dyDescent="0.2">
      <c r="C494" s="5" t="str">
        <f>C443</f>
        <v>Manager of HYL Production</v>
      </c>
      <c r="D494" s="5"/>
      <c r="F494" s="1" t="s">
        <v>51</v>
      </c>
      <c r="I494" s="32">
        <f t="shared" ref="I494" si="328">I$477*I443</f>
        <v>7679.8881565510565</v>
      </c>
      <c r="J494" s="32">
        <f t="shared" ref="J494" si="329">J$477*J443</f>
        <v>7679.8881565510565</v>
      </c>
      <c r="K494" s="32">
        <f t="shared" ref="K494:V497" si="330">K$477*K443</f>
        <v>7679.8881565510565</v>
      </c>
      <c r="L494" s="32">
        <f t="shared" si="330"/>
        <v>7679.8881565510565</v>
      </c>
      <c r="M494" s="32">
        <f t="shared" si="330"/>
        <v>7679.8881565510565</v>
      </c>
      <c r="N494" s="32">
        <f t="shared" si="330"/>
        <v>7679.8881565510565</v>
      </c>
      <c r="O494" s="32">
        <f t="shared" si="330"/>
        <v>7679.8881565510565</v>
      </c>
      <c r="P494" s="32">
        <f t="shared" si="330"/>
        <v>7679.8881565510565</v>
      </c>
      <c r="Q494" s="32">
        <f t="shared" si="330"/>
        <v>7679.8881565510565</v>
      </c>
      <c r="R494" s="32">
        <f t="shared" si="330"/>
        <v>7679.8881565510565</v>
      </c>
      <c r="S494" s="32">
        <f t="shared" si="330"/>
        <v>7679.8881565510565</v>
      </c>
      <c r="T494" s="32">
        <f t="shared" si="330"/>
        <v>7679.8881565510565</v>
      </c>
      <c r="U494" s="32">
        <f t="shared" si="330"/>
        <v>7679.8881565510565</v>
      </c>
      <c r="V494" s="32">
        <f t="shared" si="330"/>
        <v>7679.8881565510565</v>
      </c>
      <c r="W494" s="572"/>
      <c r="X494" s="572"/>
      <c r="Y494" s="572"/>
      <c r="Z494" s="572"/>
      <c r="AA494" s="572"/>
      <c r="AB494" s="572"/>
      <c r="AC494" s="572"/>
      <c r="AD494" s="572"/>
      <c r="AE494" s="572"/>
    </row>
    <row r="495" spans="3:31" x14ac:dyDescent="0.2">
      <c r="C495" s="5" t="str">
        <f>C444</f>
        <v>Supervisor/Team Leader of HYL</v>
      </c>
      <c r="D495" s="5"/>
      <c r="F495" s="1" t="s">
        <v>51</v>
      </c>
      <c r="I495" s="32">
        <f t="shared" ref="I495" si="331">I$477*I444</f>
        <v>3395.4795222006433</v>
      </c>
      <c r="J495" s="32">
        <f t="shared" ref="J495" si="332">J$477*J444</f>
        <v>3395.4795222006433</v>
      </c>
      <c r="K495" s="32">
        <f t="shared" si="330"/>
        <v>3395.4795222006433</v>
      </c>
      <c r="L495" s="32">
        <f t="shared" si="330"/>
        <v>3395.4795222006433</v>
      </c>
      <c r="M495" s="32">
        <f t="shared" si="330"/>
        <v>3395.4795222006433</v>
      </c>
      <c r="N495" s="32">
        <f t="shared" si="330"/>
        <v>3395.4795222006433</v>
      </c>
      <c r="O495" s="32">
        <f t="shared" si="330"/>
        <v>3395.4795222006433</v>
      </c>
      <c r="P495" s="32">
        <f t="shared" si="330"/>
        <v>3395.4795222006433</v>
      </c>
      <c r="Q495" s="32">
        <f t="shared" si="330"/>
        <v>3395.4795222006433</v>
      </c>
      <c r="R495" s="32">
        <f t="shared" si="330"/>
        <v>3395.4795222006433</v>
      </c>
      <c r="S495" s="32">
        <f t="shared" si="330"/>
        <v>3395.4795222006433</v>
      </c>
      <c r="T495" s="32">
        <f t="shared" si="330"/>
        <v>3395.4795222006433</v>
      </c>
      <c r="U495" s="32">
        <f t="shared" si="330"/>
        <v>3395.4795222006433</v>
      </c>
      <c r="V495" s="32">
        <f t="shared" si="330"/>
        <v>3395.4795222006433</v>
      </c>
      <c r="W495" s="572"/>
      <c r="X495" s="572"/>
      <c r="Y495" s="572"/>
      <c r="Z495" s="572"/>
      <c r="AA495" s="572"/>
      <c r="AB495" s="572"/>
      <c r="AC495" s="572"/>
      <c r="AD495" s="572"/>
      <c r="AE495" s="572"/>
    </row>
    <row r="496" spans="3:31" x14ac:dyDescent="0.2">
      <c r="C496" s="5" t="str">
        <f>C445</f>
        <v>Senior Operator - Mechanical</v>
      </c>
      <c r="D496" s="5"/>
      <c r="F496" s="1" t="s">
        <v>51</v>
      </c>
      <c r="I496" s="32">
        <f t="shared" ref="I496" si="333">I$477*I445</f>
        <v>2849.220017668782</v>
      </c>
      <c r="J496" s="32">
        <f t="shared" ref="J496" si="334">J$477*J445</f>
        <v>2849.220017668782</v>
      </c>
      <c r="K496" s="32">
        <f t="shared" si="330"/>
        <v>2849.220017668782</v>
      </c>
      <c r="L496" s="32">
        <f t="shared" si="330"/>
        <v>2849.220017668782</v>
      </c>
      <c r="M496" s="32">
        <f t="shared" si="330"/>
        <v>2849.220017668782</v>
      </c>
      <c r="N496" s="32">
        <f t="shared" si="330"/>
        <v>2849.220017668782</v>
      </c>
      <c r="O496" s="32">
        <f t="shared" si="330"/>
        <v>2849.220017668782</v>
      </c>
      <c r="P496" s="32">
        <f t="shared" si="330"/>
        <v>2849.220017668782</v>
      </c>
      <c r="Q496" s="32">
        <f t="shared" si="330"/>
        <v>2849.220017668782</v>
      </c>
      <c r="R496" s="32">
        <f t="shared" si="330"/>
        <v>2849.220017668782</v>
      </c>
      <c r="S496" s="32">
        <f t="shared" si="330"/>
        <v>2849.220017668782</v>
      </c>
      <c r="T496" s="32">
        <f t="shared" si="330"/>
        <v>2849.220017668782</v>
      </c>
      <c r="U496" s="32">
        <f t="shared" si="330"/>
        <v>2849.220017668782</v>
      </c>
      <c r="V496" s="32">
        <f t="shared" si="330"/>
        <v>2849.220017668782</v>
      </c>
      <c r="W496" s="572"/>
      <c r="X496" s="572"/>
      <c r="Y496" s="572"/>
      <c r="Z496" s="572"/>
      <c r="AA496" s="572"/>
      <c r="AB496" s="572"/>
      <c r="AC496" s="572"/>
      <c r="AD496" s="572"/>
      <c r="AE496" s="572"/>
    </row>
    <row r="497" spans="3:31" x14ac:dyDescent="0.2">
      <c r="C497" s="5" t="str">
        <f>C446</f>
        <v>Operator</v>
      </c>
      <c r="D497" s="5"/>
      <c r="F497" s="1" t="s">
        <v>51</v>
      </c>
      <c r="I497" s="32">
        <f t="shared" ref="I497" si="335">I$477*I446</f>
        <v>2037.7242657519182</v>
      </c>
      <c r="J497" s="32">
        <f t="shared" ref="J497" si="336">J$477*J446</f>
        <v>2037.7242657519182</v>
      </c>
      <c r="K497" s="32">
        <f t="shared" si="330"/>
        <v>2037.7242657519182</v>
      </c>
      <c r="L497" s="32">
        <f t="shared" si="330"/>
        <v>2037.7242657519182</v>
      </c>
      <c r="M497" s="32">
        <f t="shared" si="330"/>
        <v>2037.7242657519182</v>
      </c>
      <c r="N497" s="32">
        <f t="shared" si="330"/>
        <v>2037.7242657519182</v>
      </c>
      <c r="O497" s="32">
        <f t="shared" si="330"/>
        <v>2037.7242657519182</v>
      </c>
      <c r="P497" s="32">
        <f t="shared" si="330"/>
        <v>2037.7242657519182</v>
      </c>
      <c r="Q497" s="32">
        <f t="shared" si="330"/>
        <v>2037.7242657519182</v>
      </c>
      <c r="R497" s="32">
        <f t="shared" si="330"/>
        <v>2037.7242657519182</v>
      </c>
      <c r="S497" s="32">
        <f t="shared" si="330"/>
        <v>2037.7242657519182</v>
      </c>
      <c r="T497" s="32">
        <f t="shared" si="330"/>
        <v>2037.7242657519182</v>
      </c>
      <c r="U497" s="32">
        <f t="shared" si="330"/>
        <v>2037.7242657519182</v>
      </c>
      <c r="V497" s="32">
        <f t="shared" si="330"/>
        <v>2037.7242657519182</v>
      </c>
      <c r="W497" s="572"/>
      <c r="X497" s="572"/>
      <c r="Y497" s="572"/>
      <c r="Z497" s="572"/>
      <c r="AA497" s="572"/>
      <c r="AB497" s="572"/>
      <c r="AC497" s="572"/>
      <c r="AD497" s="572"/>
      <c r="AE497" s="572"/>
    </row>
    <row r="498" spans="3:31" x14ac:dyDescent="0.2">
      <c r="C498" s="5"/>
      <c r="D498" s="5"/>
      <c r="I498" s="32"/>
      <c r="J498" s="32"/>
      <c r="K498" s="32"/>
      <c r="L498" s="32"/>
      <c r="M498" s="32"/>
      <c r="N498" s="32"/>
      <c r="O498" s="32"/>
      <c r="P498" s="32"/>
      <c r="Q498" s="32"/>
      <c r="R498" s="32"/>
      <c r="S498" s="32"/>
      <c r="T498" s="32"/>
      <c r="U498" s="32"/>
      <c r="V498" s="32"/>
      <c r="W498" s="572"/>
      <c r="X498" s="572"/>
      <c r="Y498" s="572"/>
      <c r="Z498" s="572"/>
      <c r="AA498" s="572"/>
      <c r="AB498" s="572"/>
      <c r="AC498" s="572"/>
      <c r="AD498" s="572"/>
      <c r="AE498" s="572"/>
    </row>
    <row r="499" spans="3:31" x14ac:dyDescent="0.2">
      <c r="C499" s="47" t="str">
        <f>C448</f>
        <v>Cold Processing</v>
      </c>
      <c r="D499" s="5"/>
      <c r="I499" s="32"/>
      <c r="J499" s="32"/>
      <c r="K499" s="32"/>
      <c r="L499" s="32"/>
      <c r="M499" s="32"/>
      <c r="N499" s="32"/>
      <c r="O499" s="32"/>
      <c r="P499" s="32"/>
      <c r="Q499" s="32"/>
      <c r="R499" s="32"/>
      <c r="S499" s="32"/>
      <c r="T499" s="32"/>
      <c r="U499" s="32"/>
      <c r="V499" s="32"/>
      <c r="W499" s="572"/>
      <c r="X499" s="572"/>
      <c r="Y499" s="572"/>
      <c r="Z499" s="572"/>
      <c r="AA499" s="572"/>
      <c r="AB499" s="572"/>
      <c r="AC499" s="572"/>
      <c r="AD499" s="572"/>
      <c r="AE499" s="572"/>
    </row>
    <row r="500" spans="3:31" x14ac:dyDescent="0.2">
      <c r="C500" s="5" t="str">
        <f>C449</f>
        <v>Manager of Cold Processing Production</v>
      </c>
      <c r="D500" s="5"/>
      <c r="F500" s="1" t="s">
        <v>51</v>
      </c>
      <c r="I500" s="32">
        <f t="shared" ref="I500" si="337">I$477*I449</f>
        <v>7679.8881565510565</v>
      </c>
      <c r="J500" s="32">
        <f t="shared" ref="J500" si="338">J$477*J449</f>
        <v>7679.8881565510565</v>
      </c>
      <c r="K500" s="32">
        <f t="shared" ref="K500:V502" si="339">K$477*K449</f>
        <v>7679.8881565510565</v>
      </c>
      <c r="L500" s="32">
        <f t="shared" si="339"/>
        <v>7679.8881565510565</v>
      </c>
      <c r="M500" s="32">
        <f t="shared" si="339"/>
        <v>7679.8881565510565</v>
      </c>
      <c r="N500" s="32">
        <f t="shared" si="339"/>
        <v>7679.8881565510565</v>
      </c>
      <c r="O500" s="32">
        <f t="shared" si="339"/>
        <v>7679.8881565510565</v>
      </c>
      <c r="P500" s="32">
        <f t="shared" si="339"/>
        <v>7679.8881565510565</v>
      </c>
      <c r="Q500" s="32">
        <f t="shared" si="339"/>
        <v>7679.8881565510565</v>
      </c>
      <c r="R500" s="32">
        <f t="shared" si="339"/>
        <v>7679.8881565510565</v>
      </c>
      <c r="S500" s="32">
        <f t="shared" si="339"/>
        <v>7679.8881565510565</v>
      </c>
      <c r="T500" s="32">
        <f t="shared" si="339"/>
        <v>7679.8881565510565</v>
      </c>
      <c r="U500" s="32">
        <f t="shared" si="339"/>
        <v>7679.8881565510565</v>
      </c>
      <c r="V500" s="32">
        <f t="shared" si="339"/>
        <v>7679.8881565510565</v>
      </c>
      <c r="W500" s="572"/>
      <c r="X500" s="572"/>
      <c r="Y500" s="572"/>
      <c r="Z500" s="572"/>
      <c r="AA500" s="572"/>
      <c r="AB500" s="572"/>
      <c r="AC500" s="572"/>
      <c r="AD500" s="572"/>
      <c r="AE500" s="572"/>
    </row>
    <row r="501" spans="3:31" x14ac:dyDescent="0.2">
      <c r="C501" s="5" t="str">
        <f>C450</f>
        <v xml:space="preserve">Senior Operator </v>
      </c>
      <c r="D501" s="5"/>
      <c r="F501" s="1" t="s">
        <v>51</v>
      </c>
      <c r="I501" s="32">
        <f t="shared" ref="I501" si="340">I$477*I450</f>
        <v>2576.0902654028509</v>
      </c>
      <c r="J501" s="32">
        <f t="shared" ref="J501" si="341">J$477*J450</f>
        <v>2576.0902654028509</v>
      </c>
      <c r="K501" s="32">
        <f t="shared" si="339"/>
        <v>2576.0902654028509</v>
      </c>
      <c r="L501" s="32">
        <f t="shared" si="339"/>
        <v>2576.0902654028509</v>
      </c>
      <c r="M501" s="32">
        <f t="shared" si="339"/>
        <v>2576.0902654028509</v>
      </c>
      <c r="N501" s="32">
        <f t="shared" si="339"/>
        <v>2576.0902654028509</v>
      </c>
      <c r="O501" s="32">
        <f t="shared" si="339"/>
        <v>2576.0902654028509</v>
      </c>
      <c r="P501" s="32">
        <f t="shared" si="339"/>
        <v>2576.0902654028509</v>
      </c>
      <c r="Q501" s="32">
        <f t="shared" si="339"/>
        <v>2576.0902654028509</v>
      </c>
      <c r="R501" s="32">
        <f t="shared" si="339"/>
        <v>2576.0902654028509</v>
      </c>
      <c r="S501" s="32">
        <f t="shared" si="339"/>
        <v>2576.0902654028509</v>
      </c>
      <c r="T501" s="32">
        <f t="shared" si="339"/>
        <v>2576.0902654028509</v>
      </c>
      <c r="U501" s="32">
        <f t="shared" si="339"/>
        <v>2576.0902654028509</v>
      </c>
      <c r="V501" s="32">
        <f t="shared" si="339"/>
        <v>2576.0902654028509</v>
      </c>
      <c r="W501" s="572"/>
      <c r="X501" s="572"/>
      <c r="Y501" s="572"/>
      <c r="Z501" s="572"/>
      <c r="AA501" s="572"/>
      <c r="AB501" s="572"/>
      <c r="AC501" s="572"/>
      <c r="AD501" s="572"/>
      <c r="AE501" s="572"/>
    </row>
    <row r="502" spans="3:31" x14ac:dyDescent="0.2">
      <c r="C502" s="5" t="str">
        <f>C451</f>
        <v>Operator</v>
      </c>
      <c r="D502" s="5"/>
      <c r="F502" s="1" t="s">
        <v>51</v>
      </c>
      <c r="I502" s="32">
        <f t="shared" ref="I502" si="342">I$477*I451</f>
        <v>2128.7397203947367</v>
      </c>
      <c r="J502" s="32">
        <f t="shared" ref="J502" si="343">J$477*J451</f>
        <v>2128.7397203947367</v>
      </c>
      <c r="K502" s="32">
        <f t="shared" si="339"/>
        <v>2128.7397203947367</v>
      </c>
      <c r="L502" s="32">
        <f t="shared" si="339"/>
        <v>2128.7397203947367</v>
      </c>
      <c r="M502" s="32">
        <f t="shared" si="339"/>
        <v>2128.7397203947367</v>
      </c>
      <c r="N502" s="32">
        <f t="shared" si="339"/>
        <v>2128.7397203947367</v>
      </c>
      <c r="O502" s="32">
        <f t="shared" si="339"/>
        <v>2128.7397203947367</v>
      </c>
      <c r="P502" s="32">
        <f t="shared" si="339"/>
        <v>2128.7397203947367</v>
      </c>
      <c r="Q502" s="32">
        <f t="shared" si="339"/>
        <v>2128.7397203947367</v>
      </c>
      <c r="R502" s="32">
        <f t="shared" si="339"/>
        <v>2128.7397203947367</v>
      </c>
      <c r="S502" s="32">
        <f t="shared" si="339"/>
        <v>2128.7397203947367</v>
      </c>
      <c r="T502" s="32">
        <f t="shared" si="339"/>
        <v>2128.7397203947367</v>
      </c>
      <c r="U502" s="32">
        <f t="shared" si="339"/>
        <v>2128.7397203947367</v>
      </c>
      <c r="V502" s="32">
        <f t="shared" si="339"/>
        <v>2128.7397203947367</v>
      </c>
      <c r="W502" s="572"/>
      <c r="X502" s="572"/>
      <c r="Y502" s="572"/>
      <c r="Z502" s="572"/>
      <c r="AA502" s="572"/>
      <c r="AB502" s="572"/>
      <c r="AC502" s="572"/>
      <c r="AD502" s="572"/>
      <c r="AE502" s="572"/>
    </row>
    <row r="503" spans="3:31" x14ac:dyDescent="0.2">
      <c r="C503" s="5"/>
      <c r="D503" s="5"/>
      <c r="I503" s="32"/>
      <c r="J503" s="32"/>
      <c r="K503" s="32"/>
      <c r="L503" s="32"/>
      <c r="M503" s="32"/>
      <c r="N503" s="32"/>
      <c r="O503" s="32"/>
      <c r="P503" s="32"/>
      <c r="Q503" s="32"/>
      <c r="R503" s="32"/>
      <c r="S503" s="32"/>
      <c r="T503" s="32"/>
      <c r="U503" s="32"/>
      <c r="V503" s="32"/>
      <c r="W503" s="572"/>
      <c r="X503" s="572"/>
      <c r="Y503" s="572"/>
      <c r="Z503" s="572"/>
      <c r="AA503" s="572"/>
      <c r="AB503" s="572"/>
      <c r="AC503" s="572"/>
      <c r="AD503" s="572"/>
      <c r="AE503" s="572"/>
    </row>
    <row r="504" spans="3:31" x14ac:dyDescent="0.2">
      <c r="C504" s="47" t="str">
        <f t="shared" ref="C504:C511" si="344">C453</f>
        <v>Shared Personnel</v>
      </c>
      <c r="D504" s="5"/>
      <c r="I504" s="32"/>
      <c r="J504" s="32"/>
      <c r="K504" s="32"/>
      <c r="L504" s="32"/>
      <c r="M504" s="32"/>
      <c r="N504" s="32"/>
      <c r="O504" s="32"/>
      <c r="P504" s="32"/>
      <c r="Q504" s="32"/>
      <c r="R504" s="32"/>
      <c r="S504" s="32"/>
      <c r="T504" s="32"/>
      <c r="U504" s="32"/>
      <c r="V504" s="32"/>
      <c r="W504" s="572"/>
      <c r="X504" s="572"/>
      <c r="Y504" s="572"/>
      <c r="Z504" s="572"/>
      <c r="AA504" s="572"/>
      <c r="AB504" s="572"/>
      <c r="AC504" s="572"/>
      <c r="AD504" s="572"/>
      <c r="AE504" s="572"/>
    </row>
    <row r="505" spans="3:31" x14ac:dyDescent="0.2">
      <c r="C505" s="5" t="str">
        <f t="shared" si="344"/>
        <v>Maintenance Manager</v>
      </c>
      <c r="D505" s="5"/>
      <c r="F505" s="1" t="s">
        <v>51</v>
      </c>
      <c r="I505" s="32">
        <f t="shared" ref="I505" si="345">I$477*I454</f>
        <v>6250.1796451674581</v>
      </c>
      <c r="J505" s="32">
        <f t="shared" ref="J505" si="346">J$477*J454</f>
        <v>6250.1796451674581</v>
      </c>
      <c r="K505" s="32">
        <f t="shared" ref="K505:V511" si="347">K$477*K454</f>
        <v>6250.1796451674581</v>
      </c>
      <c r="L505" s="32">
        <f t="shared" si="347"/>
        <v>6250.1796451674581</v>
      </c>
      <c r="M505" s="32">
        <f t="shared" si="347"/>
        <v>6250.1796451674581</v>
      </c>
      <c r="N505" s="32">
        <f t="shared" si="347"/>
        <v>6250.1796451674581</v>
      </c>
      <c r="O505" s="32">
        <f t="shared" si="347"/>
        <v>6250.1796451674581</v>
      </c>
      <c r="P505" s="32">
        <f t="shared" si="347"/>
        <v>6250.1796451674581</v>
      </c>
      <c r="Q505" s="32">
        <f t="shared" si="347"/>
        <v>6250.1796451674581</v>
      </c>
      <c r="R505" s="32">
        <f t="shared" si="347"/>
        <v>6250.1796451674581</v>
      </c>
      <c r="S505" s="32">
        <f t="shared" si="347"/>
        <v>6250.1796451674581</v>
      </c>
      <c r="T505" s="32">
        <f t="shared" si="347"/>
        <v>6250.1796451674581</v>
      </c>
      <c r="U505" s="32">
        <f t="shared" si="347"/>
        <v>6250.1796451674581</v>
      </c>
      <c r="V505" s="32">
        <f t="shared" si="347"/>
        <v>6250.1796451674581</v>
      </c>
      <c r="W505" s="572"/>
      <c r="X505" s="572"/>
      <c r="Y505" s="572"/>
      <c r="Z505" s="572"/>
      <c r="AA505" s="572"/>
      <c r="AB505" s="572"/>
      <c r="AC505" s="572"/>
      <c r="AD505" s="572"/>
      <c r="AE505" s="572"/>
    </row>
    <row r="506" spans="3:31" x14ac:dyDescent="0.2">
      <c r="C506" s="5" t="str">
        <f t="shared" si="344"/>
        <v>Mechanical Engineer</v>
      </c>
      <c r="D506" s="5"/>
      <c r="F506" s="1" t="s">
        <v>51</v>
      </c>
      <c r="I506" s="32">
        <f t="shared" ref="I506" si="348">I$477*I455</f>
        <v>4603.0831577303461</v>
      </c>
      <c r="J506" s="32">
        <f t="shared" ref="J506" si="349">J$477*J455</f>
        <v>4603.0831577303461</v>
      </c>
      <c r="K506" s="32">
        <f t="shared" si="347"/>
        <v>4603.0831577303461</v>
      </c>
      <c r="L506" s="32">
        <f t="shared" si="347"/>
        <v>4603.0831577303461</v>
      </c>
      <c r="M506" s="32">
        <f t="shared" si="347"/>
        <v>4603.0831577303461</v>
      </c>
      <c r="N506" s="32">
        <f t="shared" si="347"/>
        <v>4603.0831577303461</v>
      </c>
      <c r="O506" s="32">
        <f t="shared" si="347"/>
        <v>4603.0831577303461</v>
      </c>
      <c r="P506" s="32">
        <f t="shared" si="347"/>
        <v>4603.0831577303461</v>
      </c>
      <c r="Q506" s="32">
        <f t="shared" si="347"/>
        <v>4603.0831577303461</v>
      </c>
      <c r="R506" s="32">
        <f t="shared" si="347"/>
        <v>4603.0831577303461</v>
      </c>
      <c r="S506" s="32">
        <f t="shared" si="347"/>
        <v>4603.0831577303461</v>
      </c>
      <c r="T506" s="32">
        <f t="shared" si="347"/>
        <v>4603.0831577303461</v>
      </c>
      <c r="U506" s="32">
        <f t="shared" si="347"/>
        <v>4603.0831577303461</v>
      </c>
      <c r="V506" s="32">
        <f t="shared" si="347"/>
        <v>4603.0831577303461</v>
      </c>
      <c r="W506" s="572"/>
      <c r="X506" s="572"/>
      <c r="Y506" s="572"/>
      <c r="Z506" s="572"/>
      <c r="AA506" s="572"/>
      <c r="AB506" s="572"/>
      <c r="AC506" s="572"/>
      <c r="AD506" s="572"/>
      <c r="AE506" s="572"/>
    </row>
    <row r="507" spans="3:31" x14ac:dyDescent="0.2">
      <c r="C507" s="5" t="str">
        <f t="shared" si="344"/>
        <v>Electrical Engineer</v>
      </c>
      <c r="D507" s="5"/>
      <c r="F507" s="1" t="s">
        <v>51</v>
      </c>
      <c r="I507" s="32">
        <f t="shared" ref="I507" si="350">I$477*I456</f>
        <v>4603.0831577303461</v>
      </c>
      <c r="J507" s="32">
        <f t="shared" ref="J507" si="351">J$477*J456</f>
        <v>4603.0831577303461</v>
      </c>
      <c r="K507" s="32">
        <f t="shared" si="347"/>
        <v>4603.0831577303461</v>
      </c>
      <c r="L507" s="32">
        <f t="shared" si="347"/>
        <v>4603.0831577303461</v>
      </c>
      <c r="M507" s="32">
        <f t="shared" si="347"/>
        <v>4603.0831577303461</v>
      </c>
      <c r="N507" s="32">
        <f t="shared" si="347"/>
        <v>4603.0831577303461</v>
      </c>
      <c r="O507" s="32">
        <f t="shared" si="347"/>
        <v>4603.0831577303461</v>
      </c>
      <c r="P507" s="32">
        <f t="shared" si="347"/>
        <v>4603.0831577303461</v>
      </c>
      <c r="Q507" s="32">
        <f t="shared" si="347"/>
        <v>4603.0831577303461</v>
      </c>
      <c r="R507" s="32">
        <f t="shared" si="347"/>
        <v>4603.0831577303461</v>
      </c>
      <c r="S507" s="32">
        <f t="shared" si="347"/>
        <v>4603.0831577303461</v>
      </c>
      <c r="T507" s="32">
        <f t="shared" si="347"/>
        <v>4603.0831577303461</v>
      </c>
      <c r="U507" s="32">
        <f t="shared" si="347"/>
        <v>4603.0831577303461</v>
      </c>
      <c r="V507" s="32">
        <f t="shared" si="347"/>
        <v>4603.0831577303461</v>
      </c>
      <c r="W507" s="572"/>
      <c r="X507" s="572"/>
      <c r="Y507" s="572"/>
      <c r="Z507" s="572"/>
      <c r="AA507" s="572"/>
      <c r="AB507" s="572"/>
      <c r="AC507" s="572"/>
      <c r="AD507" s="572"/>
      <c r="AE507" s="572"/>
    </row>
    <row r="508" spans="3:31" x14ac:dyDescent="0.2">
      <c r="C508" s="5" t="str">
        <f t="shared" si="344"/>
        <v>Information Systems Technician</v>
      </c>
      <c r="D508" s="5"/>
      <c r="F508" s="1" t="s">
        <v>51</v>
      </c>
      <c r="I508" s="32">
        <f t="shared" ref="I508" si="352">I$477*I457</f>
        <v>3395.4795222006433</v>
      </c>
      <c r="J508" s="32">
        <f t="shared" ref="J508" si="353">J$477*J457</f>
        <v>3395.4795222006433</v>
      </c>
      <c r="K508" s="32">
        <f t="shared" si="347"/>
        <v>3395.4795222006433</v>
      </c>
      <c r="L508" s="32">
        <f t="shared" si="347"/>
        <v>3395.4795222006433</v>
      </c>
      <c r="M508" s="32">
        <f t="shared" si="347"/>
        <v>3395.4795222006433</v>
      </c>
      <c r="N508" s="32">
        <f t="shared" si="347"/>
        <v>3395.4795222006433</v>
      </c>
      <c r="O508" s="32">
        <f t="shared" si="347"/>
        <v>3395.4795222006433</v>
      </c>
      <c r="P508" s="32">
        <f t="shared" si="347"/>
        <v>3395.4795222006433</v>
      </c>
      <c r="Q508" s="32">
        <f t="shared" si="347"/>
        <v>3395.4795222006433</v>
      </c>
      <c r="R508" s="32">
        <f t="shared" si="347"/>
        <v>3395.4795222006433</v>
      </c>
      <c r="S508" s="32">
        <f t="shared" si="347"/>
        <v>3395.4795222006433</v>
      </c>
      <c r="T508" s="32">
        <f t="shared" si="347"/>
        <v>3395.4795222006433</v>
      </c>
      <c r="U508" s="32">
        <f t="shared" si="347"/>
        <v>3395.4795222006433</v>
      </c>
      <c r="V508" s="32">
        <f t="shared" si="347"/>
        <v>3395.4795222006433</v>
      </c>
      <c r="W508" s="572"/>
      <c r="X508" s="572"/>
      <c r="Y508" s="572"/>
      <c r="Z508" s="572"/>
      <c r="AA508" s="572"/>
      <c r="AB508" s="572"/>
      <c r="AC508" s="572"/>
      <c r="AD508" s="572"/>
      <c r="AE508" s="572"/>
    </row>
    <row r="509" spans="3:31" x14ac:dyDescent="0.2">
      <c r="C509" s="5" t="str">
        <f t="shared" si="344"/>
        <v>Craft Maintenance - Electrical</v>
      </c>
      <c r="D509" s="5"/>
      <c r="F509" s="1" t="s">
        <v>51</v>
      </c>
      <c r="I509" s="32">
        <f t="shared" ref="I509" si="354">I$477*I458</f>
        <v>2849.220017668782</v>
      </c>
      <c r="J509" s="32">
        <f t="shared" ref="J509" si="355">J$477*J458</f>
        <v>2849.220017668782</v>
      </c>
      <c r="K509" s="32">
        <f t="shared" si="347"/>
        <v>2849.220017668782</v>
      </c>
      <c r="L509" s="32">
        <f t="shared" si="347"/>
        <v>2849.220017668782</v>
      </c>
      <c r="M509" s="32">
        <f t="shared" si="347"/>
        <v>2849.220017668782</v>
      </c>
      <c r="N509" s="32">
        <f t="shared" si="347"/>
        <v>2849.220017668782</v>
      </c>
      <c r="O509" s="32">
        <f t="shared" si="347"/>
        <v>2849.220017668782</v>
      </c>
      <c r="P509" s="32">
        <f t="shared" si="347"/>
        <v>2849.220017668782</v>
      </c>
      <c r="Q509" s="32">
        <f t="shared" si="347"/>
        <v>2849.220017668782</v>
      </c>
      <c r="R509" s="32">
        <f t="shared" si="347"/>
        <v>2849.220017668782</v>
      </c>
      <c r="S509" s="32">
        <f t="shared" si="347"/>
        <v>2849.220017668782</v>
      </c>
      <c r="T509" s="32">
        <f t="shared" si="347"/>
        <v>2849.220017668782</v>
      </c>
      <c r="U509" s="32">
        <f t="shared" si="347"/>
        <v>2849.220017668782</v>
      </c>
      <c r="V509" s="32">
        <f t="shared" si="347"/>
        <v>2849.220017668782</v>
      </c>
      <c r="W509" s="572"/>
      <c r="X509" s="572"/>
      <c r="Y509" s="572"/>
      <c r="Z509" s="572"/>
      <c r="AA509" s="572"/>
      <c r="AB509" s="572"/>
      <c r="AC509" s="572"/>
      <c r="AD509" s="572"/>
      <c r="AE509" s="572"/>
    </row>
    <row r="510" spans="3:31" x14ac:dyDescent="0.2">
      <c r="C510" s="5" t="str">
        <f t="shared" si="344"/>
        <v>Craft Maintenance - Mechanical</v>
      </c>
      <c r="D510" s="5"/>
      <c r="F510" s="1" t="s">
        <v>51</v>
      </c>
      <c r="I510" s="32">
        <f t="shared" ref="I510" si="356">I$477*I459</f>
        <v>2849.220017668782</v>
      </c>
      <c r="J510" s="32">
        <f t="shared" ref="J510" si="357">J$477*J459</f>
        <v>2849.220017668782</v>
      </c>
      <c r="K510" s="32">
        <f t="shared" si="347"/>
        <v>2849.220017668782</v>
      </c>
      <c r="L510" s="32">
        <f t="shared" si="347"/>
        <v>2849.220017668782</v>
      </c>
      <c r="M510" s="32">
        <f t="shared" si="347"/>
        <v>2849.220017668782</v>
      </c>
      <c r="N510" s="32">
        <f t="shared" si="347"/>
        <v>2849.220017668782</v>
      </c>
      <c r="O510" s="32">
        <f t="shared" si="347"/>
        <v>2849.220017668782</v>
      </c>
      <c r="P510" s="32">
        <f t="shared" si="347"/>
        <v>2849.220017668782</v>
      </c>
      <c r="Q510" s="32">
        <f t="shared" si="347"/>
        <v>2849.220017668782</v>
      </c>
      <c r="R510" s="32">
        <f t="shared" si="347"/>
        <v>2849.220017668782</v>
      </c>
      <c r="S510" s="32">
        <f t="shared" si="347"/>
        <v>2849.220017668782</v>
      </c>
      <c r="T510" s="32">
        <f t="shared" si="347"/>
        <v>2849.220017668782</v>
      </c>
      <c r="U510" s="32">
        <f t="shared" si="347"/>
        <v>2849.220017668782</v>
      </c>
      <c r="V510" s="32">
        <f t="shared" si="347"/>
        <v>2849.220017668782</v>
      </c>
      <c r="W510" s="572"/>
      <c r="X510" s="572"/>
      <c r="Y510" s="572"/>
      <c r="Z510" s="572"/>
      <c r="AA510" s="572"/>
      <c r="AB510" s="572"/>
      <c r="AC510" s="572"/>
      <c r="AD510" s="572"/>
      <c r="AE510" s="572"/>
    </row>
    <row r="511" spans="3:31" x14ac:dyDescent="0.2">
      <c r="C511" s="5" t="str">
        <f t="shared" si="344"/>
        <v>Quality Control Engineer</v>
      </c>
      <c r="D511" s="5"/>
      <c r="F511" s="1" t="s">
        <v>51</v>
      </c>
      <c r="I511" s="32">
        <f t="shared" ref="I511" si="358">I$477*I460</f>
        <v>2576.0902654028509</v>
      </c>
      <c r="J511" s="32">
        <f t="shared" ref="J511" si="359">J$477*J460</f>
        <v>2576.0902654028509</v>
      </c>
      <c r="K511" s="32">
        <f t="shared" si="347"/>
        <v>2576.0902654028509</v>
      </c>
      <c r="L511" s="32">
        <f t="shared" si="347"/>
        <v>2576.0902654028509</v>
      </c>
      <c r="M511" s="32">
        <f t="shared" si="347"/>
        <v>2576.0902654028509</v>
      </c>
      <c r="N511" s="32">
        <f t="shared" si="347"/>
        <v>2576.0902654028509</v>
      </c>
      <c r="O511" s="32">
        <f t="shared" si="347"/>
        <v>2576.0902654028509</v>
      </c>
      <c r="P511" s="32">
        <f t="shared" si="347"/>
        <v>2576.0902654028509</v>
      </c>
      <c r="Q511" s="32">
        <f t="shared" si="347"/>
        <v>2576.0902654028509</v>
      </c>
      <c r="R511" s="32">
        <f t="shared" si="347"/>
        <v>2576.0902654028509</v>
      </c>
      <c r="S511" s="32">
        <f t="shared" si="347"/>
        <v>2576.0902654028509</v>
      </c>
      <c r="T511" s="32">
        <f t="shared" si="347"/>
        <v>2576.0902654028509</v>
      </c>
      <c r="U511" s="32">
        <f t="shared" si="347"/>
        <v>2576.0902654028509</v>
      </c>
      <c r="V511" s="32">
        <f t="shared" si="347"/>
        <v>2576.0902654028509</v>
      </c>
      <c r="W511" s="572"/>
      <c r="X511" s="572"/>
      <c r="Y511" s="572"/>
      <c r="Z511" s="572"/>
      <c r="AA511" s="572"/>
      <c r="AB511" s="572"/>
      <c r="AC511" s="572"/>
      <c r="AD511" s="572"/>
      <c r="AE511" s="572"/>
    </row>
    <row r="512" spans="3:31" x14ac:dyDescent="0.2">
      <c r="C512" s="5"/>
      <c r="D512" s="5"/>
      <c r="I512" s="32"/>
      <c r="J512" s="32"/>
      <c r="K512" s="32"/>
      <c r="L512" s="32"/>
      <c r="M512" s="32"/>
      <c r="N512" s="32"/>
      <c r="O512" s="32"/>
      <c r="P512" s="32"/>
      <c r="Q512" s="32"/>
      <c r="R512" s="32"/>
      <c r="S512" s="32"/>
      <c r="T512" s="32"/>
      <c r="U512" s="32"/>
      <c r="V512" s="32"/>
      <c r="W512" s="572"/>
      <c r="X512" s="572"/>
      <c r="Y512" s="572"/>
      <c r="Z512" s="572"/>
      <c r="AA512" s="572"/>
      <c r="AB512" s="572"/>
      <c r="AC512" s="572"/>
      <c r="AD512" s="572"/>
      <c r="AE512" s="572"/>
    </row>
    <row r="513" spans="2:31" x14ac:dyDescent="0.2">
      <c r="C513" s="47" t="str">
        <f t="shared" ref="C513:C522" si="360">C462</f>
        <v>Selling, General &amp; Administrative</v>
      </c>
      <c r="D513" s="5"/>
      <c r="I513" s="32"/>
      <c r="J513" s="32"/>
      <c r="K513" s="32"/>
      <c r="L513" s="32"/>
      <c r="M513" s="32"/>
      <c r="N513" s="32"/>
      <c r="O513" s="32"/>
      <c r="P513" s="32"/>
      <c r="Q513" s="32"/>
      <c r="R513" s="32"/>
      <c r="S513" s="32"/>
      <c r="T513" s="32"/>
      <c r="U513" s="32"/>
      <c r="V513" s="32"/>
      <c r="W513" s="572"/>
      <c r="X513" s="572"/>
      <c r="Y513" s="572"/>
      <c r="Z513" s="572"/>
      <c r="AA513" s="572"/>
      <c r="AB513" s="572"/>
      <c r="AC513" s="572"/>
      <c r="AD513" s="572"/>
      <c r="AE513" s="572"/>
    </row>
    <row r="514" spans="2:31" x14ac:dyDescent="0.2">
      <c r="C514" s="5" t="str">
        <f t="shared" si="360"/>
        <v>CEO, CFO, COO</v>
      </c>
      <c r="D514" s="5"/>
      <c r="F514" s="1" t="s">
        <v>51</v>
      </c>
      <c r="I514" s="32">
        <f t="shared" ref="I514" si="361">I$477*I463</f>
        <v>10264.630902002478</v>
      </c>
      <c r="J514" s="32">
        <f t="shared" ref="J514" si="362">J$477*J463</f>
        <v>10264.630902002478</v>
      </c>
      <c r="K514" s="32">
        <f t="shared" ref="K514:V522" si="363">K$477*K463</f>
        <v>10264.630902002478</v>
      </c>
      <c r="L514" s="32">
        <f t="shared" si="363"/>
        <v>10264.630902002478</v>
      </c>
      <c r="M514" s="32">
        <f t="shared" si="363"/>
        <v>10264.630902002478</v>
      </c>
      <c r="N514" s="32">
        <f t="shared" si="363"/>
        <v>10264.630902002478</v>
      </c>
      <c r="O514" s="32">
        <f t="shared" si="363"/>
        <v>10264.630902002478</v>
      </c>
      <c r="P514" s="32">
        <f t="shared" si="363"/>
        <v>10264.630902002478</v>
      </c>
      <c r="Q514" s="32">
        <f t="shared" si="363"/>
        <v>10264.630902002478</v>
      </c>
      <c r="R514" s="32">
        <f t="shared" si="363"/>
        <v>10264.630902002478</v>
      </c>
      <c r="S514" s="32">
        <f t="shared" si="363"/>
        <v>10264.630902002478</v>
      </c>
      <c r="T514" s="32">
        <f t="shared" si="363"/>
        <v>10264.630902002478</v>
      </c>
      <c r="U514" s="32">
        <f t="shared" si="363"/>
        <v>10264.630902002478</v>
      </c>
      <c r="V514" s="32">
        <f t="shared" si="363"/>
        <v>10264.630902002478</v>
      </c>
      <c r="W514" s="572"/>
      <c r="X514" s="572"/>
      <c r="Y514" s="572"/>
      <c r="Z514" s="572"/>
      <c r="AA514" s="572"/>
      <c r="AB514" s="572"/>
      <c r="AC514" s="572"/>
      <c r="AD514" s="572"/>
      <c r="AE514" s="572"/>
    </row>
    <row r="515" spans="2:31" x14ac:dyDescent="0.2">
      <c r="C515" s="5" t="str">
        <f t="shared" si="360"/>
        <v>Administrator</v>
      </c>
      <c r="D515" s="5"/>
      <c r="F515" s="1" t="s">
        <v>51</v>
      </c>
      <c r="I515" s="32">
        <f t="shared" ref="I515" si="364">I$477*I464</f>
        <v>1967.9560488351735</v>
      </c>
      <c r="J515" s="32">
        <f t="shared" ref="J515" si="365">J$477*J464</f>
        <v>1967.9560488351735</v>
      </c>
      <c r="K515" s="32">
        <f t="shared" si="363"/>
        <v>1967.9560488351735</v>
      </c>
      <c r="L515" s="32">
        <f t="shared" si="363"/>
        <v>1967.9560488351735</v>
      </c>
      <c r="M515" s="32">
        <f t="shared" si="363"/>
        <v>1967.9560488351735</v>
      </c>
      <c r="N515" s="32">
        <f t="shared" si="363"/>
        <v>1967.9560488351735</v>
      </c>
      <c r="O515" s="32">
        <f t="shared" si="363"/>
        <v>1967.9560488351735</v>
      </c>
      <c r="P515" s="32">
        <f t="shared" si="363"/>
        <v>1967.9560488351735</v>
      </c>
      <c r="Q515" s="32">
        <f t="shared" si="363"/>
        <v>1967.9560488351735</v>
      </c>
      <c r="R515" s="32">
        <f t="shared" si="363"/>
        <v>1967.9560488351735</v>
      </c>
      <c r="S515" s="32">
        <f t="shared" si="363"/>
        <v>1967.9560488351735</v>
      </c>
      <c r="T515" s="32">
        <f t="shared" si="363"/>
        <v>1967.9560488351735</v>
      </c>
      <c r="U515" s="32">
        <f t="shared" si="363"/>
        <v>1967.9560488351735</v>
      </c>
      <c r="V515" s="32">
        <f t="shared" si="363"/>
        <v>1967.9560488351735</v>
      </c>
      <c r="W515" s="572"/>
      <c r="X515" s="572"/>
      <c r="Y515" s="572"/>
      <c r="Z515" s="572"/>
      <c r="AA515" s="572"/>
      <c r="AB515" s="572"/>
      <c r="AC515" s="572"/>
      <c r="AD515" s="572"/>
      <c r="AE515" s="572"/>
    </row>
    <row r="516" spans="2:31" x14ac:dyDescent="0.2">
      <c r="C516" s="5" t="str">
        <f t="shared" si="360"/>
        <v xml:space="preserve">Accounting </v>
      </c>
      <c r="D516" s="5"/>
      <c r="F516" s="1" t="s">
        <v>51</v>
      </c>
      <c r="I516" s="32">
        <f t="shared" ref="I516" si="366">I$477*I465</f>
        <v>3941.7390267325045</v>
      </c>
      <c r="J516" s="32">
        <f t="shared" ref="J516" si="367">J$477*J465</f>
        <v>3941.7390267325045</v>
      </c>
      <c r="K516" s="32">
        <f t="shared" si="363"/>
        <v>3941.7390267325045</v>
      </c>
      <c r="L516" s="32">
        <f t="shared" si="363"/>
        <v>3941.7390267325045</v>
      </c>
      <c r="M516" s="32">
        <f t="shared" si="363"/>
        <v>3941.7390267325045</v>
      </c>
      <c r="N516" s="32">
        <f t="shared" si="363"/>
        <v>3941.7390267325045</v>
      </c>
      <c r="O516" s="32">
        <f t="shared" si="363"/>
        <v>3941.7390267325045</v>
      </c>
      <c r="P516" s="32">
        <f t="shared" si="363"/>
        <v>3941.7390267325045</v>
      </c>
      <c r="Q516" s="32">
        <f t="shared" si="363"/>
        <v>3941.7390267325045</v>
      </c>
      <c r="R516" s="32">
        <f t="shared" si="363"/>
        <v>3941.7390267325045</v>
      </c>
      <c r="S516" s="32">
        <f t="shared" si="363"/>
        <v>3941.7390267325045</v>
      </c>
      <c r="T516" s="32">
        <f t="shared" si="363"/>
        <v>3941.7390267325045</v>
      </c>
      <c r="U516" s="32">
        <f t="shared" si="363"/>
        <v>3941.7390267325045</v>
      </c>
      <c r="V516" s="32">
        <f t="shared" si="363"/>
        <v>3941.7390267325045</v>
      </c>
      <c r="W516" s="572"/>
      <c r="X516" s="572"/>
      <c r="Y516" s="572"/>
      <c r="Z516" s="572"/>
      <c r="AA516" s="572"/>
      <c r="AB516" s="572"/>
      <c r="AC516" s="572"/>
      <c r="AD516" s="572"/>
      <c r="AE516" s="572"/>
    </row>
    <row r="517" spans="2:31" x14ac:dyDescent="0.2">
      <c r="C517" s="5" t="str">
        <f t="shared" si="360"/>
        <v>Purchasing - Buyer</v>
      </c>
      <c r="D517" s="5"/>
      <c r="F517" s="1" t="s">
        <v>51</v>
      </c>
      <c r="I517" s="32">
        <f t="shared" ref="I517" si="368">I$477*I466</f>
        <v>2269.4912953367607</v>
      </c>
      <c r="J517" s="32">
        <f t="shared" ref="J517" si="369">J$477*J466</f>
        <v>2269.4912953367607</v>
      </c>
      <c r="K517" s="32">
        <f t="shared" si="363"/>
        <v>2269.4912953367607</v>
      </c>
      <c r="L517" s="32">
        <f t="shared" si="363"/>
        <v>2269.4912953367607</v>
      </c>
      <c r="M517" s="32">
        <f t="shared" si="363"/>
        <v>2269.4912953367607</v>
      </c>
      <c r="N517" s="32">
        <f t="shared" si="363"/>
        <v>2269.4912953367607</v>
      </c>
      <c r="O517" s="32">
        <f t="shared" si="363"/>
        <v>2269.4912953367607</v>
      </c>
      <c r="P517" s="32">
        <f t="shared" si="363"/>
        <v>2269.4912953367607</v>
      </c>
      <c r="Q517" s="32">
        <f t="shared" si="363"/>
        <v>2269.4912953367607</v>
      </c>
      <c r="R517" s="32">
        <f t="shared" si="363"/>
        <v>2269.4912953367607</v>
      </c>
      <c r="S517" s="32">
        <f t="shared" si="363"/>
        <v>2269.4912953367607</v>
      </c>
      <c r="T517" s="32">
        <f t="shared" si="363"/>
        <v>2269.4912953367607</v>
      </c>
      <c r="U517" s="32">
        <f t="shared" si="363"/>
        <v>2269.4912953367607</v>
      </c>
      <c r="V517" s="32">
        <f t="shared" si="363"/>
        <v>2269.4912953367607</v>
      </c>
      <c r="W517" s="572"/>
      <c r="X517" s="572"/>
      <c r="Y517" s="572"/>
      <c r="Z517" s="572"/>
      <c r="AA517" s="572"/>
      <c r="AB517" s="572"/>
      <c r="AC517" s="572"/>
      <c r="AD517" s="572"/>
      <c r="AE517" s="572"/>
    </row>
    <row r="518" spans="2:31" x14ac:dyDescent="0.2">
      <c r="C518" s="5" t="str">
        <f t="shared" si="360"/>
        <v>Purchasing - Receiving</v>
      </c>
      <c r="D518" s="5"/>
      <c r="F518" s="1" t="s">
        <v>51</v>
      </c>
      <c r="I518" s="32">
        <f t="shared" ref="I518" si="370">I$477*I467</f>
        <v>2018.2119232521045</v>
      </c>
      <c r="J518" s="32">
        <f t="shared" ref="J518" si="371">J$477*J467</f>
        <v>2018.2119232521045</v>
      </c>
      <c r="K518" s="32">
        <f t="shared" si="363"/>
        <v>2018.2119232521045</v>
      </c>
      <c r="L518" s="32">
        <f t="shared" si="363"/>
        <v>2018.2119232521045</v>
      </c>
      <c r="M518" s="32">
        <f t="shared" si="363"/>
        <v>2018.2119232521045</v>
      </c>
      <c r="N518" s="32">
        <f t="shared" si="363"/>
        <v>2018.2119232521045</v>
      </c>
      <c r="O518" s="32">
        <f t="shared" si="363"/>
        <v>2018.2119232521045</v>
      </c>
      <c r="P518" s="32">
        <f t="shared" si="363"/>
        <v>2018.2119232521045</v>
      </c>
      <c r="Q518" s="32">
        <f t="shared" si="363"/>
        <v>2018.2119232521045</v>
      </c>
      <c r="R518" s="32">
        <f t="shared" si="363"/>
        <v>2018.2119232521045</v>
      </c>
      <c r="S518" s="32">
        <f t="shared" si="363"/>
        <v>2018.2119232521045</v>
      </c>
      <c r="T518" s="32">
        <f t="shared" si="363"/>
        <v>2018.2119232521045</v>
      </c>
      <c r="U518" s="32">
        <f t="shared" si="363"/>
        <v>2018.2119232521045</v>
      </c>
      <c r="V518" s="32">
        <f t="shared" si="363"/>
        <v>2018.2119232521045</v>
      </c>
      <c r="W518" s="572"/>
      <c r="X518" s="572"/>
      <c r="Y518" s="572"/>
      <c r="Z518" s="572"/>
      <c r="AA518" s="572"/>
      <c r="AB518" s="572"/>
      <c r="AC518" s="572"/>
      <c r="AD518" s="572"/>
      <c r="AE518" s="572"/>
    </row>
    <row r="519" spans="2:31" x14ac:dyDescent="0.2">
      <c r="C519" s="5" t="str">
        <f t="shared" si="360"/>
        <v>Human Resources/Safety Manager/Training</v>
      </c>
      <c r="D519" s="5"/>
      <c r="F519" s="1" t="s">
        <v>51</v>
      </c>
      <c r="I519" s="32">
        <f t="shared" ref="I519" si="372">I$477*I468</f>
        <v>3668.6092744665739</v>
      </c>
      <c r="J519" s="32">
        <f t="shared" ref="J519" si="373">J$477*J468</f>
        <v>3668.6092744665739</v>
      </c>
      <c r="K519" s="32">
        <f t="shared" si="363"/>
        <v>3668.6092744665739</v>
      </c>
      <c r="L519" s="32">
        <f t="shared" si="363"/>
        <v>3668.6092744665739</v>
      </c>
      <c r="M519" s="32">
        <f t="shared" si="363"/>
        <v>3668.6092744665739</v>
      </c>
      <c r="N519" s="32">
        <f t="shared" si="363"/>
        <v>3668.6092744665739</v>
      </c>
      <c r="O519" s="32">
        <f t="shared" si="363"/>
        <v>3668.6092744665739</v>
      </c>
      <c r="P519" s="32">
        <f t="shared" si="363"/>
        <v>3668.6092744665739</v>
      </c>
      <c r="Q519" s="32">
        <f t="shared" si="363"/>
        <v>3668.6092744665739</v>
      </c>
      <c r="R519" s="32">
        <f t="shared" si="363"/>
        <v>3668.6092744665739</v>
      </c>
      <c r="S519" s="32">
        <f t="shared" si="363"/>
        <v>3668.6092744665739</v>
      </c>
      <c r="T519" s="32">
        <f t="shared" si="363"/>
        <v>3668.6092744665739</v>
      </c>
      <c r="U519" s="32">
        <f t="shared" si="363"/>
        <v>3668.6092744665739</v>
      </c>
      <c r="V519" s="32">
        <f t="shared" si="363"/>
        <v>3668.6092744665739</v>
      </c>
      <c r="W519" s="572"/>
      <c r="X519" s="572"/>
      <c r="Y519" s="572"/>
      <c r="Z519" s="572"/>
      <c r="AA519" s="572"/>
      <c r="AB519" s="572"/>
      <c r="AC519" s="572"/>
      <c r="AD519" s="572"/>
      <c r="AE519" s="572"/>
    </row>
    <row r="520" spans="2:31" x14ac:dyDescent="0.2">
      <c r="C520" s="5" t="str">
        <f t="shared" si="360"/>
        <v>Sales Administrator</v>
      </c>
      <c r="D520" s="5"/>
      <c r="F520" s="1" t="s">
        <v>51</v>
      </c>
      <c r="I520" s="32">
        <f t="shared" ref="I520" si="374">I$477*I469</f>
        <v>1967.9560488351735</v>
      </c>
      <c r="J520" s="32">
        <f t="shared" ref="J520" si="375">J$477*J469</f>
        <v>1967.9560488351735</v>
      </c>
      <c r="K520" s="32">
        <f t="shared" si="363"/>
        <v>1967.9560488351735</v>
      </c>
      <c r="L520" s="32">
        <f t="shared" si="363"/>
        <v>1967.9560488351735</v>
      </c>
      <c r="M520" s="32">
        <f t="shared" si="363"/>
        <v>1967.9560488351735</v>
      </c>
      <c r="N520" s="32">
        <f t="shared" si="363"/>
        <v>1967.9560488351735</v>
      </c>
      <c r="O520" s="32">
        <f t="shared" si="363"/>
        <v>1967.9560488351735</v>
      </c>
      <c r="P520" s="32">
        <f t="shared" si="363"/>
        <v>1967.9560488351735</v>
      </c>
      <c r="Q520" s="32">
        <f t="shared" si="363"/>
        <v>1967.9560488351735</v>
      </c>
      <c r="R520" s="32">
        <f t="shared" si="363"/>
        <v>1967.9560488351735</v>
      </c>
      <c r="S520" s="32">
        <f t="shared" si="363"/>
        <v>1967.9560488351735</v>
      </c>
      <c r="T520" s="32">
        <f t="shared" si="363"/>
        <v>1967.9560488351735</v>
      </c>
      <c r="U520" s="32">
        <f t="shared" si="363"/>
        <v>1967.9560488351735</v>
      </c>
      <c r="V520" s="32">
        <f t="shared" si="363"/>
        <v>1967.9560488351735</v>
      </c>
      <c r="W520" s="572"/>
      <c r="X520" s="572"/>
      <c r="Y520" s="572"/>
      <c r="Z520" s="572"/>
      <c r="AA520" s="572"/>
      <c r="AB520" s="572"/>
      <c r="AC520" s="572"/>
      <c r="AD520" s="572"/>
      <c r="AE520" s="572"/>
    </row>
    <row r="521" spans="2:31" x14ac:dyDescent="0.2">
      <c r="C521" s="5" t="str">
        <f t="shared" si="360"/>
        <v>Inside Sales</v>
      </c>
      <c r="D521" s="5"/>
      <c r="F521" s="1" t="s">
        <v>51</v>
      </c>
      <c r="I521" s="32">
        <f t="shared" ref="I521" si="376">I$477*I470</f>
        <v>3123.8411604245921</v>
      </c>
      <c r="J521" s="32">
        <f t="shared" ref="J521" si="377">J$477*J470</f>
        <v>3123.8411604245921</v>
      </c>
      <c r="K521" s="32">
        <f t="shared" si="363"/>
        <v>3123.8411604245921</v>
      </c>
      <c r="L521" s="32">
        <f t="shared" si="363"/>
        <v>3123.8411604245921</v>
      </c>
      <c r="M521" s="32">
        <f t="shared" si="363"/>
        <v>3123.8411604245921</v>
      </c>
      <c r="N521" s="32">
        <f t="shared" si="363"/>
        <v>3123.8411604245921</v>
      </c>
      <c r="O521" s="32">
        <f t="shared" si="363"/>
        <v>3123.8411604245921</v>
      </c>
      <c r="P521" s="32">
        <f t="shared" si="363"/>
        <v>3123.8411604245921</v>
      </c>
      <c r="Q521" s="32">
        <f t="shared" si="363"/>
        <v>3123.8411604245921</v>
      </c>
      <c r="R521" s="32">
        <f t="shared" si="363"/>
        <v>3123.8411604245921</v>
      </c>
      <c r="S521" s="32">
        <f t="shared" si="363"/>
        <v>3123.8411604245921</v>
      </c>
      <c r="T521" s="32">
        <f t="shared" si="363"/>
        <v>3123.8411604245921</v>
      </c>
      <c r="U521" s="32">
        <f t="shared" si="363"/>
        <v>3123.8411604245921</v>
      </c>
      <c r="V521" s="32">
        <f t="shared" si="363"/>
        <v>3123.8411604245921</v>
      </c>
      <c r="W521" s="572"/>
      <c r="X521" s="572"/>
      <c r="Y521" s="572"/>
      <c r="Z521" s="572"/>
      <c r="AA521" s="572"/>
      <c r="AB521" s="572"/>
      <c r="AC521" s="572"/>
      <c r="AD521" s="572"/>
      <c r="AE521" s="572"/>
    </row>
    <row r="522" spans="2:31" x14ac:dyDescent="0.2">
      <c r="C522" s="5" t="str">
        <f t="shared" si="360"/>
        <v>Shipping Manager</v>
      </c>
      <c r="D522" s="5"/>
      <c r="F522" s="1" t="s">
        <v>51</v>
      </c>
      <c r="I522" s="32">
        <f t="shared" ref="I522" si="378">I$477*I471</f>
        <v>3877.6792766785607</v>
      </c>
      <c r="J522" s="32">
        <f t="shared" ref="J522" si="379">J$477*J471</f>
        <v>3877.6792766785607</v>
      </c>
      <c r="K522" s="32">
        <f t="shared" si="363"/>
        <v>3877.6792766785607</v>
      </c>
      <c r="L522" s="32">
        <f t="shared" si="363"/>
        <v>3877.6792766785607</v>
      </c>
      <c r="M522" s="32">
        <f t="shared" si="363"/>
        <v>3877.6792766785607</v>
      </c>
      <c r="N522" s="32">
        <f t="shared" si="363"/>
        <v>3877.6792766785607</v>
      </c>
      <c r="O522" s="32">
        <f t="shared" si="363"/>
        <v>3877.6792766785607</v>
      </c>
      <c r="P522" s="32">
        <f t="shared" si="363"/>
        <v>3877.6792766785607</v>
      </c>
      <c r="Q522" s="32">
        <f t="shared" si="363"/>
        <v>3877.6792766785607</v>
      </c>
      <c r="R522" s="32">
        <f t="shared" si="363"/>
        <v>3877.6792766785607</v>
      </c>
      <c r="S522" s="32">
        <f t="shared" si="363"/>
        <v>3877.6792766785607</v>
      </c>
      <c r="T522" s="32">
        <f t="shared" si="363"/>
        <v>3877.6792766785607</v>
      </c>
      <c r="U522" s="32">
        <f t="shared" si="363"/>
        <v>3877.6792766785607</v>
      </c>
      <c r="V522" s="32">
        <f t="shared" si="363"/>
        <v>3877.6792766785607</v>
      </c>
      <c r="W522" s="572"/>
      <c r="X522" s="572"/>
      <c r="Y522" s="572"/>
      <c r="Z522" s="572"/>
      <c r="AA522" s="572"/>
      <c r="AB522" s="572"/>
      <c r="AC522" s="572"/>
      <c r="AD522" s="572"/>
      <c r="AE522" s="572"/>
    </row>
    <row r="523" spans="2:31" x14ac:dyDescent="0.2">
      <c r="C523" s="5"/>
      <c r="D523" s="5"/>
      <c r="I523" s="32"/>
      <c r="J523" s="32"/>
      <c r="K523" s="32"/>
      <c r="L523" s="32"/>
      <c r="M523" s="32"/>
      <c r="N523" s="32"/>
      <c r="O523" s="32"/>
      <c r="P523" s="32"/>
      <c r="Q523" s="32"/>
      <c r="R523" s="32"/>
      <c r="S523" s="32"/>
      <c r="T523" s="32"/>
      <c r="U523" s="32"/>
      <c r="V523" s="32"/>
      <c r="W523" s="572"/>
      <c r="X523" s="572"/>
      <c r="Y523" s="572"/>
      <c r="Z523" s="572"/>
      <c r="AA523" s="572"/>
      <c r="AB523" s="572"/>
      <c r="AC523" s="572"/>
      <c r="AD523" s="572"/>
      <c r="AE523" s="572"/>
    </row>
    <row r="524" spans="2:31" x14ac:dyDescent="0.2">
      <c r="C524" s="5" t="str">
        <f>C473</f>
        <v>Contingency</v>
      </c>
      <c r="D524" s="5"/>
      <c r="F524" s="1" t="s">
        <v>51</v>
      </c>
      <c r="I524" s="32">
        <f t="shared" ref="I524" si="380">I$477*I473</f>
        <v>4660.5263157894742</v>
      </c>
      <c r="J524" s="32">
        <f t="shared" ref="J524" si="381">J$477*J473</f>
        <v>4660.5263157894742</v>
      </c>
      <c r="K524" s="32">
        <f t="shared" ref="K524:V524" si="382">K$477*K473</f>
        <v>4660.5263157894742</v>
      </c>
      <c r="L524" s="32">
        <f t="shared" si="382"/>
        <v>4660.5263157894742</v>
      </c>
      <c r="M524" s="32">
        <f t="shared" si="382"/>
        <v>4660.5263157894742</v>
      </c>
      <c r="N524" s="32">
        <f t="shared" si="382"/>
        <v>4660.5263157894742</v>
      </c>
      <c r="O524" s="32">
        <f t="shared" si="382"/>
        <v>4660.5263157894742</v>
      </c>
      <c r="P524" s="32">
        <f t="shared" si="382"/>
        <v>4660.5263157894742</v>
      </c>
      <c r="Q524" s="32">
        <f t="shared" si="382"/>
        <v>4660.5263157894742</v>
      </c>
      <c r="R524" s="32">
        <f t="shared" si="382"/>
        <v>4660.5263157894742</v>
      </c>
      <c r="S524" s="32">
        <f t="shared" si="382"/>
        <v>4660.5263157894742</v>
      </c>
      <c r="T524" s="32">
        <f t="shared" si="382"/>
        <v>4660.5263157894742</v>
      </c>
      <c r="U524" s="32">
        <f t="shared" si="382"/>
        <v>4660.5263157894742</v>
      </c>
      <c r="V524" s="32">
        <f t="shared" si="382"/>
        <v>4660.5263157894742</v>
      </c>
      <c r="W524" s="572"/>
      <c r="X524" s="572"/>
      <c r="Y524" s="572"/>
      <c r="Z524" s="572"/>
      <c r="AA524" s="572"/>
      <c r="AB524" s="572"/>
      <c r="AC524" s="572"/>
      <c r="AD524" s="572"/>
      <c r="AE524" s="572"/>
    </row>
    <row r="525" spans="2:31" x14ac:dyDescent="0.2">
      <c r="C525" s="5"/>
      <c r="D525" s="5"/>
    </row>
    <row r="526" spans="2:31" x14ac:dyDescent="0.2">
      <c r="B526" s="24">
        <f>B475+0.01</f>
        <v>3.4399999999999995</v>
      </c>
      <c r="C526" s="20" t="s">
        <v>54</v>
      </c>
      <c r="D526" s="20"/>
    </row>
    <row r="527" spans="2:31" x14ac:dyDescent="0.2">
      <c r="C527" s="5"/>
      <c r="D527" s="5"/>
    </row>
    <row r="528" spans="2:31" x14ac:dyDescent="0.2">
      <c r="C528" s="47" t="str">
        <f t="shared" ref="C528:C535" si="383">C479</f>
        <v>Melting</v>
      </c>
      <c r="D528" s="47"/>
    </row>
    <row r="529" spans="3:31" x14ac:dyDescent="0.2">
      <c r="C529" s="5" t="str">
        <f t="shared" si="383"/>
        <v>Manager of Melting/Casting Production</v>
      </c>
      <c r="D529" s="47"/>
      <c r="F529" s="1" t="s">
        <v>55</v>
      </c>
      <c r="G529" s="21">
        <f>SUM(I529:V529)</f>
        <v>0.20791572635300173</v>
      </c>
      <c r="I529" s="21">
        <f t="shared" ref="I529" si="384">(I429+I480)*I272/1000000</f>
        <v>0</v>
      </c>
      <c r="J529" s="21">
        <f t="shared" ref="J529" si="385">(J429+J480)*J272/1000000</f>
        <v>0</v>
      </c>
      <c r="K529" s="21">
        <f t="shared" ref="K529:V531" si="386">(K429+K480)*K272/1000000</f>
        <v>0</v>
      </c>
      <c r="L529" s="21">
        <f t="shared" si="386"/>
        <v>0</v>
      </c>
      <c r="M529" s="21">
        <f t="shared" si="386"/>
        <v>0</v>
      </c>
      <c r="N529" s="21">
        <f t="shared" si="386"/>
        <v>0</v>
      </c>
      <c r="O529" s="21">
        <f t="shared" si="386"/>
        <v>0</v>
      </c>
      <c r="P529" s="21">
        <f t="shared" si="386"/>
        <v>0</v>
      </c>
      <c r="Q529" s="21">
        <f t="shared" si="386"/>
        <v>0</v>
      </c>
      <c r="R529" s="21">
        <f t="shared" si="386"/>
        <v>0</v>
      </c>
      <c r="S529" s="21">
        <f t="shared" si="386"/>
        <v>5.1978931588250434E-2</v>
      </c>
      <c r="T529" s="21">
        <f t="shared" si="386"/>
        <v>5.1978931588250434E-2</v>
      </c>
      <c r="U529" s="21">
        <f t="shared" si="386"/>
        <v>5.1978931588250434E-2</v>
      </c>
      <c r="V529" s="21">
        <f t="shared" si="386"/>
        <v>5.1978931588250434E-2</v>
      </c>
      <c r="W529" s="563"/>
      <c r="X529" s="563"/>
      <c r="Y529" s="563"/>
      <c r="Z529" s="563"/>
      <c r="AA529" s="563"/>
      <c r="AB529" s="563"/>
      <c r="AC529" s="563"/>
      <c r="AD529" s="563"/>
      <c r="AE529" s="563"/>
    </row>
    <row r="530" spans="3:31" x14ac:dyDescent="0.2">
      <c r="C530" s="5" t="str">
        <f t="shared" si="383"/>
        <v>Supervisor/team Leader of Melting &amp; Casting</v>
      </c>
      <c r="D530" s="47"/>
      <c r="F530" s="1" t="s">
        <v>55</v>
      </c>
      <c r="G530" s="21">
        <f t="shared" ref="G530:G536" si="387">SUM(I530:V530)</f>
        <v>0.36524958908130001</v>
      </c>
      <c r="I530" s="21">
        <f t="shared" ref="I530" si="388">(I430+I481)*I273/1000000</f>
        <v>0</v>
      </c>
      <c r="J530" s="21">
        <f t="shared" ref="J530" si="389">(J430+J481)*J273/1000000</f>
        <v>0</v>
      </c>
      <c r="K530" s="21">
        <f t="shared" si="386"/>
        <v>0</v>
      </c>
      <c r="L530" s="21">
        <f t="shared" si="386"/>
        <v>0</v>
      </c>
      <c r="M530" s="21">
        <f t="shared" si="386"/>
        <v>0</v>
      </c>
      <c r="N530" s="21">
        <f t="shared" si="386"/>
        <v>0</v>
      </c>
      <c r="O530" s="21">
        <f t="shared" si="386"/>
        <v>0</v>
      </c>
      <c r="P530" s="21">
        <f t="shared" si="386"/>
        <v>0</v>
      </c>
      <c r="Q530" s="21">
        <f t="shared" si="386"/>
        <v>0</v>
      </c>
      <c r="R530" s="21">
        <f t="shared" si="386"/>
        <v>0</v>
      </c>
      <c r="S530" s="21">
        <f t="shared" si="386"/>
        <v>9.1312397270325002E-2</v>
      </c>
      <c r="T530" s="21">
        <f t="shared" si="386"/>
        <v>9.1312397270325002E-2</v>
      </c>
      <c r="U530" s="21">
        <f t="shared" si="386"/>
        <v>9.1312397270325002E-2</v>
      </c>
      <c r="V530" s="21">
        <f t="shared" si="386"/>
        <v>9.1312397270325002E-2</v>
      </c>
      <c r="W530" s="563"/>
      <c r="X530" s="563"/>
      <c r="Y530" s="563"/>
      <c r="Z530" s="563"/>
      <c r="AA530" s="563"/>
      <c r="AB530" s="563"/>
      <c r="AC530" s="563"/>
      <c r="AD530" s="563"/>
      <c r="AE530" s="563"/>
    </row>
    <row r="531" spans="3:31" x14ac:dyDescent="0.2">
      <c r="C531" s="5" t="str">
        <f t="shared" si="383"/>
        <v>Senior Operator - EAF</v>
      </c>
      <c r="D531" s="47"/>
      <c r="F531" s="1" t="s">
        <v>55</v>
      </c>
      <c r="G531" s="21">
        <f t="shared" si="387"/>
        <v>0.27352512169620302</v>
      </c>
      <c r="I531" s="21">
        <f t="shared" ref="I531" si="390">(I431+I482)*I274/1000000</f>
        <v>0</v>
      </c>
      <c r="J531" s="21">
        <f t="shared" ref="J531" si="391">(J431+J482)*J274/1000000</f>
        <v>0</v>
      </c>
      <c r="K531" s="21">
        <f t="shared" si="386"/>
        <v>0</v>
      </c>
      <c r="L531" s="21">
        <f t="shared" si="386"/>
        <v>0</v>
      </c>
      <c r="M531" s="21">
        <f t="shared" si="386"/>
        <v>0</v>
      </c>
      <c r="N531" s="21">
        <f t="shared" si="386"/>
        <v>0</v>
      </c>
      <c r="O531" s="21">
        <f t="shared" si="386"/>
        <v>0</v>
      </c>
      <c r="P531" s="21">
        <f t="shared" si="386"/>
        <v>0</v>
      </c>
      <c r="Q531" s="21">
        <f t="shared" si="386"/>
        <v>0</v>
      </c>
      <c r="R531" s="21">
        <f t="shared" si="386"/>
        <v>0</v>
      </c>
      <c r="S531" s="21">
        <f t="shared" si="386"/>
        <v>6.8381280424050755E-2</v>
      </c>
      <c r="T531" s="21">
        <f t="shared" si="386"/>
        <v>6.8381280424050755E-2</v>
      </c>
      <c r="U531" s="21">
        <f t="shared" si="386"/>
        <v>6.8381280424050755E-2</v>
      </c>
      <c r="V531" s="21">
        <f t="shared" si="386"/>
        <v>6.8381280424050755E-2</v>
      </c>
      <c r="W531" s="563"/>
      <c r="X531" s="563"/>
      <c r="Y531" s="563"/>
      <c r="Z531" s="563"/>
      <c r="AA531" s="563"/>
      <c r="AB531" s="563"/>
      <c r="AC531" s="563"/>
      <c r="AD531" s="563"/>
      <c r="AE531" s="563"/>
    </row>
    <row r="532" spans="3:31" x14ac:dyDescent="0.2">
      <c r="C532" s="5" t="str">
        <f t="shared" si="383"/>
        <v>Operator - Ladle Crane</v>
      </c>
      <c r="D532" s="47"/>
      <c r="F532" s="1" t="s">
        <v>55</v>
      </c>
      <c r="G532" s="21">
        <f t="shared" si="387"/>
        <v>0.24730466547867366</v>
      </c>
      <c r="I532" s="21">
        <f t="shared" ref="I532" si="392">(I432+I483)*I276/1000000</f>
        <v>0</v>
      </c>
      <c r="J532" s="21">
        <f t="shared" ref="J532" si="393">(J432+J483)*J276/1000000</f>
        <v>0</v>
      </c>
      <c r="K532" s="21">
        <f t="shared" ref="K532:V535" si="394">(K432+K483)*K276/1000000</f>
        <v>0</v>
      </c>
      <c r="L532" s="21">
        <f t="shared" si="394"/>
        <v>0</v>
      </c>
      <c r="M532" s="21">
        <f t="shared" si="394"/>
        <v>0</v>
      </c>
      <c r="N532" s="21">
        <f t="shared" si="394"/>
        <v>0</v>
      </c>
      <c r="O532" s="21">
        <f t="shared" si="394"/>
        <v>0</v>
      </c>
      <c r="P532" s="21">
        <f t="shared" si="394"/>
        <v>0</v>
      </c>
      <c r="Q532" s="21">
        <f t="shared" si="394"/>
        <v>0</v>
      </c>
      <c r="R532" s="21">
        <f t="shared" si="394"/>
        <v>0</v>
      </c>
      <c r="S532" s="21">
        <f t="shared" si="394"/>
        <v>6.1826166369668416E-2</v>
      </c>
      <c r="T532" s="21">
        <f t="shared" si="394"/>
        <v>6.1826166369668416E-2</v>
      </c>
      <c r="U532" s="21">
        <f t="shared" si="394"/>
        <v>6.1826166369668416E-2</v>
      </c>
      <c r="V532" s="21">
        <f t="shared" si="394"/>
        <v>6.1826166369668416E-2</v>
      </c>
      <c r="W532" s="563"/>
      <c r="X532" s="563"/>
      <c r="Y532" s="563"/>
      <c r="Z532" s="563"/>
      <c r="AA532" s="563"/>
      <c r="AB532" s="563"/>
      <c r="AC532" s="563"/>
      <c r="AD532" s="563"/>
      <c r="AE532" s="563"/>
    </row>
    <row r="533" spans="3:31" x14ac:dyDescent="0.2">
      <c r="C533" s="5" t="str">
        <f t="shared" si="383"/>
        <v>Operator</v>
      </c>
      <c r="D533" s="47"/>
      <c r="F533" s="1" t="s">
        <v>55</v>
      </c>
      <c r="G533" s="21">
        <f t="shared" si="387"/>
        <v>0.45131996691105203</v>
      </c>
      <c r="I533" s="21">
        <f t="shared" ref="I533" si="395">(I433+I484)*I277/1000000</f>
        <v>0</v>
      </c>
      <c r="J533" s="21">
        <f t="shared" ref="J533" si="396">(J433+J484)*J277/1000000</f>
        <v>0</v>
      </c>
      <c r="K533" s="21">
        <f t="shared" si="394"/>
        <v>0</v>
      </c>
      <c r="L533" s="21">
        <f t="shared" si="394"/>
        <v>0</v>
      </c>
      <c r="M533" s="21">
        <f t="shared" si="394"/>
        <v>0</v>
      </c>
      <c r="N533" s="21">
        <f t="shared" si="394"/>
        <v>0</v>
      </c>
      <c r="O533" s="21">
        <f t="shared" si="394"/>
        <v>0</v>
      </c>
      <c r="P533" s="21">
        <f t="shared" si="394"/>
        <v>0</v>
      </c>
      <c r="Q533" s="21">
        <f t="shared" si="394"/>
        <v>0</v>
      </c>
      <c r="R533" s="21">
        <f t="shared" si="394"/>
        <v>0</v>
      </c>
      <c r="S533" s="21">
        <f t="shared" si="394"/>
        <v>0.11282999172776301</v>
      </c>
      <c r="T533" s="21">
        <f t="shared" si="394"/>
        <v>0.11282999172776301</v>
      </c>
      <c r="U533" s="21">
        <f t="shared" si="394"/>
        <v>0.11282999172776301</v>
      </c>
      <c r="V533" s="21">
        <f t="shared" si="394"/>
        <v>0.11282999172776301</v>
      </c>
      <c r="W533" s="563"/>
      <c r="X533" s="563"/>
      <c r="Y533" s="563"/>
      <c r="Z533" s="563"/>
      <c r="AA533" s="563"/>
      <c r="AB533" s="563"/>
      <c r="AC533" s="563"/>
      <c r="AD533" s="563"/>
      <c r="AE533" s="563"/>
    </row>
    <row r="534" spans="3:31" x14ac:dyDescent="0.2">
      <c r="C534" s="5" t="str">
        <f t="shared" si="383"/>
        <v>Team Leader - Refractory</v>
      </c>
      <c r="D534" s="47"/>
      <c r="F534" s="1" t="s">
        <v>55</v>
      </c>
      <c r="G534" s="21">
        <f t="shared" si="387"/>
        <v>5.8507508442186593E-2</v>
      </c>
      <c r="I534" s="21">
        <f t="shared" ref="I534" si="397">(I434+I485)*I278/1000000</f>
        <v>0</v>
      </c>
      <c r="J534" s="21">
        <f t="shared" ref="J534" si="398">(J434+J485)*J278/1000000</f>
        <v>0</v>
      </c>
      <c r="K534" s="21">
        <f t="shared" si="394"/>
        <v>0</v>
      </c>
      <c r="L534" s="21">
        <f t="shared" si="394"/>
        <v>0</v>
      </c>
      <c r="M534" s="21">
        <f t="shared" si="394"/>
        <v>0</v>
      </c>
      <c r="N534" s="21">
        <f t="shared" si="394"/>
        <v>0</v>
      </c>
      <c r="O534" s="21">
        <f t="shared" si="394"/>
        <v>0</v>
      </c>
      <c r="P534" s="21">
        <f t="shared" si="394"/>
        <v>0</v>
      </c>
      <c r="Q534" s="21">
        <f t="shared" si="394"/>
        <v>0</v>
      </c>
      <c r="R534" s="21">
        <f t="shared" si="394"/>
        <v>0</v>
      </c>
      <c r="S534" s="21">
        <f t="shared" si="394"/>
        <v>1.4626877110546648E-2</v>
      </c>
      <c r="T534" s="21">
        <f t="shared" si="394"/>
        <v>1.4626877110546648E-2</v>
      </c>
      <c r="U534" s="21">
        <f t="shared" si="394"/>
        <v>1.4626877110546648E-2</v>
      </c>
      <c r="V534" s="21">
        <f t="shared" si="394"/>
        <v>1.4626877110546648E-2</v>
      </c>
      <c r="W534" s="563"/>
      <c r="X534" s="563"/>
      <c r="Y534" s="563"/>
      <c r="Z534" s="563"/>
      <c r="AA534" s="563"/>
      <c r="AB534" s="563"/>
      <c r="AC534" s="563"/>
      <c r="AD534" s="563"/>
      <c r="AE534" s="563"/>
    </row>
    <row r="535" spans="3:31" x14ac:dyDescent="0.2">
      <c r="C535" s="5" t="str">
        <f t="shared" si="383"/>
        <v>Operator - Refractory</v>
      </c>
      <c r="D535" s="47"/>
      <c r="F535" s="1" t="s">
        <v>55</v>
      </c>
      <c r="G535" s="21">
        <f t="shared" si="387"/>
        <v>0.4057548215379802</v>
      </c>
      <c r="I535" s="21">
        <f t="shared" ref="I535" si="399">(I435+I486)*I279/1000000</f>
        <v>0</v>
      </c>
      <c r="J535" s="21">
        <f t="shared" ref="J535" si="400">(J435+J486)*J279/1000000</f>
        <v>0</v>
      </c>
      <c r="K535" s="21">
        <f t="shared" si="394"/>
        <v>0</v>
      </c>
      <c r="L535" s="21">
        <f t="shared" si="394"/>
        <v>0</v>
      </c>
      <c r="M535" s="21">
        <f t="shared" si="394"/>
        <v>0</v>
      </c>
      <c r="N535" s="21">
        <f t="shared" si="394"/>
        <v>0</v>
      </c>
      <c r="O535" s="21">
        <f t="shared" si="394"/>
        <v>0</v>
      </c>
      <c r="P535" s="21">
        <f t="shared" si="394"/>
        <v>0</v>
      </c>
      <c r="Q535" s="21">
        <f t="shared" si="394"/>
        <v>0</v>
      </c>
      <c r="R535" s="21">
        <f t="shared" si="394"/>
        <v>0</v>
      </c>
      <c r="S535" s="21">
        <f t="shared" si="394"/>
        <v>0.10143870538449505</v>
      </c>
      <c r="T535" s="21">
        <f t="shared" si="394"/>
        <v>0.10143870538449505</v>
      </c>
      <c r="U535" s="21">
        <f t="shared" si="394"/>
        <v>0.10143870538449505</v>
      </c>
      <c r="V535" s="21">
        <f t="shared" si="394"/>
        <v>0.10143870538449505</v>
      </c>
      <c r="W535" s="563"/>
      <c r="X535" s="563"/>
      <c r="Y535" s="563"/>
      <c r="Z535" s="563"/>
      <c r="AA535" s="563"/>
      <c r="AB535" s="563"/>
      <c r="AC535" s="563"/>
      <c r="AD535" s="563"/>
      <c r="AE535" s="563"/>
    </row>
    <row r="536" spans="3:31" x14ac:dyDescent="0.2">
      <c r="C536" s="20" t="s">
        <v>45</v>
      </c>
      <c r="D536" s="5"/>
      <c r="F536" s="9" t="s">
        <v>55</v>
      </c>
      <c r="G536" s="44">
        <f t="shared" si="387"/>
        <v>2.0095773995003974</v>
      </c>
      <c r="H536" s="9"/>
      <c r="I536" s="44">
        <f t="shared" ref="I536" si="401">SUM(I529:I535)</f>
        <v>0</v>
      </c>
      <c r="J536" s="44">
        <f t="shared" ref="J536" si="402">SUM(J529:J535)</f>
        <v>0</v>
      </c>
      <c r="K536" s="44">
        <f t="shared" ref="K536:V536" si="403">SUM(K529:K535)</f>
        <v>0</v>
      </c>
      <c r="L536" s="44">
        <f t="shared" si="403"/>
        <v>0</v>
      </c>
      <c r="M536" s="44">
        <f t="shared" si="403"/>
        <v>0</v>
      </c>
      <c r="N536" s="44">
        <f t="shared" si="403"/>
        <v>0</v>
      </c>
      <c r="O536" s="44">
        <f t="shared" si="403"/>
        <v>0</v>
      </c>
      <c r="P536" s="44">
        <f t="shared" si="403"/>
        <v>0</v>
      </c>
      <c r="Q536" s="44">
        <f t="shared" si="403"/>
        <v>0</v>
      </c>
      <c r="R536" s="44">
        <f t="shared" si="403"/>
        <v>0</v>
      </c>
      <c r="S536" s="44">
        <f t="shared" si="403"/>
        <v>0.50239434987509934</v>
      </c>
      <c r="T536" s="44">
        <f t="shared" si="403"/>
        <v>0.50239434987509934</v>
      </c>
      <c r="U536" s="44">
        <f t="shared" si="403"/>
        <v>0.50239434987509934</v>
      </c>
      <c r="V536" s="44">
        <f t="shared" si="403"/>
        <v>0.50239434987509934</v>
      </c>
      <c r="W536" s="580"/>
      <c r="X536" s="580"/>
      <c r="Y536" s="580"/>
      <c r="Z536" s="580"/>
      <c r="AA536" s="580"/>
      <c r="AB536" s="580"/>
      <c r="AC536" s="580"/>
      <c r="AD536" s="580"/>
      <c r="AE536" s="580"/>
    </row>
    <row r="537" spans="3:31" x14ac:dyDescent="0.2">
      <c r="C537" s="5"/>
      <c r="D537" s="5"/>
    </row>
    <row r="538" spans="3:31" x14ac:dyDescent="0.2">
      <c r="C538" s="47" t="str">
        <f>C488</f>
        <v>Casting</v>
      </c>
      <c r="D538" s="47"/>
    </row>
    <row r="539" spans="3:31" x14ac:dyDescent="0.2">
      <c r="C539" s="5" t="str">
        <f>C489</f>
        <v xml:space="preserve">Senior Casting Operator </v>
      </c>
      <c r="D539" s="5"/>
      <c r="F539" s="1" t="s">
        <v>55</v>
      </c>
      <c r="G539" s="21">
        <f t="shared" ref="G539:G542" si="404">SUM(I539:V539)</f>
        <v>0.2749209083898661</v>
      </c>
      <c r="I539" s="21">
        <f t="shared" ref="I539" si="405">(I438+I489)*I283/1000000</f>
        <v>0</v>
      </c>
      <c r="J539" s="21">
        <f t="shared" ref="J539" si="406">(J438+J489)*J283/1000000</f>
        <v>0</v>
      </c>
      <c r="K539" s="21">
        <f t="shared" ref="K539:V541" si="407">(K438+K489)*K283/1000000</f>
        <v>0</v>
      </c>
      <c r="L539" s="21">
        <f t="shared" si="407"/>
        <v>0</v>
      </c>
      <c r="M539" s="21">
        <f t="shared" si="407"/>
        <v>0</v>
      </c>
      <c r="N539" s="21">
        <f t="shared" si="407"/>
        <v>0</v>
      </c>
      <c r="O539" s="21">
        <f t="shared" si="407"/>
        <v>0</v>
      </c>
      <c r="P539" s="21">
        <f t="shared" si="407"/>
        <v>0</v>
      </c>
      <c r="Q539" s="21">
        <f t="shared" si="407"/>
        <v>0</v>
      </c>
      <c r="R539" s="21">
        <f t="shared" si="407"/>
        <v>0</v>
      </c>
      <c r="S539" s="21">
        <f t="shared" si="407"/>
        <v>6.8730227097466526E-2</v>
      </c>
      <c r="T539" s="21">
        <f t="shared" si="407"/>
        <v>6.8730227097466526E-2</v>
      </c>
      <c r="U539" s="21">
        <f t="shared" si="407"/>
        <v>6.8730227097466526E-2</v>
      </c>
      <c r="V539" s="21">
        <f t="shared" si="407"/>
        <v>6.8730227097466526E-2</v>
      </c>
      <c r="W539" s="563"/>
      <c r="X539" s="563"/>
      <c r="Y539" s="563"/>
      <c r="Z539" s="563"/>
      <c r="AA539" s="563"/>
      <c r="AB539" s="563"/>
      <c r="AC539" s="563"/>
      <c r="AD539" s="563"/>
      <c r="AE539" s="563"/>
    </row>
    <row r="540" spans="3:31" x14ac:dyDescent="0.2">
      <c r="C540" s="5" t="str">
        <f>C490</f>
        <v>Operator</v>
      </c>
      <c r="D540" s="5"/>
      <c r="F540" s="1" t="s">
        <v>55</v>
      </c>
      <c r="G540" s="21">
        <f t="shared" si="404"/>
        <v>0.48542108234794634</v>
      </c>
      <c r="I540" s="21">
        <f t="shared" ref="I540" si="408">(I439+I490)*I284/1000000</f>
        <v>0</v>
      </c>
      <c r="J540" s="21">
        <f t="shared" ref="J540" si="409">(J439+J490)*J284/1000000</f>
        <v>0</v>
      </c>
      <c r="K540" s="21">
        <f t="shared" si="407"/>
        <v>0</v>
      </c>
      <c r="L540" s="21">
        <f t="shared" si="407"/>
        <v>0</v>
      </c>
      <c r="M540" s="21">
        <f t="shared" si="407"/>
        <v>0</v>
      </c>
      <c r="N540" s="21">
        <f t="shared" si="407"/>
        <v>0</v>
      </c>
      <c r="O540" s="21">
        <f t="shared" si="407"/>
        <v>0</v>
      </c>
      <c r="P540" s="21">
        <f t="shared" si="407"/>
        <v>0</v>
      </c>
      <c r="Q540" s="21">
        <f t="shared" si="407"/>
        <v>0</v>
      </c>
      <c r="R540" s="21">
        <f t="shared" si="407"/>
        <v>0</v>
      </c>
      <c r="S540" s="21">
        <f t="shared" si="407"/>
        <v>0.12135527058698659</v>
      </c>
      <c r="T540" s="21">
        <f t="shared" si="407"/>
        <v>0.12135527058698659</v>
      </c>
      <c r="U540" s="21">
        <f t="shared" si="407"/>
        <v>0.12135527058698659</v>
      </c>
      <c r="V540" s="21">
        <f t="shared" si="407"/>
        <v>0.12135527058698659</v>
      </c>
      <c r="W540" s="563"/>
      <c r="X540" s="563"/>
      <c r="Y540" s="563"/>
      <c r="Z540" s="563"/>
      <c r="AA540" s="563"/>
      <c r="AB540" s="563"/>
      <c r="AC540" s="563"/>
      <c r="AD540" s="563"/>
      <c r="AE540" s="563"/>
    </row>
    <row r="541" spans="3:31" x14ac:dyDescent="0.2">
      <c r="C541" s="5" t="str">
        <f>C491</f>
        <v>Operator - Casting bay</v>
      </c>
      <c r="D541" s="5"/>
      <c r="F541" s="1" t="s">
        <v>55</v>
      </c>
      <c r="G541" s="21">
        <f t="shared" si="404"/>
        <v>0.19562152951218414</v>
      </c>
      <c r="I541" s="21">
        <f t="shared" ref="I541" si="410">(I440+I491)*I285/1000000</f>
        <v>0</v>
      </c>
      <c r="J541" s="21">
        <f t="shared" ref="J541" si="411">(J440+J491)*J285/1000000</f>
        <v>0</v>
      </c>
      <c r="K541" s="21">
        <f t="shared" si="407"/>
        <v>0</v>
      </c>
      <c r="L541" s="21">
        <f t="shared" si="407"/>
        <v>0</v>
      </c>
      <c r="M541" s="21">
        <f t="shared" si="407"/>
        <v>0</v>
      </c>
      <c r="N541" s="21">
        <f t="shared" si="407"/>
        <v>0</v>
      </c>
      <c r="O541" s="21">
        <f t="shared" si="407"/>
        <v>0</v>
      </c>
      <c r="P541" s="21">
        <f t="shared" si="407"/>
        <v>0</v>
      </c>
      <c r="Q541" s="21">
        <f t="shared" si="407"/>
        <v>0</v>
      </c>
      <c r="R541" s="21">
        <f t="shared" si="407"/>
        <v>0</v>
      </c>
      <c r="S541" s="21">
        <f t="shared" si="407"/>
        <v>4.8905382378046036E-2</v>
      </c>
      <c r="T541" s="21">
        <f t="shared" si="407"/>
        <v>4.8905382378046036E-2</v>
      </c>
      <c r="U541" s="21">
        <f t="shared" si="407"/>
        <v>4.8905382378046036E-2</v>
      </c>
      <c r="V541" s="21">
        <f t="shared" si="407"/>
        <v>4.8905382378046036E-2</v>
      </c>
      <c r="W541" s="563"/>
      <c r="X541" s="563"/>
      <c r="Y541" s="563"/>
      <c r="Z541" s="563"/>
      <c r="AA541" s="563"/>
      <c r="AB541" s="563"/>
      <c r="AC541" s="563"/>
      <c r="AD541" s="563"/>
      <c r="AE541" s="563"/>
    </row>
    <row r="542" spans="3:31" x14ac:dyDescent="0.2">
      <c r="C542" s="20" t="s">
        <v>45</v>
      </c>
      <c r="D542" s="20"/>
      <c r="F542" s="9" t="s">
        <v>55</v>
      </c>
      <c r="G542" s="44">
        <f t="shared" si="404"/>
        <v>0.95596352024999653</v>
      </c>
      <c r="I542" s="48">
        <f>SUM(I539:I541)</f>
        <v>0</v>
      </c>
      <c r="J542" s="48">
        <f>SUM(J539:J541)</f>
        <v>0</v>
      </c>
      <c r="K542" s="48">
        <f>SUM(K539:K541)</f>
        <v>0</v>
      </c>
      <c r="L542" s="48">
        <f t="shared" ref="L542:V542" si="412">SUM(L539:L541)</f>
        <v>0</v>
      </c>
      <c r="M542" s="48">
        <f t="shared" si="412"/>
        <v>0</v>
      </c>
      <c r="N542" s="48">
        <f t="shared" si="412"/>
        <v>0</v>
      </c>
      <c r="O542" s="48">
        <f t="shared" si="412"/>
        <v>0</v>
      </c>
      <c r="P542" s="48">
        <f t="shared" si="412"/>
        <v>0</v>
      </c>
      <c r="Q542" s="48">
        <f t="shared" si="412"/>
        <v>0</v>
      </c>
      <c r="R542" s="48">
        <f t="shared" si="412"/>
        <v>0</v>
      </c>
      <c r="S542" s="48">
        <f t="shared" si="412"/>
        <v>0.23899088006249913</v>
      </c>
      <c r="T542" s="48">
        <f t="shared" si="412"/>
        <v>0.23899088006249913</v>
      </c>
      <c r="U542" s="48">
        <f t="shared" si="412"/>
        <v>0.23899088006249913</v>
      </c>
      <c r="V542" s="48">
        <f t="shared" si="412"/>
        <v>0.23899088006249913</v>
      </c>
      <c r="W542" s="583"/>
      <c r="X542" s="583"/>
      <c r="Y542" s="583"/>
      <c r="Z542" s="583"/>
      <c r="AA542" s="583"/>
      <c r="AB542" s="583"/>
      <c r="AC542" s="583"/>
      <c r="AD542" s="583"/>
      <c r="AE542" s="583"/>
    </row>
    <row r="543" spans="3:31" x14ac:dyDescent="0.2">
      <c r="C543" s="5"/>
      <c r="D543" s="5"/>
    </row>
    <row r="544" spans="3:31" x14ac:dyDescent="0.2">
      <c r="C544" s="47" t="str">
        <f>C493</f>
        <v>HYL</v>
      </c>
      <c r="D544" s="47"/>
    </row>
    <row r="545" spans="3:31" x14ac:dyDescent="0.2">
      <c r="C545" s="5" t="str">
        <f>C494</f>
        <v>Manager of HYL Production</v>
      </c>
      <c r="D545" s="5"/>
      <c r="F545" s="1" t="s">
        <v>55</v>
      </c>
      <c r="G545" s="21">
        <f t="shared" ref="G545:G549" si="413">SUM(I545:V545)</f>
        <v>0.18431731575722532</v>
      </c>
      <c r="I545" s="21">
        <f t="shared" ref="I545" si="414">(I443+I494)*I289/1000000</f>
        <v>0</v>
      </c>
      <c r="J545" s="21">
        <f t="shared" ref="J545" si="415">(J443+J494)*J289/1000000</f>
        <v>0</v>
      </c>
      <c r="K545" s="21">
        <f t="shared" ref="K545:V548" si="416">(K443+K494)*K289/1000000</f>
        <v>0</v>
      </c>
      <c r="L545" s="21">
        <f t="shared" si="416"/>
        <v>0</v>
      </c>
      <c r="M545" s="21">
        <f t="shared" si="416"/>
        <v>0</v>
      </c>
      <c r="N545" s="21">
        <f t="shared" si="416"/>
        <v>0</v>
      </c>
      <c r="O545" s="21">
        <f t="shared" si="416"/>
        <v>0</v>
      </c>
      <c r="P545" s="21">
        <f t="shared" si="416"/>
        <v>0</v>
      </c>
      <c r="Q545" s="21">
        <f t="shared" si="416"/>
        <v>0</v>
      </c>
      <c r="R545" s="21">
        <f t="shared" si="416"/>
        <v>0</v>
      </c>
      <c r="S545" s="21">
        <f t="shared" si="416"/>
        <v>4.607932893930633E-2</v>
      </c>
      <c r="T545" s="21">
        <f t="shared" si="416"/>
        <v>4.607932893930633E-2</v>
      </c>
      <c r="U545" s="21">
        <f t="shared" si="416"/>
        <v>4.607932893930633E-2</v>
      </c>
      <c r="V545" s="21">
        <f t="shared" si="416"/>
        <v>4.607932893930633E-2</v>
      </c>
      <c r="W545" s="563"/>
      <c r="X545" s="563"/>
      <c r="Y545" s="563"/>
      <c r="Z545" s="563"/>
      <c r="AA545" s="563"/>
      <c r="AB545" s="563"/>
      <c r="AC545" s="563"/>
      <c r="AD545" s="563"/>
      <c r="AE545" s="563"/>
    </row>
    <row r="546" spans="3:31" x14ac:dyDescent="0.2">
      <c r="C546" s="5" t="str">
        <f>C495</f>
        <v>Supervisor/Team Leader of HYL</v>
      </c>
      <c r="D546" s="5"/>
      <c r="F546" s="1" t="s">
        <v>55</v>
      </c>
      <c r="G546" s="21">
        <f t="shared" si="413"/>
        <v>0.32596603413126174</v>
      </c>
      <c r="I546" s="21">
        <f t="shared" ref="I546" si="417">(I444+I495)*I290/1000000</f>
        <v>0</v>
      </c>
      <c r="J546" s="21">
        <f t="shared" ref="J546" si="418">(J444+J495)*J290/1000000</f>
        <v>0</v>
      </c>
      <c r="K546" s="21">
        <f t="shared" si="416"/>
        <v>0</v>
      </c>
      <c r="L546" s="21">
        <f t="shared" si="416"/>
        <v>0</v>
      </c>
      <c r="M546" s="21">
        <f t="shared" si="416"/>
        <v>0</v>
      </c>
      <c r="N546" s="21">
        <f t="shared" si="416"/>
        <v>0</v>
      </c>
      <c r="O546" s="21">
        <f t="shared" si="416"/>
        <v>0</v>
      </c>
      <c r="P546" s="21">
        <f t="shared" si="416"/>
        <v>0</v>
      </c>
      <c r="Q546" s="21">
        <f t="shared" si="416"/>
        <v>0</v>
      </c>
      <c r="R546" s="21">
        <f t="shared" si="416"/>
        <v>0</v>
      </c>
      <c r="S546" s="21">
        <f t="shared" si="416"/>
        <v>8.1491508532815435E-2</v>
      </c>
      <c r="T546" s="21">
        <f t="shared" si="416"/>
        <v>8.1491508532815435E-2</v>
      </c>
      <c r="U546" s="21">
        <f t="shared" si="416"/>
        <v>8.1491508532815435E-2</v>
      </c>
      <c r="V546" s="21">
        <f t="shared" si="416"/>
        <v>8.1491508532815435E-2</v>
      </c>
      <c r="W546" s="563"/>
      <c r="X546" s="563"/>
      <c r="Y546" s="563"/>
      <c r="Z546" s="563"/>
      <c r="AA546" s="563"/>
      <c r="AB546" s="563"/>
      <c r="AC546" s="563"/>
      <c r="AD546" s="563"/>
      <c r="AE546" s="563"/>
    </row>
    <row r="547" spans="3:31" x14ac:dyDescent="0.2">
      <c r="C547" s="5" t="str">
        <f>C496</f>
        <v>Senior Operator - Mechanical</v>
      </c>
      <c r="D547" s="5"/>
      <c r="F547" s="1" t="s">
        <v>55</v>
      </c>
      <c r="G547" s="21">
        <f t="shared" si="413"/>
        <v>0.27352512169620302</v>
      </c>
      <c r="I547" s="21">
        <f t="shared" ref="I547" si="419">(I445+I496)*I291/1000000</f>
        <v>0</v>
      </c>
      <c r="J547" s="21">
        <f t="shared" ref="J547" si="420">(J445+J496)*J291/1000000</f>
        <v>0</v>
      </c>
      <c r="K547" s="21">
        <f t="shared" si="416"/>
        <v>0</v>
      </c>
      <c r="L547" s="21">
        <f t="shared" si="416"/>
        <v>0</v>
      </c>
      <c r="M547" s="21">
        <f t="shared" si="416"/>
        <v>0</v>
      </c>
      <c r="N547" s="21">
        <f t="shared" si="416"/>
        <v>0</v>
      </c>
      <c r="O547" s="21">
        <f t="shared" si="416"/>
        <v>0</v>
      </c>
      <c r="P547" s="21">
        <f t="shared" si="416"/>
        <v>0</v>
      </c>
      <c r="Q547" s="21">
        <f t="shared" si="416"/>
        <v>0</v>
      </c>
      <c r="R547" s="21">
        <f t="shared" si="416"/>
        <v>0</v>
      </c>
      <c r="S547" s="21">
        <f t="shared" si="416"/>
        <v>6.8381280424050755E-2</v>
      </c>
      <c r="T547" s="21">
        <f t="shared" si="416"/>
        <v>6.8381280424050755E-2</v>
      </c>
      <c r="U547" s="21">
        <f t="shared" si="416"/>
        <v>6.8381280424050755E-2</v>
      </c>
      <c r="V547" s="21">
        <f t="shared" si="416"/>
        <v>6.8381280424050755E-2</v>
      </c>
      <c r="W547" s="563"/>
      <c r="X547" s="563"/>
      <c r="Y547" s="563"/>
      <c r="Z547" s="563"/>
      <c r="AA547" s="563"/>
      <c r="AB547" s="563"/>
      <c r="AC547" s="563"/>
      <c r="AD547" s="563"/>
      <c r="AE547" s="563"/>
    </row>
    <row r="548" spans="3:31" x14ac:dyDescent="0.2">
      <c r="C548" s="5" t="str">
        <f>C497</f>
        <v>Operator</v>
      </c>
      <c r="D548" s="5"/>
      <c r="F548" s="1" t="s">
        <v>55</v>
      </c>
      <c r="G548" s="21">
        <f t="shared" si="413"/>
        <v>0.39124305902436829</v>
      </c>
      <c r="I548" s="21">
        <f t="shared" ref="I548" si="421">(I446+I497)*I292/1000000</f>
        <v>0</v>
      </c>
      <c r="J548" s="21">
        <f t="shared" ref="J548" si="422">(J446+J497)*J292/1000000</f>
        <v>0</v>
      </c>
      <c r="K548" s="21">
        <f t="shared" si="416"/>
        <v>0</v>
      </c>
      <c r="L548" s="21">
        <f t="shared" si="416"/>
        <v>0</v>
      </c>
      <c r="M548" s="21">
        <f t="shared" si="416"/>
        <v>0</v>
      </c>
      <c r="N548" s="21">
        <f t="shared" si="416"/>
        <v>0</v>
      </c>
      <c r="O548" s="21">
        <f t="shared" si="416"/>
        <v>0</v>
      </c>
      <c r="P548" s="21">
        <f t="shared" si="416"/>
        <v>0</v>
      </c>
      <c r="Q548" s="21">
        <f t="shared" si="416"/>
        <v>0</v>
      </c>
      <c r="R548" s="21">
        <f t="shared" si="416"/>
        <v>0</v>
      </c>
      <c r="S548" s="21">
        <f t="shared" si="416"/>
        <v>9.7810764756092072E-2</v>
      </c>
      <c r="T548" s="21">
        <f t="shared" si="416"/>
        <v>9.7810764756092072E-2</v>
      </c>
      <c r="U548" s="21">
        <f t="shared" si="416"/>
        <v>9.7810764756092072E-2</v>
      </c>
      <c r="V548" s="21">
        <f t="shared" si="416"/>
        <v>9.7810764756092072E-2</v>
      </c>
      <c r="W548" s="563"/>
      <c r="X548" s="563"/>
      <c r="Y548" s="563"/>
      <c r="Z548" s="563"/>
      <c r="AA548" s="563"/>
      <c r="AB548" s="563"/>
      <c r="AC548" s="563"/>
      <c r="AD548" s="563"/>
      <c r="AE548" s="563"/>
    </row>
    <row r="549" spans="3:31" x14ac:dyDescent="0.2">
      <c r="C549" s="20" t="s">
        <v>45</v>
      </c>
      <c r="D549" s="20"/>
      <c r="F549" s="9" t="s">
        <v>55</v>
      </c>
      <c r="G549" s="44">
        <f t="shared" si="413"/>
        <v>1.1750515306090583</v>
      </c>
      <c r="I549" s="44">
        <f>SUM(I545:I548)</f>
        <v>0</v>
      </c>
      <c r="J549" s="44">
        <f>SUM(J545:J548)</f>
        <v>0</v>
      </c>
      <c r="K549" s="44">
        <f>SUM(K545:K548)</f>
        <v>0</v>
      </c>
      <c r="L549" s="44">
        <f t="shared" ref="L549:V549" si="423">SUM(L545:L548)</f>
        <v>0</v>
      </c>
      <c r="M549" s="44">
        <f t="shared" si="423"/>
        <v>0</v>
      </c>
      <c r="N549" s="44">
        <f t="shared" si="423"/>
        <v>0</v>
      </c>
      <c r="O549" s="44">
        <f t="shared" si="423"/>
        <v>0</v>
      </c>
      <c r="P549" s="44">
        <f t="shared" si="423"/>
        <v>0</v>
      </c>
      <c r="Q549" s="44">
        <f t="shared" si="423"/>
        <v>0</v>
      </c>
      <c r="R549" s="44">
        <f t="shared" si="423"/>
        <v>0</v>
      </c>
      <c r="S549" s="44">
        <f t="shared" si="423"/>
        <v>0.29376288265226458</v>
      </c>
      <c r="T549" s="44">
        <f t="shared" si="423"/>
        <v>0.29376288265226458</v>
      </c>
      <c r="U549" s="44">
        <f t="shared" si="423"/>
        <v>0.29376288265226458</v>
      </c>
      <c r="V549" s="44">
        <f t="shared" si="423"/>
        <v>0.29376288265226458</v>
      </c>
      <c r="W549" s="580"/>
      <c r="X549" s="580"/>
      <c r="Y549" s="580"/>
      <c r="Z549" s="580"/>
      <c r="AA549" s="580"/>
      <c r="AB549" s="580"/>
      <c r="AC549" s="580"/>
      <c r="AD549" s="580"/>
      <c r="AE549" s="580"/>
    </row>
    <row r="550" spans="3:31" x14ac:dyDescent="0.2">
      <c r="C550" s="5"/>
      <c r="D550" s="5"/>
    </row>
    <row r="551" spans="3:31" x14ac:dyDescent="0.2">
      <c r="C551" s="47" t="str">
        <f>C295</f>
        <v>Cold Processing</v>
      </c>
      <c r="D551" s="5"/>
    </row>
    <row r="552" spans="3:31" x14ac:dyDescent="0.2">
      <c r="C552" s="5" t="str">
        <f>C296</f>
        <v>Manager of Cold Processing Production</v>
      </c>
      <c r="D552" s="5"/>
      <c r="F552" s="1" t="s">
        <v>55</v>
      </c>
      <c r="G552" s="21">
        <f t="shared" ref="G552:G565" si="424">SUM(I552:V552)</f>
        <v>0.18431731575722532</v>
      </c>
      <c r="I552" s="21">
        <f t="shared" ref="I552" si="425">(I449+I500)*I296/1000000</f>
        <v>0</v>
      </c>
      <c r="J552" s="21">
        <f t="shared" ref="J552" si="426">(J449+J500)*J296/1000000</f>
        <v>0</v>
      </c>
      <c r="K552" s="21">
        <f t="shared" ref="K552:V554" si="427">(K449+K500)*K296/1000000</f>
        <v>0</v>
      </c>
      <c r="L552" s="21">
        <f t="shared" si="427"/>
        <v>0</v>
      </c>
      <c r="M552" s="21">
        <f t="shared" si="427"/>
        <v>0</v>
      </c>
      <c r="N552" s="21">
        <f t="shared" si="427"/>
        <v>0</v>
      </c>
      <c r="O552" s="21">
        <f t="shared" si="427"/>
        <v>0</v>
      </c>
      <c r="P552" s="21">
        <f t="shared" si="427"/>
        <v>0</v>
      </c>
      <c r="Q552" s="21">
        <f t="shared" si="427"/>
        <v>0</v>
      </c>
      <c r="R552" s="21">
        <f t="shared" si="427"/>
        <v>0</v>
      </c>
      <c r="S552" s="21">
        <f t="shared" si="427"/>
        <v>4.607932893930633E-2</v>
      </c>
      <c r="T552" s="21">
        <f t="shared" si="427"/>
        <v>4.607932893930633E-2</v>
      </c>
      <c r="U552" s="21">
        <f t="shared" si="427"/>
        <v>4.607932893930633E-2</v>
      </c>
      <c r="V552" s="21">
        <f t="shared" si="427"/>
        <v>4.607932893930633E-2</v>
      </c>
      <c r="W552" s="563"/>
      <c r="X552" s="563"/>
      <c r="Y552" s="563"/>
      <c r="Z552" s="563"/>
      <c r="AA552" s="563"/>
      <c r="AB552" s="563"/>
      <c r="AC552" s="563"/>
      <c r="AD552" s="563"/>
      <c r="AE552" s="563"/>
    </row>
    <row r="553" spans="3:31" x14ac:dyDescent="0.2">
      <c r="C553" s="5" t="str">
        <f>C297</f>
        <v xml:space="preserve">Senior Operator </v>
      </c>
      <c r="D553" s="5"/>
      <c r="F553" s="1" t="s">
        <v>55</v>
      </c>
      <c r="G553" s="21">
        <f t="shared" si="424"/>
        <v>0.24730466547867366</v>
      </c>
      <c r="I553" s="21">
        <f t="shared" ref="I553" si="428">(I450+I501)*I297/1000000</f>
        <v>0</v>
      </c>
      <c r="J553" s="21">
        <f t="shared" ref="J553" si="429">(J450+J501)*J297/1000000</f>
        <v>0</v>
      </c>
      <c r="K553" s="21">
        <f t="shared" si="427"/>
        <v>0</v>
      </c>
      <c r="L553" s="21">
        <f t="shared" si="427"/>
        <v>0</v>
      </c>
      <c r="M553" s="21">
        <f t="shared" si="427"/>
        <v>0</v>
      </c>
      <c r="N553" s="21">
        <f t="shared" si="427"/>
        <v>0</v>
      </c>
      <c r="O553" s="21">
        <f t="shared" si="427"/>
        <v>0</v>
      </c>
      <c r="P553" s="21">
        <f t="shared" si="427"/>
        <v>0</v>
      </c>
      <c r="Q553" s="21">
        <f t="shared" si="427"/>
        <v>0</v>
      </c>
      <c r="R553" s="21">
        <f t="shared" si="427"/>
        <v>0</v>
      </c>
      <c r="S553" s="21">
        <f t="shared" si="427"/>
        <v>6.1826166369668416E-2</v>
      </c>
      <c r="T553" s="21">
        <f t="shared" si="427"/>
        <v>6.1826166369668416E-2</v>
      </c>
      <c r="U553" s="21">
        <f t="shared" si="427"/>
        <v>6.1826166369668416E-2</v>
      </c>
      <c r="V553" s="21">
        <f t="shared" si="427"/>
        <v>6.1826166369668416E-2</v>
      </c>
      <c r="W553" s="563"/>
      <c r="X553" s="563"/>
      <c r="Y553" s="563"/>
      <c r="Z553" s="563"/>
      <c r="AA553" s="563"/>
      <c r="AB553" s="563"/>
      <c r="AC553" s="563"/>
      <c r="AD553" s="563"/>
      <c r="AE553" s="563"/>
    </row>
    <row r="554" spans="3:31" x14ac:dyDescent="0.2">
      <c r="C554" s="5" t="str">
        <f>C298</f>
        <v>Operator</v>
      </c>
      <c r="D554" s="5"/>
      <c r="F554" s="1" t="s">
        <v>55</v>
      </c>
      <c r="G554" s="21">
        <f t="shared" si="424"/>
        <v>0</v>
      </c>
      <c r="I554" s="21">
        <f t="shared" ref="I554" si="430">(I451+I502)*I298/1000000</f>
        <v>0</v>
      </c>
      <c r="J554" s="21">
        <f t="shared" ref="J554" si="431">(J451+J502)*J298/1000000</f>
        <v>0</v>
      </c>
      <c r="K554" s="21">
        <f t="shared" si="427"/>
        <v>0</v>
      </c>
      <c r="L554" s="21">
        <f t="shared" si="427"/>
        <v>0</v>
      </c>
      <c r="M554" s="21">
        <f t="shared" si="427"/>
        <v>0</v>
      </c>
      <c r="N554" s="21">
        <f t="shared" si="427"/>
        <v>0</v>
      </c>
      <c r="O554" s="21">
        <f t="shared" si="427"/>
        <v>0</v>
      </c>
      <c r="P554" s="21">
        <f t="shared" si="427"/>
        <v>0</v>
      </c>
      <c r="Q554" s="21">
        <f t="shared" si="427"/>
        <v>0</v>
      </c>
      <c r="R554" s="21">
        <f t="shared" si="427"/>
        <v>0</v>
      </c>
      <c r="S554" s="21">
        <f t="shared" si="427"/>
        <v>0</v>
      </c>
      <c r="T554" s="21">
        <f t="shared" si="427"/>
        <v>0</v>
      </c>
      <c r="U554" s="21">
        <f t="shared" si="427"/>
        <v>0</v>
      </c>
      <c r="V554" s="21">
        <f t="shared" si="427"/>
        <v>0</v>
      </c>
      <c r="W554" s="563"/>
      <c r="X554" s="563"/>
      <c r="Y554" s="563"/>
      <c r="Z554" s="563"/>
      <c r="AA554" s="563"/>
      <c r="AB554" s="563"/>
      <c r="AC554" s="563"/>
      <c r="AD554" s="563"/>
      <c r="AE554" s="563"/>
    </row>
    <row r="555" spans="3:31" x14ac:dyDescent="0.2">
      <c r="C555" s="20" t="s">
        <v>45</v>
      </c>
      <c r="D555" s="5"/>
      <c r="F555" s="9" t="s">
        <v>55</v>
      </c>
      <c r="G555" s="44">
        <f t="shared" si="424"/>
        <v>0.43162198123589901</v>
      </c>
      <c r="I555" s="44">
        <f>SUM(I552:I554)</f>
        <v>0</v>
      </c>
      <c r="J555" s="44">
        <f>SUM(J552:J554)</f>
        <v>0</v>
      </c>
      <c r="K555" s="44">
        <f>SUM(K552:K554)</f>
        <v>0</v>
      </c>
      <c r="L555" s="44">
        <f>SUM(L552:L554)</f>
        <v>0</v>
      </c>
      <c r="M555" s="44">
        <f t="shared" ref="M555:V555" si="432">SUM(M552:M554)</f>
        <v>0</v>
      </c>
      <c r="N555" s="44">
        <f t="shared" si="432"/>
        <v>0</v>
      </c>
      <c r="O555" s="44">
        <f t="shared" si="432"/>
        <v>0</v>
      </c>
      <c r="P555" s="44">
        <f t="shared" si="432"/>
        <v>0</v>
      </c>
      <c r="Q555" s="44">
        <f t="shared" si="432"/>
        <v>0</v>
      </c>
      <c r="R555" s="44">
        <f t="shared" si="432"/>
        <v>0</v>
      </c>
      <c r="S555" s="44">
        <f t="shared" si="432"/>
        <v>0.10790549530897475</v>
      </c>
      <c r="T555" s="44">
        <f t="shared" si="432"/>
        <v>0.10790549530897475</v>
      </c>
      <c r="U555" s="44">
        <f t="shared" si="432"/>
        <v>0.10790549530897475</v>
      </c>
      <c r="V555" s="44">
        <f t="shared" si="432"/>
        <v>0.10790549530897475</v>
      </c>
      <c r="W555" s="580"/>
      <c r="X555" s="580"/>
      <c r="Y555" s="580"/>
      <c r="Z555" s="580"/>
      <c r="AA555" s="580"/>
      <c r="AB555" s="580"/>
      <c r="AC555" s="580"/>
      <c r="AD555" s="580"/>
      <c r="AE555" s="580"/>
    </row>
    <row r="556" spans="3:31" x14ac:dyDescent="0.2">
      <c r="C556" s="5"/>
      <c r="D556" s="5"/>
    </row>
    <row r="557" spans="3:31" x14ac:dyDescent="0.2">
      <c r="C557" s="47" t="str">
        <f t="shared" ref="C557:C564" si="433">C504</f>
        <v>Shared Personnel</v>
      </c>
      <c r="D557" s="47"/>
      <c r="F557" s="1" t="s">
        <v>55</v>
      </c>
      <c r="G557" s="21">
        <f t="shared" si="424"/>
        <v>0</v>
      </c>
    </row>
    <row r="558" spans="3:31" x14ac:dyDescent="0.2">
      <c r="C558" s="5" t="str">
        <f t="shared" si="433"/>
        <v>Maintenance Manager</v>
      </c>
      <c r="D558" s="47"/>
      <c r="F558" s="1" t="s">
        <v>55</v>
      </c>
      <c r="G558" s="21">
        <f t="shared" si="424"/>
        <v>0.15000431148401899</v>
      </c>
      <c r="I558" s="21">
        <f t="shared" ref="I558" si="434">SUM(I454+I505)*I302/1000000</f>
        <v>0</v>
      </c>
      <c r="J558" s="21">
        <f t="shared" ref="J558" si="435">SUM(J454+J505)*J302/1000000</f>
        <v>0</v>
      </c>
      <c r="K558" s="21">
        <f t="shared" ref="K558:V558" si="436">SUM(K454+K505)*K302/1000000</f>
        <v>0</v>
      </c>
      <c r="L558" s="21">
        <f t="shared" si="436"/>
        <v>0</v>
      </c>
      <c r="M558" s="21">
        <f t="shared" si="436"/>
        <v>0</v>
      </c>
      <c r="N558" s="21">
        <f t="shared" si="436"/>
        <v>0</v>
      </c>
      <c r="O558" s="21">
        <f t="shared" si="436"/>
        <v>0</v>
      </c>
      <c r="P558" s="21">
        <f t="shared" si="436"/>
        <v>0</v>
      </c>
      <c r="Q558" s="21">
        <f t="shared" si="436"/>
        <v>0</v>
      </c>
      <c r="R558" s="21">
        <f t="shared" si="436"/>
        <v>0</v>
      </c>
      <c r="S558" s="21">
        <f t="shared" si="436"/>
        <v>3.7501077871004748E-2</v>
      </c>
      <c r="T558" s="21">
        <f t="shared" si="436"/>
        <v>3.7501077871004748E-2</v>
      </c>
      <c r="U558" s="21">
        <f t="shared" si="436"/>
        <v>3.7501077871004748E-2</v>
      </c>
      <c r="V558" s="21">
        <f t="shared" si="436"/>
        <v>3.7501077871004748E-2</v>
      </c>
      <c r="W558" s="563"/>
      <c r="X558" s="563"/>
      <c r="Y558" s="563"/>
      <c r="Z558" s="563"/>
      <c r="AA558" s="563"/>
      <c r="AB558" s="563"/>
      <c r="AC558" s="563"/>
      <c r="AD558" s="563"/>
      <c r="AE558" s="563"/>
    </row>
    <row r="559" spans="3:31" x14ac:dyDescent="0.2">
      <c r="C559" s="5" t="str">
        <f t="shared" si="433"/>
        <v>Mechanical Engineer</v>
      </c>
      <c r="D559" s="47"/>
      <c r="F559" s="1" t="s">
        <v>55</v>
      </c>
      <c r="G559" s="21">
        <f t="shared" si="424"/>
        <v>0.11047399578552831</v>
      </c>
      <c r="I559" s="21">
        <f t="shared" ref="I559" si="437">SUM(I455+I506)*I303/1000000</f>
        <v>0</v>
      </c>
      <c r="J559" s="21">
        <f t="shared" ref="J559" si="438">SUM(J455+J506)*J303/1000000</f>
        <v>0</v>
      </c>
      <c r="K559" s="21">
        <f t="shared" ref="K559:V559" si="439">SUM(K455+K506)*K303/1000000</f>
        <v>0</v>
      </c>
      <c r="L559" s="21">
        <f t="shared" si="439"/>
        <v>0</v>
      </c>
      <c r="M559" s="21">
        <f t="shared" si="439"/>
        <v>0</v>
      </c>
      <c r="N559" s="21">
        <f t="shared" si="439"/>
        <v>0</v>
      </c>
      <c r="O559" s="21">
        <f t="shared" si="439"/>
        <v>0</v>
      </c>
      <c r="P559" s="21">
        <f t="shared" si="439"/>
        <v>0</v>
      </c>
      <c r="Q559" s="21">
        <f t="shared" si="439"/>
        <v>0</v>
      </c>
      <c r="R559" s="21">
        <f t="shared" si="439"/>
        <v>0</v>
      </c>
      <c r="S559" s="21">
        <f t="shared" si="439"/>
        <v>2.7618498946382079E-2</v>
      </c>
      <c r="T559" s="21">
        <f t="shared" si="439"/>
        <v>2.7618498946382079E-2</v>
      </c>
      <c r="U559" s="21">
        <f t="shared" si="439"/>
        <v>2.7618498946382079E-2</v>
      </c>
      <c r="V559" s="21">
        <f t="shared" si="439"/>
        <v>2.7618498946382079E-2</v>
      </c>
      <c r="W559" s="563"/>
      <c r="X559" s="563"/>
      <c r="Y559" s="563"/>
      <c r="Z559" s="563"/>
      <c r="AA559" s="563"/>
      <c r="AB559" s="563"/>
      <c r="AC559" s="563"/>
      <c r="AD559" s="563"/>
      <c r="AE559" s="563"/>
    </row>
    <row r="560" spans="3:31" x14ac:dyDescent="0.2">
      <c r="C560" s="5" t="str">
        <f t="shared" si="433"/>
        <v>Electrical Engineer</v>
      </c>
      <c r="D560" s="47"/>
      <c r="F560" s="1" t="s">
        <v>55</v>
      </c>
      <c r="G560" s="21">
        <f t="shared" si="424"/>
        <v>0.11047399578552831</v>
      </c>
      <c r="I560" s="21">
        <f t="shared" ref="I560" si="440">SUM(I456+I507)*I304/1000000</f>
        <v>0</v>
      </c>
      <c r="J560" s="21">
        <f t="shared" ref="J560" si="441">SUM(J456+J507)*J304/1000000</f>
        <v>0</v>
      </c>
      <c r="K560" s="21">
        <f t="shared" ref="K560:V564" si="442">SUM(K456+K507)*K304/1000000</f>
        <v>0</v>
      </c>
      <c r="L560" s="21">
        <f t="shared" si="442"/>
        <v>0</v>
      </c>
      <c r="M560" s="21">
        <f t="shared" si="442"/>
        <v>0</v>
      </c>
      <c r="N560" s="21">
        <f t="shared" si="442"/>
        <v>0</v>
      </c>
      <c r="O560" s="21">
        <f t="shared" si="442"/>
        <v>0</v>
      </c>
      <c r="P560" s="21">
        <f t="shared" si="442"/>
        <v>0</v>
      </c>
      <c r="Q560" s="21">
        <f t="shared" si="442"/>
        <v>0</v>
      </c>
      <c r="R560" s="21">
        <f t="shared" si="442"/>
        <v>0</v>
      </c>
      <c r="S560" s="21">
        <f t="shared" si="442"/>
        <v>2.7618498946382079E-2</v>
      </c>
      <c r="T560" s="21">
        <f t="shared" si="442"/>
        <v>2.7618498946382079E-2</v>
      </c>
      <c r="U560" s="21">
        <f t="shared" si="442"/>
        <v>2.7618498946382079E-2</v>
      </c>
      <c r="V560" s="21">
        <f t="shared" si="442"/>
        <v>2.7618498946382079E-2</v>
      </c>
      <c r="W560" s="563"/>
      <c r="X560" s="563"/>
      <c r="Y560" s="563"/>
      <c r="Z560" s="563"/>
      <c r="AA560" s="563"/>
      <c r="AB560" s="563"/>
      <c r="AC560" s="563"/>
      <c r="AD560" s="563"/>
      <c r="AE560" s="563"/>
    </row>
    <row r="561" spans="3:31" x14ac:dyDescent="0.2">
      <c r="C561" s="5" t="str">
        <f t="shared" si="433"/>
        <v>Information Systems Technician</v>
      </c>
      <c r="D561" s="47"/>
      <c r="F561" s="1" t="s">
        <v>55</v>
      </c>
      <c r="G561" s="21">
        <f t="shared" si="424"/>
        <v>0.16298301706563087</v>
      </c>
      <c r="I561" s="21">
        <f t="shared" ref="I561" si="443">SUM(I457+I508)*I305/1000000</f>
        <v>0</v>
      </c>
      <c r="J561" s="21">
        <f t="shared" ref="J561" si="444">SUM(J457+J508)*J305/1000000</f>
        <v>0</v>
      </c>
      <c r="K561" s="21">
        <f t="shared" si="442"/>
        <v>0</v>
      </c>
      <c r="L561" s="21">
        <f t="shared" si="442"/>
        <v>0</v>
      </c>
      <c r="M561" s="21">
        <f t="shared" si="442"/>
        <v>0</v>
      </c>
      <c r="N561" s="21">
        <f t="shared" si="442"/>
        <v>0</v>
      </c>
      <c r="O561" s="21">
        <f t="shared" si="442"/>
        <v>0</v>
      </c>
      <c r="P561" s="21">
        <f t="shared" si="442"/>
        <v>0</v>
      </c>
      <c r="Q561" s="21">
        <f t="shared" si="442"/>
        <v>0</v>
      </c>
      <c r="R561" s="21">
        <f t="shared" si="442"/>
        <v>0</v>
      </c>
      <c r="S561" s="21">
        <f t="shared" si="442"/>
        <v>4.0745754266407717E-2</v>
      </c>
      <c r="T561" s="21">
        <f t="shared" si="442"/>
        <v>4.0745754266407717E-2</v>
      </c>
      <c r="U561" s="21">
        <f t="shared" si="442"/>
        <v>4.0745754266407717E-2</v>
      </c>
      <c r="V561" s="21">
        <f t="shared" si="442"/>
        <v>4.0745754266407717E-2</v>
      </c>
      <c r="W561" s="563"/>
      <c r="X561" s="563"/>
      <c r="Y561" s="563"/>
      <c r="Z561" s="563"/>
      <c r="AA561" s="563"/>
      <c r="AB561" s="563"/>
      <c r="AC561" s="563"/>
      <c r="AD561" s="563"/>
      <c r="AE561" s="563"/>
    </row>
    <row r="562" spans="3:31" x14ac:dyDescent="0.2">
      <c r="C562" s="5" t="str">
        <f t="shared" si="433"/>
        <v>Craft Maintenance - Electrical</v>
      </c>
      <c r="D562" s="47"/>
      <c r="F562" s="1" t="s">
        <v>55</v>
      </c>
      <c r="G562" s="21">
        <f t="shared" si="424"/>
        <v>0.54705024339240604</v>
      </c>
      <c r="I562" s="21">
        <f t="shared" ref="I562" si="445">SUM(I458+I509)*I306/1000000</f>
        <v>0</v>
      </c>
      <c r="J562" s="21">
        <f t="shared" ref="J562" si="446">SUM(J458+J509)*J306/1000000</f>
        <v>0</v>
      </c>
      <c r="K562" s="21">
        <f t="shared" si="442"/>
        <v>0</v>
      </c>
      <c r="L562" s="21">
        <f t="shared" si="442"/>
        <v>0</v>
      </c>
      <c r="M562" s="21">
        <f t="shared" si="442"/>
        <v>0</v>
      </c>
      <c r="N562" s="21">
        <f t="shared" si="442"/>
        <v>0</v>
      </c>
      <c r="O562" s="21">
        <f t="shared" si="442"/>
        <v>0</v>
      </c>
      <c r="P562" s="21">
        <f t="shared" si="442"/>
        <v>0</v>
      </c>
      <c r="Q562" s="21">
        <f t="shared" si="442"/>
        <v>0</v>
      </c>
      <c r="R562" s="21">
        <f t="shared" si="442"/>
        <v>0</v>
      </c>
      <c r="S562" s="21">
        <f t="shared" si="442"/>
        <v>0.13676256084810151</v>
      </c>
      <c r="T562" s="21">
        <f t="shared" si="442"/>
        <v>0.13676256084810151</v>
      </c>
      <c r="U562" s="21">
        <f t="shared" si="442"/>
        <v>0.13676256084810151</v>
      </c>
      <c r="V562" s="21">
        <f t="shared" si="442"/>
        <v>0.13676256084810151</v>
      </c>
      <c r="W562" s="563"/>
      <c r="X562" s="563"/>
      <c r="Y562" s="563"/>
      <c r="Z562" s="563"/>
      <c r="AA562" s="563"/>
      <c r="AB562" s="563"/>
      <c r="AC562" s="563"/>
      <c r="AD562" s="563"/>
      <c r="AE562" s="563"/>
    </row>
    <row r="563" spans="3:31" x14ac:dyDescent="0.2">
      <c r="C563" s="5" t="str">
        <f t="shared" si="433"/>
        <v>Craft Maintenance - Mechanical</v>
      </c>
      <c r="D563" s="47"/>
      <c r="F563" s="1" t="s">
        <v>55</v>
      </c>
      <c r="G563" s="21">
        <f t="shared" si="424"/>
        <v>0.61543152381645683</v>
      </c>
      <c r="I563" s="21">
        <f t="shared" ref="I563" si="447">SUM(I459+I510)*I307/1000000</f>
        <v>0</v>
      </c>
      <c r="J563" s="21">
        <f t="shared" ref="J563" si="448">SUM(J459+J510)*J307/1000000</f>
        <v>0</v>
      </c>
      <c r="K563" s="21">
        <f t="shared" si="442"/>
        <v>0</v>
      </c>
      <c r="L563" s="21">
        <f t="shared" si="442"/>
        <v>0</v>
      </c>
      <c r="M563" s="21">
        <f t="shared" si="442"/>
        <v>0</v>
      </c>
      <c r="N563" s="21">
        <f t="shared" si="442"/>
        <v>0</v>
      </c>
      <c r="O563" s="21">
        <f t="shared" si="442"/>
        <v>0</v>
      </c>
      <c r="P563" s="21">
        <f t="shared" si="442"/>
        <v>0</v>
      </c>
      <c r="Q563" s="21">
        <f t="shared" si="442"/>
        <v>0</v>
      </c>
      <c r="R563" s="21">
        <f t="shared" si="442"/>
        <v>0</v>
      </c>
      <c r="S563" s="21">
        <f t="shared" si="442"/>
        <v>0.15385788095411421</v>
      </c>
      <c r="T563" s="21">
        <f t="shared" si="442"/>
        <v>0.15385788095411421</v>
      </c>
      <c r="U563" s="21">
        <f t="shared" si="442"/>
        <v>0.15385788095411421</v>
      </c>
      <c r="V563" s="21">
        <f t="shared" si="442"/>
        <v>0.15385788095411421</v>
      </c>
      <c r="W563" s="563"/>
      <c r="X563" s="563"/>
      <c r="Y563" s="563"/>
      <c r="Z563" s="563"/>
      <c r="AA563" s="563"/>
      <c r="AB563" s="563"/>
      <c r="AC563" s="563"/>
      <c r="AD563" s="563"/>
      <c r="AE563" s="563"/>
    </row>
    <row r="564" spans="3:31" x14ac:dyDescent="0.2">
      <c r="C564" s="5" t="str">
        <f t="shared" si="433"/>
        <v>Quality Control Engineer</v>
      </c>
      <c r="D564" s="47"/>
      <c r="F564" s="1" t="s">
        <v>55</v>
      </c>
      <c r="G564" s="21">
        <f t="shared" si="424"/>
        <v>6.1826166369668416E-2</v>
      </c>
      <c r="I564" s="21">
        <f t="shared" ref="I564" si="449">SUM(I460+I511)*I308/1000000</f>
        <v>0</v>
      </c>
      <c r="J564" s="21">
        <f t="shared" ref="J564" si="450">SUM(J460+J511)*J308/1000000</f>
        <v>0</v>
      </c>
      <c r="K564" s="21">
        <f t="shared" si="442"/>
        <v>0</v>
      </c>
      <c r="L564" s="21">
        <f t="shared" si="442"/>
        <v>0</v>
      </c>
      <c r="M564" s="21">
        <f t="shared" si="442"/>
        <v>0</v>
      </c>
      <c r="N564" s="21">
        <f t="shared" si="442"/>
        <v>0</v>
      </c>
      <c r="O564" s="21">
        <f t="shared" si="442"/>
        <v>0</v>
      </c>
      <c r="P564" s="21">
        <f t="shared" si="442"/>
        <v>0</v>
      </c>
      <c r="Q564" s="21">
        <f t="shared" si="442"/>
        <v>0</v>
      </c>
      <c r="R564" s="21">
        <f t="shared" si="442"/>
        <v>0</v>
      </c>
      <c r="S564" s="21">
        <f t="shared" si="442"/>
        <v>1.5456541592417104E-2</v>
      </c>
      <c r="T564" s="21">
        <f t="shared" si="442"/>
        <v>1.5456541592417104E-2</v>
      </c>
      <c r="U564" s="21">
        <f t="shared" si="442"/>
        <v>1.5456541592417104E-2</v>
      </c>
      <c r="V564" s="21">
        <f t="shared" si="442"/>
        <v>1.5456541592417104E-2</v>
      </c>
      <c r="W564" s="563"/>
      <c r="X564" s="563"/>
      <c r="Y564" s="563"/>
      <c r="Z564" s="563"/>
      <c r="AA564" s="563"/>
      <c r="AB564" s="563"/>
      <c r="AC564" s="563"/>
      <c r="AD564" s="563"/>
      <c r="AE564" s="563"/>
    </row>
    <row r="565" spans="3:31" x14ac:dyDescent="0.2">
      <c r="C565" s="20" t="s">
        <v>43</v>
      </c>
      <c r="D565" s="20"/>
      <c r="E565" s="9"/>
      <c r="F565" s="9" t="s">
        <v>55</v>
      </c>
      <c r="G565" s="44">
        <f t="shared" si="424"/>
        <v>1.7582432536992376</v>
      </c>
      <c r="H565" s="9"/>
      <c r="I565" s="44">
        <f>SUM(I558:I564)</f>
        <v>0</v>
      </c>
      <c r="J565" s="44">
        <f>SUM(J558:J564)</f>
        <v>0</v>
      </c>
      <c r="K565" s="44">
        <f>SUM(K558:K564)</f>
        <v>0</v>
      </c>
      <c r="L565" s="44">
        <f>SUM(L558:L564)</f>
        <v>0</v>
      </c>
      <c r="M565" s="44">
        <f t="shared" ref="M565:V565" si="451">SUM(M558:M564)</f>
        <v>0</v>
      </c>
      <c r="N565" s="44">
        <f t="shared" si="451"/>
        <v>0</v>
      </c>
      <c r="O565" s="44">
        <f t="shared" si="451"/>
        <v>0</v>
      </c>
      <c r="P565" s="44">
        <f t="shared" si="451"/>
        <v>0</v>
      </c>
      <c r="Q565" s="44">
        <f t="shared" si="451"/>
        <v>0</v>
      </c>
      <c r="R565" s="44">
        <f t="shared" si="451"/>
        <v>0</v>
      </c>
      <c r="S565" s="44">
        <f t="shared" si="451"/>
        <v>0.4395608134248094</v>
      </c>
      <c r="T565" s="44">
        <f t="shared" si="451"/>
        <v>0.4395608134248094</v>
      </c>
      <c r="U565" s="44">
        <f t="shared" si="451"/>
        <v>0.4395608134248094</v>
      </c>
      <c r="V565" s="44">
        <f t="shared" si="451"/>
        <v>0.4395608134248094</v>
      </c>
      <c r="W565" s="580"/>
      <c r="X565" s="580"/>
      <c r="Y565" s="580"/>
      <c r="Z565" s="580"/>
      <c r="AA565" s="580"/>
      <c r="AB565" s="580"/>
      <c r="AC565" s="580"/>
      <c r="AD565" s="580"/>
      <c r="AE565" s="580"/>
    </row>
    <row r="566" spans="3:31" x14ac:dyDescent="0.2">
      <c r="C566" s="5"/>
      <c r="D566" s="5"/>
    </row>
    <row r="567" spans="3:31" x14ac:dyDescent="0.2">
      <c r="C567" s="47" t="str">
        <f>C513</f>
        <v>Selling, General &amp; Administrative</v>
      </c>
      <c r="D567" s="47"/>
    </row>
    <row r="568" spans="3:31" x14ac:dyDescent="0.2">
      <c r="C568" s="5" t="str">
        <f t="shared" ref="C568:C576" si="452">C312</f>
        <v>CEO, CFO, COO</v>
      </c>
      <c r="D568" s="5"/>
      <c r="F568" s="1" t="s">
        <v>55</v>
      </c>
      <c r="G568" s="21">
        <f t="shared" ref="G568:G583" si="453">SUM(I568:V568)</f>
        <v>0.73905342494417847</v>
      </c>
      <c r="I568" s="21">
        <f t="shared" ref="I568" si="454">(I463+I514)*I312/1000000</f>
        <v>0</v>
      </c>
      <c r="J568" s="21">
        <f t="shared" ref="J568" si="455">(J463+J514)*J312/1000000</f>
        <v>0</v>
      </c>
      <c r="K568" s="21">
        <f t="shared" ref="K568:V576" si="456">(K463+K514)*K312/1000000</f>
        <v>0</v>
      </c>
      <c r="L568" s="21">
        <f t="shared" si="456"/>
        <v>0</v>
      </c>
      <c r="M568" s="21">
        <f t="shared" si="456"/>
        <v>0</v>
      </c>
      <c r="N568" s="21">
        <f t="shared" si="456"/>
        <v>0</v>
      </c>
      <c r="O568" s="21">
        <f t="shared" si="456"/>
        <v>0</v>
      </c>
      <c r="P568" s="21">
        <f t="shared" si="456"/>
        <v>0</v>
      </c>
      <c r="Q568" s="21">
        <f t="shared" si="456"/>
        <v>0</v>
      </c>
      <c r="R568" s="21">
        <f t="shared" si="456"/>
        <v>0</v>
      </c>
      <c r="S568" s="21">
        <f t="shared" si="456"/>
        <v>0.18476335623604462</v>
      </c>
      <c r="T568" s="21">
        <f t="shared" si="456"/>
        <v>0.18476335623604462</v>
      </c>
      <c r="U568" s="21">
        <f t="shared" si="456"/>
        <v>0.18476335623604462</v>
      </c>
      <c r="V568" s="21">
        <f t="shared" si="456"/>
        <v>0.18476335623604462</v>
      </c>
      <c r="W568" s="563"/>
      <c r="X568" s="563"/>
      <c r="Y568" s="563"/>
      <c r="Z568" s="563"/>
      <c r="AA568" s="563"/>
      <c r="AB568" s="563"/>
      <c r="AC568" s="563"/>
      <c r="AD568" s="563"/>
      <c r="AE568" s="563"/>
    </row>
    <row r="569" spans="3:31" x14ac:dyDescent="0.2">
      <c r="C569" s="5" t="str">
        <f t="shared" si="452"/>
        <v>Administrator</v>
      </c>
      <c r="D569" s="5"/>
      <c r="F569" s="1" t="s">
        <v>55</v>
      </c>
      <c r="G569" s="21">
        <f t="shared" si="453"/>
        <v>9.446189034408832E-2</v>
      </c>
      <c r="I569" s="21">
        <f t="shared" ref="I569" si="457">(I464+I515)*I313/1000000</f>
        <v>0</v>
      </c>
      <c r="J569" s="21">
        <f t="shared" ref="J569" si="458">(J464+J515)*J313/1000000</f>
        <v>0</v>
      </c>
      <c r="K569" s="21">
        <f t="shared" si="456"/>
        <v>0</v>
      </c>
      <c r="L569" s="21">
        <f t="shared" si="456"/>
        <v>0</v>
      </c>
      <c r="M569" s="21">
        <f t="shared" si="456"/>
        <v>0</v>
      </c>
      <c r="N569" s="21">
        <f t="shared" si="456"/>
        <v>0</v>
      </c>
      <c r="O569" s="21">
        <f t="shared" si="456"/>
        <v>0</v>
      </c>
      <c r="P569" s="21">
        <f t="shared" si="456"/>
        <v>0</v>
      </c>
      <c r="Q569" s="21">
        <f t="shared" si="456"/>
        <v>0</v>
      </c>
      <c r="R569" s="21">
        <f t="shared" si="456"/>
        <v>0</v>
      </c>
      <c r="S569" s="21">
        <f t="shared" si="456"/>
        <v>2.361547258602208E-2</v>
      </c>
      <c r="T569" s="21">
        <f t="shared" si="456"/>
        <v>2.361547258602208E-2</v>
      </c>
      <c r="U569" s="21">
        <f t="shared" si="456"/>
        <v>2.361547258602208E-2</v>
      </c>
      <c r="V569" s="21">
        <f t="shared" si="456"/>
        <v>2.361547258602208E-2</v>
      </c>
      <c r="W569" s="563"/>
      <c r="X569" s="563"/>
      <c r="Y569" s="563"/>
      <c r="Z569" s="563"/>
      <c r="AA569" s="563"/>
      <c r="AB569" s="563"/>
      <c r="AC569" s="563"/>
      <c r="AD569" s="563"/>
      <c r="AE569" s="563"/>
    </row>
    <row r="570" spans="3:31" x14ac:dyDescent="0.2">
      <c r="C570" s="5" t="str">
        <f t="shared" si="452"/>
        <v xml:space="preserve">Accounting </v>
      </c>
      <c r="D570" s="5"/>
      <c r="F570" s="1" t="s">
        <v>55</v>
      </c>
      <c r="G570" s="21">
        <f t="shared" si="453"/>
        <v>0.28380520992474023</v>
      </c>
      <c r="I570" s="21">
        <f t="shared" ref="I570" si="459">(I465+I516)*I314/1000000</f>
        <v>0</v>
      </c>
      <c r="J570" s="21">
        <f t="shared" ref="J570" si="460">(J465+J516)*J314/1000000</f>
        <v>0</v>
      </c>
      <c r="K570" s="21">
        <f t="shared" si="456"/>
        <v>0</v>
      </c>
      <c r="L570" s="21">
        <f t="shared" si="456"/>
        <v>0</v>
      </c>
      <c r="M570" s="21">
        <f t="shared" si="456"/>
        <v>0</v>
      </c>
      <c r="N570" s="21">
        <f t="shared" si="456"/>
        <v>0</v>
      </c>
      <c r="O570" s="21">
        <f t="shared" si="456"/>
        <v>0</v>
      </c>
      <c r="P570" s="21">
        <f t="shared" si="456"/>
        <v>0</v>
      </c>
      <c r="Q570" s="21">
        <f t="shared" si="456"/>
        <v>0</v>
      </c>
      <c r="R570" s="21">
        <f t="shared" si="456"/>
        <v>0</v>
      </c>
      <c r="S570" s="21">
        <f t="shared" si="456"/>
        <v>7.0951302481185058E-2</v>
      </c>
      <c r="T570" s="21">
        <f t="shared" si="456"/>
        <v>7.0951302481185058E-2</v>
      </c>
      <c r="U570" s="21">
        <f t="shared" si="456"/>
        <v>7.0951302481185058E-2</v>
      </c>
      <c r="V570" s="21">
        <f t="shared" si="456"/>
        <v>7.0951302481185058E-2</v>
      </c>
      <c r="W570" s="563"/>
      <c r="X570" s="563"/>
      <c r="Y570" s="563"/>
      <c r="Z570" s="563"/>
      <c r="AA570" s="563"/>
      <c r="AB570" s="563"/>
      <c r="AC570" s="563"/>
      <c r="AD570" s="563"/>
      <c r="AE570" s="563"/>
    </row>
    <row r="571" spans="3:31" x14ac:dyDescent="0.2">
      <c r="C571" s="5" t="str">
        <f t="shared" si="452"/>
        <v>Purchasing - Buyer</v>
      </c>
      <c r="D571" s="5"/>
      <c r="F571" s="1" t="s">
        <v>55</v>
      </c>
      <c r="G571" s="21">
        <f t="shared" si="453"/>
        <v>0.1089355821761645</v>
      </c>
      <c r="I571" s="21">
        <f t="shared" ref="I571" si="461">(I466+I517)*I315/1000000</f>
        <v>0</v>
      </c>
      <c r="J571" s="21">
        <f t="shared" ref="J571" si="462">(J466+J517)*J315/1000000</f>
        <v>0</v>
      </c>
      <c r="K571" s="21">
        <f t="shared" si="456"/>
        <v>0</v>
      </c>
      <c r="L571" s="21">
        <f t="shared" si="456"/>
        <v>0</v>
      </c>
      <c r="M571" s="21">
        <f t="shared" si="456"/>
        <v>0</v>
      </c>
      <c r="N571" s="21">
        <f t="shared" si="456"/>
        <v>0</v>
      </c>
      <c r="O571" s="21">
        <f t="shared" si="456"/>
        <v>0</v>
      </c>
      <c r="P571" s="21">
        <f t="shared" si="456"/>
        <v>0</v>
      </c>
      <c r="Q571" s="21">
        <f t="shared" si="456"/>
        <v>0</v>
      </c>
      <c r="R571" s="21">
        <f t="shared" si="456"/>
        <v>0</v>
      </c>
      <c r="S571" s="21">
        <f t="shared" si="456"/>
        <v>2.7233895544041126E-2</v>
      </c>
      <c r="T571" s="21">
        <f t="shared" si="456"/>
        <v>2.7233895544041126E-2</v>
      </c>
      <c r="U571" s="21">
        <f t="shared" si="456"/>
        <v>2.7233895544041126E-2</v>
      </c>
      <c r="V571" s="21">
        <f t="shared" si="456"/>
        <v>2.7233895544041126E-2</v>
      </c>
      <c r="W571" s="563"/>
      <c r="X571" s="563"/>
      <c r="Y571" s="563"/>
      <c r="Z571" s="563"/>
      <c r="AA571" s="563"/>
      <c r="AB571" s="563"/>
      <c r="AC571" s="563"/>
      <c r="AD571" s="563"/>
      <c r="AE571" s="563"/>
    </row>
    <row r="572" spans="3:31" x14ac:dyDescent="0.2">
      <c r="C572" s="5" t="str">
        <f t="shared" si="452"/>
        <v>Purchasing - Receiving</v>
      </c>
      <c r="D572" s="5"/>
      <c r="F572" s="1" t="s">
        <v>55</v>
      </c>
      <c r="G572" s="21">
        <f t="shared" si="453"/>
        <v>9.6874172316101001E-2</v>
      </c>
      <c r="I572" s="21">
        <f t="shared" ref="I572" si="463">(I467+I518)*I316/1000000</f>
        <v>0</v>
      </c>
      <c r="J572" s="21">
        <f t="shared" ref="J572" si="464">(J467+J518)*J316/1000000</f>
        <v>0</v>
      </c>
      <c r="K572" s="21">
        <f t="shared" si="456"/>
        <v>0</v>
      </c>
      <c r="L572" s="21">
        <f t="shared" si="456"/>
        <v>0</v>
      </c>
      <c r="M572" s="21">
        <f t="shared" si="456"/>
        <v>0</v>
      </c>
      <c r="N572" s="21">
        <f t="shared" si="456"/>
        <v>0</v>
      </c>
      <c r="O572" s="21">
        <f t="shared" si="456"/>
        <v>0</v>
      </c>
      <c r="P572" s="21">
        <f t="shared" si="456"/>
        <v>0</v>
      </c>
      <c r="Q572" s="21">
        <f t="shared" si="456"/>
        <v>0</v>
      </c>
      <c r="R572" s="21">
        <f t="shared" si="456"/>
        <v>0</v>
      </c>
      <c r="S572" s="21">
        <f t="shared" si="456"/>
        <v>2.421854307902525E-2</v>
      </c>
      <c r="T572" s="21">
        <f t="shared" si="456"/>
        <v>2.421854307902525E-2</v>
      </c>
      <c r="U572" s="21">
        <f t="shared" si="456"/>
        <v>2.421854307902525E-2</v>
      </c>
      <c r="V572" s="21">
        <f t="shared" si="456"/>
        <v>2.421854307902525E-2</v>
      </c>
      <c r="W572" s="563"/>
      <c r="X572" s="563"/>
      <c r="Y572" s="563"/>
      <c r="Z572" s="563"/>
      <c r="AA572" s="563"/>
      <c r="AB572" s="563"/>
      <c r="AC572" s="563"/>
      <c r="AD572" s="563"/>
      <c r="AE572" s="563"/>
    </row>
    <row r="573" spans="3:31" x14ac:dyDescent="0.2">
      <c r="C573" s="5" t="str">
        <f t="shared" si="452"/>
        <v>Human Resources/Safety Manager/Training</v>
      </c>
      <c r="D573" s="5"/>
      <c r="F573" s="1" t="s">
        <v>55</v>
      </c>
      <c r="G573" s="21">
        <f t="shared" si="453"/>
        <v>0.17609324517439554</v>
      </c>
      <c r="I573" s="21">
        <f t="shared" ref="I573" si="465">(I468+I519)*I317/1000000</f>
        <v>0</v>
      </c>
      <c r="J573" s="21">
        <f t="shared" ref="J573" si="466">(J468+J519)*J317/1000000</f>
        <v>0</v>
      </c>
      <c r="K573" s="21">
        <f t="shared" si="456"/>
        <v>0</v>
      </c>
      <c r="L573" s="21">
        <f t="shared" si="456"/>
        <v>0</v>
      </c>
      <c r="M573" s="21">
        <f t="shared" si="456"/>
        <v>0</v>
      </c>
      <c r="N573" s="21">
        <f t="shared" si="456"/>
        <v>0</v>
      </c>
      <c r="O573" s="21">
        <f t="shared" si="456"/>
        <v>0</v>
      </c>
      <c r="P573" s="21">
        <f t="shared" si="456"/>
        <v>0</v>
      </c>
      <c r="Q573" s="21">
        <f t="shared" si="456"/>
        <v>0</v>
      </c>
      <c r="R573" s="21">
        <f t="shared" si="456"/>
        <v>0</v>
      </c>
      <c r="S573" s="21">
        <f t="shared" si="456"/>
        <v>4.4023311293598884E-2</v>
      </c>
      <c r="T573" s="21">
        <f t="shared" si="456"/>
        <v>4.4023311293598884E-2</v>
      </c>
      <c r="U573" s="21">
        <f t="shared" si="456"/>
        <v>4.4023311293598884E-2</v>
      </c>
      <c r="V573" s="21">
        <f t="shared" si="456"/>
        <v>4.4023311293598884E-2</v>
      </c>
      <c r="W573" s="563"/>
      <c r="X573" s="563"/>
      <c r="Y573" s="563"/>
      <c r="Z573" s="563"/>
      <c r="AA573" s="563"/>
      <c r="AB573" s="563"/>
      <c r="AC573" s="563"/>
      <c r="AD573" s="563"/>
      <c r="AE573" s="563"/>
    </row>
    <row r="574" spans="3:31" x14ac:dyDescent="0.2">
      <c r="C574" s="5" t="str">
        <f t="shared" si="452"/>
        <v>Sales Administrator</v>
      </c>
      <c r="D574" s="5"/>
      <c r="F574" s="1" t="s">
        <v>55</v>
      </c>
      <c r="G574" s="21">
        <f t="shared" si="453"/>
        <v>9.446189034408832E-2</v>
      </c>
      <c r="I574" s="21">
        <f t="shared" ref="I574" si="467">(I469+I520)*I318/1000000</f>
        <v>0</v>
      </c>
      <c r="J574" s="21">
        <f t="shared" ref="J574" si="468">(J469+J520)*J318/1000000</f>
        <v>0</v>
      </c>
      <c r="K574" s="21">
        <f t="shared" si="456"/>
        <v>0</v>
      </c>
      <c r="L574" s="21">
        <f t="shared" si="456"/>
        <v>0</v>
      </c>
      <c r="M574" s="21">
        <f t="shared" si="456"/>
        <v>0</v>
      </c>
      <c r="N574" s="21">
        <f t="shared" si="456"/>
        <v>0</v>
      </c>
      <c r="O574" s="21">
        <f t="shared" si="456"/>
        <v>0</v>
      </c>
      <c r="P574" s="21">
        <f t="shared" si="456"/>
        <v>0</v>
      </c>
      <c r="Q574" s="21">
        <f t="shared" si="456"/>
        <v>0</v>
      </c>
      <c r="R574" s="21">
        <f t="shared" si="456"/>
        <v>0</v>
      </c>
      <c r="S574" s="21">
        <f t="shared" si="456"/>
        <v>2.361547258602208E-2</v>
      </c>
      <c r="T574" s="21">
        <f t="shared" si="456"/>
        <v>2.361547258602208E-2</v>
      </c>
      <c r="U574" s="21">
        <f t="shared" si="456"/>
        <v>2.361547258602208E-2</v>
      </c>
      <c r="V574" s="21">
        <f t="shared" si="456"/>
        <v>2.361547258602208E-2</v>
      </c>
      <c r="W574" s="563"/>
      <c r="X574" s="563"/>
      <c r="Y574" s="563"/>
      <c r="Z574" s="563"/>
      <c r="AA574" s="563"/>
      <c r="AB574" s="563"/>
      <c r="AC574" s="563"/>
      <c r="AD574" s="563"/>
      <c r="AE574" s="563"/>
    </row>
    <row r="575" spans="3:31" x14ac:dyDescent="0.2">
      <c r="C575" s="5" t="str">
        <f t="shared" si="452"/>
        <v>Inside Sales</v>
      </c>
      <c r="D575" s="5"/>
      <c r="F575" s="1" t="s">
        <v>55</v>
      </c>
      <c r="G575" s="21">
        <f t="shared" si="453"/>
        <v>0.14994437570038041</v>
      </c>
      <c r="I575" s="21">
        <f t="shared" ref="I575" si="469">(I470+I521)*I319/1000000</f>
        <v>0</v>
      </c>
      <c r="J575" s="21">
        <f t="shared" ref="J575" si="470">(J470+J521)*J319/1000000</f>
        <v>0</v>
      </c>
      <c r="K575" s="21">
        <f t="shared" si="456"/>
        <v>0</v>
      </c>
      <c r="L575" s="21">
        <f t="shared" si="456"/>
        <v>0</v>
      </c>
      <c r="M575" s="21">
        <f t="shared" si="456"/>
        <v>0</v>
      </c>
      <c r="N575" s="21">
        <f t="shared" si="456"/>
        <v>0</v>
      </c>
      <c r="O575" s="21">
        <f t="shared" si="456"/>
        <v>0</v>
      </c>
      <c r="P575" s="21">
        <f t="shared" si="456"/>
        <v>0</v>
      </c>
      <c r="Q575" s="21">
        <f t="shared" si="456"/>
        <v>0</v>
      </c>
      <c r="R575" s="21">
        <f t="shared" si="456"/>
        <v>0</v>
      </c>
      <c r="S575" s="21">
        <f t="shared" si="456"/>
        <v>3.7486093925095103E-2</v>
      </c>
      <c r="T575" s="21">
        <f t="shared" si="456"/>
        <v>3.7486093925095103E-2</v>
      </c>
      <c r="U575" s="21">
        <f t="shared" si="456"/>
        <v>3.7486093925095103E-2</v>
      </c>
      <c r="V575" s="21">
        <f t="shared" si="456"/>
        <v>3.7486093925095103E-2</v>
      </c>
      <c r="W575" s="563"/>
      <c r="X575" s="563"/>
      <c r="Y575" s="563"/>
      <c r="Z575" s="563"/>
      <c r="AA575" s="563"/>
      <c r="AB575" s="563"/>
      <c r="AC575" s="563"/>
      <c r="AD575" s="563"/>
      <c r="AE575" s="563"/>
    </row>
    <row r="576" spans="3:31" x14ac:dyDescent="0.2">
      <c r="C576" s="5" t="str">
        <f t="shared" si="452"/>
        <v>Shipping Manager</v>
      </c>
      <c r="D576" s="5"/>
      <c r="F576" s="1" t="s">
        <v>55</v>
      </c>
      <c r="G576" s="21">
        <f t="shared" si="453"/>
        <v>9.3064302640285465E-2</v>
      </c>
      <c r="I576" s="21">
        <f t="shared" ref="I576" si="471">(I471+I522)*I320/1000000</f>
        <v>0</v>
      </c>
      <c r="J576" s="21">
        <f t="shared" ref="J576" si="472">(J471+J522)*J320/1000000</f>
        <v>0</v>
      </c>
      <c r="K576" s="21">
        <f t="shared" si="456"/>
        <v>0</v>
      </c>
      <c r="L576" s="21">
        <f t="shared" si="456"/>
        <v>0</v>
      </c>
      <c r="M576" s="21">
        <f t="shared" si="456"/>
        <v>0</v>
      </c>
      <c r="N576" s="21">
        <f t="shared" si="456"/>
        <v>0</v>
      </c>
      <c r="O576" s="21">
        <f t="shared" si="456"/>
        <v>0</v>
      </c>
      <c r="P576" s="21">
        <f t="shared" si="456"/>
        <v>0</v>
      </c>
      <c r="Q576" s="21">
        <f t="shared" si="456"/>
        <v>0</v>
      </c>
      <c r="R576" s="21">
        <f t="shared" si="456"/>
        <v>0</v>
      </c>
      <c r="S576" s="21">
        <f t="shared" si="456"/>
        <v>2.3266075660071366E-2</v>
      </c>
      <c r="T576" s="21">
        <f t="shared" si="456"/>
        <v>2.3266075660071366E-2</v>
      </c>
      <c r="U576" s="21">
        <f t="shared" si="456"/>
        <v>2.3266075660071366E-2</v>
      </c>
      <c r="V576" s="21">
        <f t="shared" si="456"/>
        <v>2.3266075660071366E-2</v>
      </c>
      <c r="W576" s="563"/>
      <c r="X576" s="563"/>
      <c r="Y576" s="563"/>
      <c r="Z576" s="563"/>
      <c r="AA576" s="563"/>
      <c r="AB576" s="563"/>
      <c r="AC576" s="563"/>
      <c r="AD576" s="563"/>
      <c r="AE576" s="563"/>
    </row>
    <row r="577" spans="2:31" x14ac:dyDescent="0.2">
      <c r="C577" s="20" t="s">
        <v>45</v>
      </c>
      <c r="D577" s="20"/>
      <c r="E577" s="9"/>
      <c r="F577" s="9" t="s">
        <v>55</v>
      </c>
      <c r="G577" s="44">
        <f t="shared" si="453"/>
        <v>1.8366940935644225</v>
      </c>
      <c r="H577" s="9"/>
      <c r="I577" s="44">
        <f>SUM(I568:I576)</f>
        <v>0</v>
      </c>
      <c r="J577" s="44">
        <f>SUM(J568:J576)</f>
        <v>0</v>
      </c>
      <c r="K577" s="44">
        <f>SUM(K568:K576)</f>
        <v>0</v>
      </c>
      <c r="L577" s="44">
        <f>SUM(L568:L576)</f>
        <v>0</v>
      </c>
      <c r="M577" s="44">
        <f t="shared" ref="M577:V577" si="473">SUM(M568:M576)</f>
        <v>0</v>
      </c>
      <c r="N577" s="44">
        <f t="shared" si="473"/>
        <v>0</v>
      </c>
      <c r="O577" s="44">
        <f t="shared" si="473"/>
        <v>0</v>
      </c>
      <c r="P577" s="44">
        <f t="shared" si="473"/>
        <v>0</v>
      </c>
      <c r="Q577" s="44">
        <f t="shared" si="473"/>
        <v>0</v>
      </c>
      <c r="R577" s="44">
        <f t="shared" si="473"/>
        <v>0</v>
      </c>
      <c r="S577" s="44">
        <f t="shared" si="473"/>
        <v>0.45917352339110562</v>
      </c>
      <c r="T577" s="44">
        <f t="shared" si="473"/>
        <v>0.45917352339110562</v>
      </c>
      <c r="U577" s="44">
        <f t="shared" si="473"/>
        <v>0.45917352339110562</v>
      </c>
      <c r="V577" s="44">
        <f t="shared" si="473"/>
        <v>0.45917352339110562</v>
      </c>
      <c r="W577" s="580"/>
      <c r="X577" s="580"/>
      <c r="Y577" s="580"/>
      <c r="Z577" s="580"/>
      <c r="AA577" s="580"/>
      <c r="AB577" s="580"/>
      <c r="AC577" s="580"/>
      <c r="AD577" s="580"/>
      <c r="AE577" s="580"/>
    </row>
    <row r="578" spans="2:31" x14ac:dyDescent="0.2">
      <c r="C578" s="5"/>
      <c r="D578" s="5"/>
    </row>
    <row r="579" spans="2:31" x14ac:dyDescent="0.2">
      <c r="C579" s="5" t="str">
        <f>C323</f>
        <v>Contingency</v>
      </c>
      <c r="D579" s="5"/>
      <c r="F579" s="1" t="s">
        <v>55</v>
      </c>
      <c r="G579" s="21">
        <f t="shared" si="453"/>
        <v>0</v>
      </c>
      <c r="I579" s="21">
        <f t="shared" ref="I579" si="474">SUM(I473+I524)*I323/1000000</f>
        <v>0</v>
      </c>
      <c r="J579" s="21">
        <f t="shared" ref="J579" si="475">SUM(J473+J524)*J323/1000000</f>
        <v>0</v>
      </c>
      <c r="K579" s="21">
        <f t="shared" ref="K579:V579" si="476">SUM(K473+K524)*K323/1000000</f>
        <v>0</v>
      </c>
      <c r="L579" s="21">
        <f t="shared" si="476"/>
        <v>0</v>
      </c>
      <c r="M579" s="21">
        <f t="shared" si="476"/>
        <v>0</v>
      </c>
      <c r="N579" s="21">
        <f t="shared" si="476"/>
        <v>0</v>
      </c>
      <c r="O579" s="21">
        <f t="shared" si="476"/>
        <v>0</v>
      </c>
      <c r="P579" s="21">
        <f t="shared" si="476"/>
        <v>0</v>
      </c>
      <c r="Q579" s="21">
        <f t="shared" si="476"/>
        <v>0</v>
      </c>
      <c r="R579" s="21">
        <f t="shared" si="476"/>
        <v>0</v>
      </c>
      <c r="S579" s="21">
        <f t="shared" si="476"/>
        <v>0</v>
      </c>
      <c r="T579" s="21">
        <f t="shared" si="476"/>
        <v>0</v>
      </c>
      <c r="U579" s="21">
        <f t="shared" si="476"/>
        <v>0</v>
      </c>
      <c r="V579" s="21">
        <f t="shared" si="476"/>
        <v>0</v>
      </c>
      <c r="W579" s="563"/>
      <c r="X579" s="563"/>
      <c r="Y579" s="563"/>
      <c r="Z579" s="563"/>
      <c r="AA579" s="563"/>
      <c r="AB579" s="563"/>
      <c r="AC579" s="563"/>
      <c r="AD579" s="563"/>
      <c r="AE579" s="563"/>
    </row>
    <row r="580" spans="2:31" x14ac:dyDescent="0.2">
      <c r="C580" s="5"/>
      <c r="D580" s="5"/>
    </row>
    <row r="581" spans="2:31" x14ac:dyDescent="0.2">
      <c r="C581" s="20" t="s">
        <v>56</v>
      </c>
      <c r="D581" s="20"/>
      <c r="F581" s="9" t="s">
        <v>55</v>
      </c>
      <c r="G581" s="44">
        <f t="shared" si="453"/>
        <v>8.1671517788590116</v>
      </c>
      <c r="H581" s="33"/>
      <c r="I581" s="44">
        <f>I536+I542+I549+I555+I565+I577+I579</f>
        <v>0</v>
      </c>
      <c r="J581" s="44">
        <f>J536+J542+J549+J555+J565+J577+J579</f>
        <v>0</v>
      </c>
      <c r="K581" s="44">
        <f>K536+K542+K549+K555+K565+K577+K579</f>
        <v>0</v>
      </c>
      <c r="L581" s="44">
        <f t="shared" ref="L581:V581" si="477">L536+L542+L549+L555+L565+L577+L579</f>
        <v>0</v>
      </c>
      <c r="M581" s="44">
        <f t="shared" si="477"/>
        <v>0</v>
      </c>
      <c r="N581" s="44">
        <f t="shared" si="477"/>
        <v>0</v>
      </c>
      <c r="O581" s="44">
        <f t="shared" si="477"/>
        <v>0</v>
      </c>
      <c r="P581" s="44">
        <f t="shared" si="477"/>
        <v>0</v>
      </c>
      <c r="Q581" s="44">
        <f t="shared" si="477"/>
        <v>0</v>
      </c>
      <c r="R581" s="44">
        <f t="shared" si="477"/>
        <v>0</v>
      </c>
      <c r="S581" s="44">
        <f t="shared" si="477"/>
        <v>2.0417879447147529</v>
      </c>
      <c r="T581" s="44">
        <f t="shared" si="477"/>
        <v>2.0417879447147529</v>
      </c>
      <c r="U581" s="44">
        <f t="shared" si="477"/>
        <v>2.0417879447147529</v>
      </c>
      <c r="V581" s="44">
        <f t="shared" si="477"/>
        <v>2.0417879447147529</v>
      </c>
      <c r="W581" s="580"/>
      <c r="X581" s="580"/>
      <c r="Y581" s="580"/>
      <c r="Z581" s="580"/>
      <c r="AA581" s="580"/>
      <c r="AB581" s="580"/>
      <c r="AC581" s="580"/>
      <c r="AD581" s="580"/>
      <c r="AE581" s="580"/>
    </row>
    <row r="582" spans="2:31" x14ac:dyDescent="0.2">
      <c r="C582" s="5" t="s">
        <v>450</v>
      </c>
      <c r="D582" s="5"/>
      <c r="F582" s="1" t="s">
        <v>55</v>
      </c>
      <c r="G582" s="21">
        <f t="shared" si="453"/>
        <v>6.805959815715843</v>
      </c>
      <c r="I582" s="21">
        <f t="shared" ref="I582" si="478">1/(1+I477)*I581</f>
        <v>0</v>
      </c>
      <c r="J582" s="21">
        <f t="shared" ref="J582" si="479">1/(1+J477)*J581</f>
        <v>0</v>
      </c>
      <c r="K582" s="21">
        <f t="shared" ref="K582:V582" si="480">1/(1+K477)*K581</f>
        <v>0</v>
      </c>
      <c r="L582" s="21">
        <f t="shared" si="480"/>
        <v>0</v>
      </c>
      <c r="M582" s="21">
        <f t="shared" si="480"/>
        <v>0</v>
      </c>
      <c r="N582" s="21">
        <f t="shared" si="480"/>
        <v>0</v>
      </c>
      <c r="O582" s="21">
        <f t="shared" si="480"/>
        <v>0</v>
      </c>
      <c r="P582" s="21">
        <f t="shared" si="480"/>
        <v>0</v>
      </c>
      <c r="Q582" s="21">
        <f t="shared" si="480"/>
        <v>0</v>
      </c>
      <c r="R582" s="21">
        <f t="shared" si="480"/>
        <v>0</v>
      </c>
      <c r="S582" s="21">
        <f t="shared" si="480"/>
        <v>1.7014899539289607</v>
      </c>
      <c r="T582" s="21">
        <f t="shared" si="480"/>
        <v>1.7014899539289607</v>
      </c>
      <c r="U582" s="21">
        <f t="shared" si="480"/>
        <v>1.7014899539289607</v>
      </c>
      <c r="V582" s="21">
        <f t="shared" si="480"/>
        <v>1.7014899539289607</v>
      </c>
      <c r="W582" s="563"/>
      <c r="X582" s="563"/>
      <c r="Y582" s="563"/>
      <c r="Z582" s="563"/>
      <c r="AA582" s="563"/>
      <c r="AB582" s="563"/>
      <c r="AC582" s="563"/>
      <c r="AD582" s="563"/>
      <c r="AE582" s="563"/>
    </row>
    <row r="583" spans="2:31" x14ac:dyDescent="0.2">
      <c r="C583" s="5" t="s">
        <v>57</v>
      </c>
      <c r="D583" s="5"/>
      <c r="F583" s="1" t="s">
        <v>55</v>
      </c>
      <c r="G583" s="21">
        <f t="shared" si="453"/>
        <v>1.3611919631431686</v>
      </c>
      <c r="I583" s="21">
        <f>I581-I582</f>
        <v>0</v>
      </c>
      <c r="J583" s="21">
        <f>J581-J582</f>
        <v>0</v>
      </c>
      <c r="K583" s="21">
        <f>K581-K582</f>
        <v>0</v>
      </c>
      <c r="L583" s="21">
        <f>L581-L582</f>
        <v>0</v>
      </c>
      <c r="M583" s="21">
        <f t="shared" ref="M583:V583" si="481">M581-M582</f>
        <v>0</v>
      </c>
      <c r="N583" s="21">
        <f t="shared" si="481"/>
        <v>0</v>
      </c>
      <c r="O583" s="21">
        <f t="shared" si="481"/>
        <v>0</v>
      </c>
      <c r="P583" s="21">
        <f t="shared" si="481"/>
        <v>0</v>
      </c>
      <c r="Q583" s="21">
        <f t="shared" si="481"/>
        <v>0</v>
      </c>
      <c r="R583" s="21">
        <f t="shared" si="481"/>
        <v>0</v>
      </c>
      <c r="S583" s="21">
        <f t="shared" si="481"/>
        <v>0.34029799078579215</v>
      </c>
      <c r="T583" s="21">
        <f t="shared" si="481"/>
        <v>0.34029799078579215</v>
      </c>
      <c r="U583" s="21">
        <f t="shared" si="481"/>
        <v>0.34029799078579215</v>
      </c>
      <c r="V583" s="21">
        <f t="shared" si="481"/>
        <v>0.34029799078579215</v>
      </c>
      <c r="W583" s="563"/>
      <c r="X583" s="563"/>
      <c r="Y583" s="563"/>
      <c r="Z583" s="563"/>
      <c r="AA583" s="563"/>
      <c r="AB583" s="563"/>
      <c r="AC583" s="563"/>
      <c r="AD583" s="563"/>
      <c r="AE583" s="563"/>
    </row>
    <row r="584" spans="2:31" x14ac:dyDescent="0.2">
      <c r="C584" s="5"/>
      <c r="D584" s="5"/>
      <c r="K584" s="21"/>
      <c r="L584" s="21"/>
      <c r="M584" s="21"/>
      <c r="N584" s="21"/>
      <c r="O584" s="21"/>
      <c r="P584" s="21"/>
      <c r="Q584" s="21"/>
      <c r="R584" s="21"/>
      <c r="S584" s="21"/>
      <c r="T584" s="21"/>
      <c r="U584" s="21"/>
      <c r="V584" s="21"/>
      <c r="W584" s="563"/>
      <c r="X584" s="563"/>
      <c r="Y584" s="563"/>
      <c r="Z584" s="563"/>
      <c r="AA584" s="563"/>
      <c r="AB584" s="563"/>
      <c r="AC584" s="563"/>
      <c r="AD584" s="563"/>
      <c r="AE584" s="563"/>
    </row>
    <row r="585" spans="2:31" x14ac:dyDescent="0.2">
      <c r="C585" s="20" t="s">
        <v>58</v>
      </c>
      <c r="D585" s="20"/>
      <c r="F585" s="9" t="s">
        <v>51</v>
      </c>
      <c r="G585" s="49"/>
      <c r="I585" s="49">
        <f>IFERROR(I581/I$325*1000000,0)</f>
        <v>0</v>
      </c>
      <c r="J585" s="49">
        <f t="shared" ref="J585:V585" si="482">IFERROR(J581/J$325*1000000,0)</f>
        <v>0</v>
      </c>
      <c r="K585" s="49">
        <f t="shared" si="482"/>
        <v>0</v>
      </c>
      <c r="L585" s="49">
        <f t="shared" si="482"/>
        <v>0</v>
      </c>
      <c r="M585" s="49">
        <f t="shared" si="482"/>
        <v>0</v>
      </c>
      <c r="N585" s="49">
        <f t="shared" si="482"/>
        <v>0</v>
      </c>
      <c r="O585" s="49">
        <f t="shared" si="482"/>
        <v>0</v>
      </c>
      <c r="P585" s="49">
        <f t="shared" si="482"/>
        <v>0</v>
      </c>
      <c r="Q585" s="49">
        <f t="shared" si="482"/>
        <v>0</v>
      </c>
      <c r="R585" s="49">
        <f t="shared" si="482"/>
        <v>0</v>
      </c>
      <c r="S585" s="49">
        <f t="shared" si="482"/>
        <v>18561.708588315934</v>
      </c>
      <c r="T585" s="49">
        <f t="shared" si="482"/>
        <v>18561.708588315934</v>
      </c>
      <c r="U585" s="49">
        <f t="shared" si="482"/>
        <v>18561.708588315934</v>
      </c>
      <c r="V585" s="49">
        <f t="shared" si="482"/>
        <v>18561.708588315934</v>
      </c>
      <c r="W585" s="585"/>
      <c r="X585" s="585"/>
      <c r="Y585" s="585"/>
      <c r="Z585" s="585"/>
      <c r="AA585" s="585"/>
      <c r="AB585" s="585"/>
      <c r="AC585" s="585"/>
      <c r="AD585" s="585"/>
      <c r="AE585" s="585"/>
    </row>
    <row r="586" spans="2:31" x14ac:dyDescent="0.2">
      <c r="C586" s="5" t="s">
        <v>936</v>
      </c>
      <c r="D586" s="5"/>
      <c r="F586" s="1" t="s">
        <v>51</v>
      </c>
      <c r="G586" s="49"/>
      <c r="I586" s="49">
        <f>IFERROR(I582/I$325*1000000,0)</f>
        <v>0</v>
      </c>
      <c r="J586" s="49">
        <f t="shared" ref="J586:V586" si="483">IFERROR(J582/J$325*1000000,0)</f>
        <v>0</v>
      </c>
      <c r="K586" s="49">
        <f t="shared" si="483"/>
        <v>0</v>
      </c>
      <c r="L586" s="49">
        <f t="shared" si="483"/>
        <v>0</v>
      </c>
      <c r="M586" s="49">
        <f t="shared" si="483"/>
        <v>0</v>
      </c>
      <c r="N586" s="49">
        <f t="shared" si="483"/>
        <v>0</v>
      </c>
      <c r="O586" s="49">
        <f t="shared" si="483"/>
        <v>0</v>
      </c>
      <c r="P586" s="49">
        <f t="shared" si="483"/>
        <v>0</v>
      </c>
      <c r="Q586" s="49">
        <f t="shared" si="483"/>
        <v>0</v>
      </c>
      <c r="R586" s="49">
        <f t="shared" si="483"/>
        <v>0</v>
      </c>
      <c r="S586" s="49">
        <f t="shared" si="483"/>
        <v>15468.090490263279</v>
      </c>
      <c r="T586" s="49">
        <f t="shared" si="483"/>
        <v>15468.090490263279</v>
      </c>
      <c r="U586" s="49">
        <f t="shared" si="483"/>
        <v>15468.090490263279</v>
      </c>
      <c r="V586" s="49">
        <f t="shared" si="483"/>
        <v>15468.090490263279</v>
      </c>
      <c r="W586" s="585"/>
      <c r="X586" s="585"/>
      <c r="Y586" s="585"/>
      <c r="Z586" s="585"/>
      <c r="AA586" s="585"/>
      <c r="AB586" s="585"/>
      <c r="AC586" s="585"/>
      <c r="AD586" s="585"/>
      <c r="AE586" s="585"/>
    </row>
    <row r="587" spans="2:31" x14ac:dyDescent="0.2">
      <c r="C587" s="5" t="s">
        <v>60</v>
      </c>
      <c r="D587" s="5"/>
      <c r="F587" s="1" t="s">
        <v>51</v>
      </c>
      <c r="I587" s="49">
        <f>IFERROR(I583/I$325*1000000,0)</f>
        <v>0</v>
      </c>
      <c r="J587" s="49">
        <f t="shared" ref="J587:V587" si="484">IFERROR(J583/J$325*1000000,0)</f>
        <v>0</v>
      </c>
      <c r="K587" s="49">
        <f t="shared" si="484"/>
        <v>0</v>
      </c>
      <c r="L587" s="49">
        <f t="shared" si="484"/>
        <v>0</v>
      </c>
      <c r="M587" s="49">
        <f t="shared" si="484"/>
        <v>0</v>
      </c>
      <c r="N587" s="49">
        <f t="shared" si="484"/>
        <v>0</v>
      </c>
      <c r="O587" s="49">
        <f t="shared" si="484"/>
        <v>0</v>
      </c>
      <c r="P587" s="49">
        <f t="shared" si="484"/>
        <v>0</v>
      </c>
      <c r="Q587" s="49">
        <f t="shared" si="484"/>
        <v>0</v>
      </c>
      <c r="R587" s="49">
        <f t="shared" si="484"/>
        <v>0</v>
      </c>
      <c r="S587" s="49">
        <f t="shared" si="484"/>
        <v>3093.618098052656</v>
      </c>
      <c r="T587" s="49">
        <f t="shared" si="484"/>
        <v>3093.618098052656</v>
      </c>
      <c r="U587" s="49">
        <f t="shared" si="484"/>
        <v>3093.618098052656</v>
      </c>
      <c r="V587" s="49">
        <f t="shared" si="484"/>
        <v>3093.618098052656</v>
      </c>
      <c r="W587" s="585"/>
      <c r="X587" s="585"/>
      <c r="Y587" s="585"/>
      <c r="Z587" s="585"/>
      <c r="AA587" s="585"/>
      <c r="AB587" s="585"/>
      <c r="AC587" s="585"/>
      <c r="AD587" s="585"/>
      <c r="AE587" s="585"/>
    </row>
    <row r="588" spans="2:31" x14ac:dyDescent="0.2">
      <c r="C588" s="5"/>
      <c r="D588" s="5"/>
    </row>
    <row r="589" spans="2:31" x14ac:dyDescent="0.2">
      <c r="C589" s="23"/>
      <c r="D589" s="23"/>
      <c r="E589" s="23"/>
      <c r="F589" s="23"/>
      <c r="G589" s="23"/>
      <c r="H589" s="23"/>
      <c r="I589" s="23"/>
      <c r="J589" s="23"/>
      <c r="K589" s="23"/>
      <c r="L589" s="23"/>
      <c r="M589" s="23"/>
      <c r="N589" s="23"/>
      <c r="O589" s="23"/>
      <c r="P589" s="23"/>
      <c r="Q589" s="23"/>
      <c r="R589" s="23"/>
      <c r="S589" s="23"/>
      <c r="T589" s="23"/>
      <c r="U589" s="23"/>
      <c r="V589" s="23"/>
    </row>
    <row r="590" spans="2:31" x14ac:dyDescent="0.2">
      <c r="C590" s="5"/>
      <c r="D590" s="5"/>
    </row>
    <row r="591" spans="2:31" x14ac:dyDescent="0.2">
      <c r="B591" s="10">
        <f>B267+0.1</f>
        <v>3.5000000000000004</v>
      </c>
      <c r="C591" s="20" t="s">
        <v>61</v>
      </c>
      <c r="D591" s="20"/>
    </row>
    <row r="592" spans="2:31" x14ac:dyDescent="0.2">
      <c r="C592" s="20"/>
      <c r="D592" s="234"/>
      <c r="E592" s="301"/>
    </row>
    <row r="593" spans="2:31" x14ac:dyDescent="0.2">
      <c r="C593" s="47" t="s">
        <v>441</v>
      </c>
      <c r="D593" s="234"/>
      <c r="E593" s="62" t="s">
        <v>685</v>
      </c>
    </row>
    <row r="594" spans="2:31" x14ac:dyDescent="0.2">
      <c r="C594" s="5" t="s">
        <v>807</v>
      </c>
      <c r="D594" s="234"/>
      <c r="E594" s="519">
        <f>'Plant model'!E594</f>
        <v>4.2000000000000003E-2</v>
      </c>
      <c r="F594" s="1" t="s">
        <v>62</v>
      </c>
      <c r="I594" s="26">
        <f t="shared" ref="I594" si="485">$E$594*I14</f>
        <v>3.2340000000000001E-2</v>
      </c>
      <c r="J594" s="26">
        <f t="shared" ref="J594" si="486">$E$594*J14</f>
        <v>3.2340000000000001E-2</v>
      </c>
      <c r="K594" s="26">
        <f t="shared" ref="K594:V594" si="487">$E$594*K14</f>
        <v>3.2340000000000001E-2</v>
      </c>
      <c r="L594" s="26">
        <f t="shared" si="487"/>
        <v>3.2340000000000001E-2</v>
      </c>
      <c r="M594" s="26">
        <f t="shared" si="487"/>
        <v>3.2340000000000001E-2</v>
      </c>
      <c r="N594" s="26">
        <f t="shared" si="487"/>
        <v>3.2340000000000001E-2</v>
      </c>
      <c r="O594" s="26">
        <f t="shared" si="487"/>
        <v>3.2340000000000001E-2</v>
      </c>
      <c r="P594" s="26">
        <f t="shared" si="487"/>
        <v>3.2340000000000001E-2</v>
      </c>
      <c r="Q594" s="26">
        <f t="shared" si="487"/>
        <v>3.2340000000000001E-2</v>
      </c>
      <c r="R594" s="26">
        <f t="shared" si="487"/>
        <v>3.2340000000000001E-2</v>
      </c>
      <c r="S594" s="26">
        <f t="shared" si="487"/>
        <v>3.2340000000000001E-2</v>
      </c>
      <c r="T594" s="26">
        <f t="shared" si="487"/>
        <v>3.2340000000000001E-2</v>
      </c>
      <c r="U594" s="26">
        <f t="shared" si="487"/>
        <v>3.2340000000000001E-2</v>
      </c>
      <c r="V594" s="26">
        <f t="shared" si="487"/>
        <v>3.2340000000000001E-2</v>
      </c>
      <c r="W594" s="581"/>
      <c r="X594" s="581"/>
      <c r="Y594" s="581"/>
      <c r="Z594" s="581"/>
      <c r="AA594" s="581"/>
      <c r="AB594" s="581"/>
      <c r="AC594" s="581"/>
      <c r="AD594" s="581"/>
      <c r="AE594" s="581"/>
    </row>
    <row r="595" spans="2:31" x14ac:dyDescent="0.2">
      <c r="C595" s="5" t="s">
        <v>808</v>
      </c>
      <c r="D595" s="234"/>
      <c r="E595" s="62"/>
      <c r="F595" s="1" t="s">
        <v>8</v>
      </c>
      <c r="I595" s="15">
        <v>0.2</v>
      </c>
      <c r="J595" s="15">
        <v>0.2</v>
      </c>
      <c r="K595" s="15">
        <v>0.2</v>
      </c>
      <c r="L595" s="15">
        <v>0.2</v>
      </c>
      <c r="M595" s="15">
        <v>0.2</v>
      </c>
      <c r="N595" s="15">
        <v>0.2</v>
      </c>
      <c r="O595" s="15">
        <v>0.2</v>
      </c>
      <c r="P595" s="15">
        <v>0.2</v>
      </c>
      <c r="Q595" s="15">
        <v>0.2</v>
      </c>
      <c r="R595" s="15">
        <v>0.2</v>
      </c>
      <c r="S595" s="15">
        <v>0.2</v>
      </c>
      <c r="T595" s="15">
        <v>0.2</v>
      </c>
      <c r="U595" s="15">
        <v>0.2</v>
      </c>
      <c r="V595" s="15">
        <v>0.2</v>
      </c>
      <c r="W595" s="573"/>
      <c r="X595" s="573"/>
      <c r="Y595" s="573"/>
      <c r="Z595" s="573"/>
      <c r="AA595" s="573"/>
      <c r="AB595" s="573"/>
      <c r="AC595" s="573"/>
      <c r="AD595" s="573"/>
      <c r="AE595" s="573"/>
    </row>
    <row r="596" spans="2:31" x14ac:dyDescent="0.2">
      <c r="C596" s="28" t="s">
        <v>21</v>
      </c>
      <c r="D596" s="301"/>
      <c r="E596" s="301"/>
      <c r="F596" s="1" t="s">
        <v>62</v>
      </c>
      <c r="G596" s="26">
        <f>AVERAGE(K596:AE596)</f>
        <v>2.5872000000000003E-2</v>
      </c>
      <c r="I596" s="26">
        <f>I594*(1-I595)</f>
        <v>2.5872000000000003E-2</v>
      </c>
      <c r="J596" s="26">
        <f>J594*(1-J595)</f>
        <v>2.5872000000000003E-2</v>
      </c>
      <c r="K596" s="26">
        <f>K594*(1-K595)</f>
        <v>2.5872000000000003E-2</v>
      </c>
      <c r="L596" s="26">
        <f t="shared" ref="L596:V596" si="488">L594*(1-L595)</f>
        <v>2.5872000000000003E-2</v>
      </c>
      <c r="M596" s="26">
        <f t="shared" si="488"/>
        <v>2.5872000000000003E-2</v>
      </c>
      <c r="N596" s="26">
        <f t="shared" si="488"/>
        <v>2.5872000000000003E-2</v>
      </c>
      <c r="O596" s="26">
        <f t="shared" si="488"/>
        <v>2.5872000000000003E-2</v>
      </c>
      <c r="P596" s="26">
        <f t="shared" si="488"/>
        <v>2.5872000000000003E-2</v>
      </c>
      <c r="Q596" s="26">
        <f t="shared" si="488"/>
        <v>2.5872000000000003E-2</v>
      </c>
      <c r="R596" s="26">
        <f t="shared" si="488"/>
        <v>2.5872000000000003E-2</v>
      </c>
      <c r="S596" s="26">
        <f t="shared" si="488"/>
        <v>2.5872000000000003E-2</v>
      </c>
      <c r="T596" s="26">
        <f t="shared" si="488"/>
        <v>2.5872000000000003E-2</v>
      </c>
      <c r="U596" s="26">
        <f t="shared" si="488"/>
        <v>2.5872000000000003E-2</v>
      </c>
      <c r="V596" s="26">
        <f t="shared" si="488"/>
        <v>2.5872000000000003E-2</v>
      </c>
      <c r="W596" s="581"/>
      <c r="X596" s="581"/>
      <c r="Y596" s="581"/>
      <c r="Z596" s="581"/>
      <c r="AA596" s="581"/>
      <c r="AB596" s="581"/>
      <c r="AC596" s="581"/>
      <c r="AD596" s="581"/>
      <c r="AE596" s="581"/>
    </row>
    <row r="597" spans="2:31" x14ac:dyDescent="0.2">
      <c r="C597" s="28" t="s">
        <v>22</v>
      </c>
      <c r="D597" s="120"/>
      <c r="E597" s="519">
        <f>'Plant model'!E597</f>
        <v>0.25</v>
      </c>
      <c r="F597" s="1" t="s">
        <v>63</v>
      </c>
      <c r="G597" s="21">
        <f>AVERAGE(K597:AE597)</f>
        <v>0.19249999999999998</v>
      </c>
      <c r="I597" s="45">
        <f>$E597*I$14</f>
        <v>0.1925</v>
      </c>
      <c r="J597" s="45">
        <f>$E597*J$14</f>
        <v>0.1925</v>
      </c>
      <c r="K597" s="45">
        <f>$E597*K$14</f>
        <v>0.1925</v>
      </c>
      <c r="L597" s="45">
        <f>$E597*L$14</f>
        <v>0.1925</v>
      </c>
      <c r="M597" s="45">
        <f t="shared" ref="M597:V597" si="489">$E597*M$14</f>
        <v>0.1925</v>
      </c>
      <c r="N597" s="45">
        <f t="shared" si="489"/>
        <v>0.1925</v>
      </c>
      <c r="O597" s="45">
        <f t="shared" si="489"/>
        <v>0.1925</v>
      </c>
      <c r="P597" s="45">
        <f t="shared" si="489"/>
        <v>0.1925</v>
      </c>
      <c r="Q597" s="45">
        <f t="shared" si="489"/>
        <v>0.1925</v>
      </c>
      <c r="R597" s="45">
        <f t="shared" si="489"/>
        <v>0.1925</v>
      </c>
      <c r="S597" s="45">
        <f t="shared" si="489"/>
        <v>0.1925</v>
      </c>
      <c r="T597" s="45">
        <f t="shared" si="489"/>
        <v>0.1925</v>
      </c>
      <c r="U597" s="45">
        <f t="shared" si="489"/>
        <v>0.1925</v>
      </c>
      <c r="V597" s="45">
        <f t="shared" si="489"/>
        <v>0.1925</v>
      </c>
      <c r="W597" s="568"/>
      <c r="X597" s="568"/>
      <c r="Y597" s="568"/>
      <c r="Z597" s="568"/>
      <c r="AA597" s="568"/>
      <c r="AB597" s="568"/>
      <c r="AC597" s="568"/>
      <c r="AD597" s="568"/>
      <c r="AE597" s="568"/>
    </row>
    <row r="598" spans="2:31" x14ac:dyDescent="0.2">
      <c r="C598" s="28" t="s">
        <v>23</v>
      </c>
      <c r="D598" s="120"/>
      <c r="E598" s="120"/>
      <c r="F598" s="1" t="s">
        <v>521</v>
      </c>
      <c r="G598" s="21">
        <f>AVERAGE(K598:AE598)</f>
        <v>4.5781140795000006</v>
      </c>
      <c r="I598" s="305">
        <v>4.5978602670000006</v>
      </c>
      <c r="J598" s="305">
        <v>4.5978602670000006</v>
      </c>
      <c r="K598" s="305">
        <v>4.5978602670000006</v>
      </c>
      <c r="L598" s="305">
        <v>4.5978602670000006</v>
      </c>
      <c r="M598" s="305">
        <v>4.5978602670000006</v>
      </c>
      <c r="N598" s="305">
        <v>4.5978602670000006</v>
      </c>
      <c r="O598" s="305">
        <v>4.5978602670000006</v>
      </c>
      <c r="P598" s="305">
        <v>4.5978602670000006</v>
      </c>
      <c r="Q598" s="305">
        <v>4.5978602670000006</v>
      </c>
      <c r="R598" s="305">
        <v>4.5978602670000006</v>
      </c>
      <c r="S598" s="305">
        <v>4.5978602670000006</v>
      </c>
      <c r="T598" s="305">
        <v>4.5978602670000006</v>
      </c>
      <c r="U598" s="305">
        <v>4.5978602670000006</v>
      </c>
      <c r="V598" s="305">
        <v>4.3609060169999996</v>
      </c>
      <c r="W598" s="568"/>
      <c r="X598" s="568"/>
      <c r="Y598" s="568"/>
      <c r="Z598" s="568"/>
      <c r="AA598" s="568"/>
      <c r="AB598" s="568"/>
      <c r="AC598" s="568"/>
      <c r="AD598" s="568"/>
      <c r="AE598" s="568"/>
    </row>
    <row r="599" spans="2:31" x14ac:dyDescent="0.2">
      <c r="B599" s="5"/>
      <c r="C599" s="28" t="s">
        <v>23</v>
      </c>
      <c r="D599" s="120"/>
      <c r="E599" s="120"/>
      <c r="F599" s="1" t="s">
        <v>24</v>
      </c>
      <c r="G599" s="21">
        <f>AVERAGE(K599:AE599)</f>
        <v>3.5251478412149999</v>
      </c>
      <c r="I599" s="45">
        <f t="shared" ref="I599:V599" si="490">I$598*I$14</f>
        <v>3.5403524055900006</v>
      </c>
      <c r="J599" s="45">
        <f t="shared" si="490"/>
        <v>3.5403524055900006</v>
      </c>
      <c r="K599" s="45">
        <f t="shared" si="490"/>
        <v>3.5403524055900006</v>
      </c>
      <c r="L599" s="45">
        <f t="shared" si="490"/>
        <v>3.5403524055900006</v>
      </c>
      <c r="M599" s="45">
        <f t="shared" si="490"/>
        <v>3.5403524055900006</v>
      </c>
      <c r="N599" s="45">
        <f t="shared" si="490"/>
        <v>3.5403524055900006</v>
      </c>
      <c r="O599" s="45">
        <f t="shared" si="490"/>
        <v>3.5403524055900006</v>
      </c>
      <c r="P599" s="45">
        <f t="shared" si="490"/>
        <v>3.5403524055900006</v>
      </c>
      <c r="Q599" s="45">
        <f t="shared" si="490"/>
        <v>3.5403524055900006</v>
      </c>
      <c r="R599" s="45">
        <f t="shared" si="490"/>
        <v>3.5403524055900006</v>
      </c>
      <c r="S599" s="45">
        <f t="shared" si="490"/>
        <v>3.5403524055900006</v>
      </c>
      <c r="T599" s="45">
        <f t="shared" si="490"/>
        <v>3.5403524055900006</v>
      </c>
      <c r="U599" s="45">
        <f t="shared" si="490"/>
        <v>3.5403524055900006</v>
      </c>
      <c r="V599" s="45">
        <f t="shared" si="490"/>
        <v>3.3578976330899999</v>
      </c>
      <c r="W599" s="568"/>
      <c r="X599" s="568"/>
      <c r="Y599" s="568"/>
      <c r="Z599" s="568"/>
      <c r="AA599" s="568"/>
      <c r="AB599" s="568"/>
      <c r="AC599" s="568"/>
      <c r="AD599" s="568"/>
      <c r="AE599" s="568"/>
    </row>
    <row r="600" spans="2:31" x14ac:dyDescent="0.2">
      <c r="C600" s="30"/>
      <c r="D600" s="11"/>
      <c r="E600" s="2"/>
      <c r="L600" s="52"/>
      <c r="M600" s="52"/>
      <c r="N600" s="52"/>
      <c r="O600" s="52"/>
      <c r="P600" s="52"/>
      <c r="Q600" s="52"/>
      <c r="R600" s="52"/>
      <c r="S600" s="52"/>
      <c r="T600" s="52"/>
      <c r="U600" s="52"/>
      <c r="V600" s="52"/>
      <c r="W600" s="563"/>
      <c r="X600" s="563"/>
      <c r="Y600" s="563"/>
      <c r="Z600" s="563"/>
      <c r="AA600" s="563"/>
      <c r="AB600" s="563"/>
      <c r="AC600" s="563"/>
      <c r="AD600" s="563"/>
      <c r="AE600" s="563"/>
    </row>
    <row r="601" spans="2:31" x14ac:dyDescent="0.2">
      <c r="C601" s="51"/>
      <c r="D601" s="11"/>
      <c r="E601" s="2"/>
      <c r="L601" s="52"/>
      <c r="M601" s="52"/>
      <c r="N601" s="52"/>
      <c r="O601" s="52"/>
      <c r="P601" s="52"/>
      <c r="Q601" s="52"/>
      <c r="R601" s="52"/>
      <c r="S601" s="52"/>
      <c r="T601" s="52"/>
      <c r="U601" s="52"/>
      <c r="V601" s="52"/>
      <c r="W601" s="563"/>
      <c r="X601" s="563"/>
      <c r="Y601" s="563"/>
      <c r="Z601" s="563"/>
      <c r="AA601" s="563"/>
      <c r="AB601" s="563"/>
      <c r="AC601" s="563"/>
      <c r="AD601" s="563"/>
      <c r="AE601" s="563"/>
    </row>
    <row r="602" spans="2:31" x14ac:dyDescent="0.2">
      <c r="C602" s="263" t="s">
        <v>442</v>
      </c>
      <c r="D602" s="11" t="s">
        <v>702</v>
      </c>
      <c r="E602" s="2" t="s">
        <v>309</v>
      </c>
      <c r="L602" s="52"/>
      <c r="M602" s="52"/>
      <c r="N602" s="52"/>
      <c r="O602" s="52"/>
      <c r="P602" s="52"/>
      <c r="Q602" s="52"/>
      <c r="R602" s="52"/>
      <c r="S602" s="52"/>
      <c r="T602" s="52"/>
      <c r="U602" s="52"/>
      <c r="V602" s="52"/>
      <c r="W602" s="563"/>
      <c r="X602" s="563"/>
      <c r="Y602" s="563"/>
      <c r="Z602" s="563"/>
      <c r="AA602" s="563"/>
      <c r="AB602" s="563"/>
      <c r="AC602" s="563"/>
      <c r="AD602" s="563"/>
      <c r="AE602" s="563"/>
    </row>
    <row r="603" spans="2:31" x14ac:dyDescent="0.2">
      <c r="C603" s="28" t="s">
        <v>399</v>
      </c>
      <c r="D603" s="269">
        <f>'Plant model'!D603</f>
        <v>2.5</v>
      </c>
      <c r="E603" s="269">
        <f>'Plant model'!E603</f>
        <v>12</v>
      </c>
      <c r="F603" s="1" t="s">
        <v>64</v>
      </c>
      <c r="G603" s="21">
        <f>AVERAGE(K603:AE603)</f>
        <v>12</v>
      </c>
      <c r="I603" s="45">
        <f>$E603*($E$10=0)+$D603*($E$10=1)</f>
        <v>12</v>
      </c>
      <c r="J603" s="45">
        <f>$E603*($E$10=0)+$D603*($E$10=1)</f>
        <v>12</v>
      </c>
      <c r="K603" s="45">
        <f>$E603*($E$10=0)+$D603*($E$10=1)</f>
        <v>12</v>
      </c>
      <c r="L603" s="45">
        <f t="shared" ref="L603:V603" si="491">$E603*($E$10=0)+$D603*($E$10=1)</f>
        <v>12</v>
      </c>
      <c r="M603" s="45">
        <f t="shared" si="491"/>
        <v>12</v>
      </c>
      <c r="N603" s="45">
        <f t="shared" si="491"/>
        <v>12</v>
      </c>
      <c r="O603" s="45">
        <f t="shared" si="491"/>
        <v>12</v>
      </c>
      <c r="P603" s="45">
        <f t="shared" si="491"/>
        <v>12</v>
      </c>
      <c r="Q603" s="45">
        <f t="shared" si="491"/>
        <v>12</v>
      </c>
      <c r="R603" s="45">
        <f t="shared" si="491"/>
        <v>12</v>
      </c>
      <c r="S603" s="45">
        <f t="shared" si="491"/>
        <v>12</v>
      </c>
      <c r="T603" s="45">
        <f t="shared" si="491"/>
        <v>12</v>
      </c>
      <c r="U603" s="45">
        <f t="shared" si="491"/>
        <v>12</v>
      </c>
      <c r="V603" s="45">
        <f t="shared" si="491"/>
        <v>12</v>
      </c>
      <c r="W603" s="568"/>
      <c r="X603" s="568"/>
      <c r="Y603" s="568"/>
      <c r="Z603" s="568"/>
      <c r="AA603" s="568"/>
      <c r="AB603" s="568"/>
      <c r="AC603" s="568"/>
      <c r="AD603" s="568"/>
      <c r="AE603" s="568"/>
    </row>
    <row r="604" spans="2:31" x14ac:dyDescent="0.2">
      <c r="C604" s="28" t="s">
        <v>688</v>
      </c>
      <c r="D604" s="120"/>
      <c r="E604" s="269">
        <f>'Plant model'!E604</f>
        <v>2.6455439999999997</v>
      </c>
      <c r="F604" s="1" t="s">
        <v>64</v>
      </c>
      <c r="G604" s="21">
        <f>AVERAGE(K604:AE604)</f>
        <v>2.6455440000000001</v>
      </c>
      <c r="I604" s="45">
        <f t="shared" ref="I604:V606" si="492">$E604</f>
        <v>2.6455439999999997</v>
      </c>
      <c r="J604" s="45">
        <f t="shared" si="492"/>
        <v>2.6455439999999997</v>
      </c>
      <c r="K604" s="45">
        <f t="shared" si="492"/>
        <v>2.6455439999999997</v>
      </c>
      <c r="L604" s="45">
        <f t="shared" si="492"/>
        <v>2.6455439999999997</v>
      </c>
      <c r="M604" s="45">
        <f t="shared" si="492"/>
        <v>2.6455439999999997</v>
      </c>
      <c r="N604" s="45">
        <f t="shared" si="492"/>
        <v>2.6455439999999997</v>
      </c>
      <c r="O604" s="45">
        <f t="shared" si="492"/>
        <v>2.6455439999999997</v>
      </c>
      <c r="P604" s="45">
        <f t="shared" si="492"/>
        <v>2.6455439999999997</v>
      </c>
      <c r="Q604" s="45">
        <f t="shared" si="492"/>
        <v>2.6455439999999997</v>
      </c>
      <c r="R604" s="45">
        <f t="shared" si="492"/>
        <v>2.6455439999999997</v>
      </c>
      <c r="S604" s="45">
        <f t="shared" si="492"/>
        <v>2.6455439999999997</v>
      </c>
      <c r="T604" s="45">
        <f t="shared" si="492"/>
        <v>2.6455439999999997</v>
      </c>
      <c r="U604" s="45">
        <f t="shared" si="492"/>
        <v>2.6455439999999997</v>
      </c>
      <c r="V604" s="45">
        <f t="shared" si="492"/>
        <v>2.6455439999999997</v>
      </c>
      <c r="W604" s="568"/>
      <c r="X604" s="568"/>
      <c r="Y604" s="568"/>
      <c r="Z604" s="568"/>
      <c r="AA604" s="568"/>
      <c r="AB604" s="568"/>
      <c r="AC604" s="568"/>
      <c r="AD604" s="568"/>
      <c r="AE604" s="568"/>
    </row>
    <row r="605" spans="2:31" x14ac:dyDescent="0.2">
      <c r="C605" s="28" t="s">
        <v>689</v>
      </c>
      <c r="D605" s="120"/>
      <c r="E605" s="269">
        <f>'Plant model'!E605</f>
        <v>2.2487124000000001</v>
      </c>
      <c r="F605" s="1" t="s">
        <v>64</v>
      </c>
      <c r="G605" s="21">
        <f>AVERAGE(K605:AE605)</f>
        <v>2.2487123999999996</v>
      </c>
      <c r="I605" s="45">
        <f t="shared" si="492"/>
        <v>2.2487124000000001</v>
      </c>
      <c r="J605" s="45">
        <f t="shared" si="492"/>
        <v>2.2487124000000001</v>
      </c>
      <c r="K605" s="45">
        <f t="shared" si="492"/>
        <v>2.2487124000000001</v>
      </c>
      <c r="L605" s="45">
        <f t="shared" si="492"/>
        <v>2.2487124000000001</v>
      </c>
      <c r="M605" s="45">
        <f t="shared" si="492"/>
        <v>2.2487124000000001</v>
      </c>
      <c r="N605" s="45">
        <f t="shared" si="492"/>
        <v>2.2487124000000001</v>
      </c>
      <c r="O605" s="45">
        <f t="shared" si="492"/>
        <v>2.2487124000000001</v>
      </c>
      <c r="P605" s="45">
        <f t="shared" si="492"/>
        <v>2.2487124000000001</v>
      </c>
      <c r="Q605" s="45">
        <f t="shared" si="492"/>
        <v>2.2487124000000001</v>
      </c>
      <c r="R605" s="45">
        <f t="shared" si="492"/>
        <v>2.2487124000000001</v>
      </c>
      <c r="S605" s="45">
        <f t="shared" si="492"/>
        <v>2.2487124000000001</v>
      </c>
      <c r="T605" s="45">
        <f t="shared" si="492"/>
        <v>2.2487124000000001</v>
      </c>
      <c r="U605" s="45">
        <f t="shared" si="492"/>
        <v>2.2487124000000001</v>
      </c>
      <c r="V605" s="45">
        <f t="shared" si="492"/>
        <v>2.2487124000000001</v>
      </c>
      <c r="W605" s="568"/>
      <c r="X605" s="568"/>
      <c r="Y605" s="568"/>
      <c r="Z605" s="568"/>
      <c r="AA605" s="568"/>
      <c r="AB605" s="568"/>
      <c r="AC605" s="568"/>
      <c r="AD605" s="568"/>
      <c r="AE605" s="568"/>
    </row>
    <row r="606" spans="2:31" x14ac:dyDescent="0.2">
      <c r="C606" s="28" t="s">
        <v>690</v>
      </c>
      <c r="D606" s="120"/>
      <c r="E606" s="269">
        <f>'Plant model'!E606</f>
        <v>2.2487124000000001</v>
      </c>
      <c r="F606" s="1" t="s">
        <v>64</v>
      </c>
      <c r="G606" s="21">
        <f>AVERAGE(K606:AE606)</f>
        <v>2.2487123999999996</v>
      </c>
      <c r="I606" s="45">
        <f t="shared" si="492"/>
        <v>2.2487124000000001</v>
      </c>
      <c r="J606" s="45">
        <f t="shared" si="492"/>
        <v>2.2487124000000001</v>
      </c>
      <c r="K606" s="45">
        <f t="shared" si="492"/>
        <v>2.2487124000000001</v>
      </c>
      <c r="L606" s="45">
        <f t="shared" si="492"/>
        <v>2.2487124000000001</v>
      </c>
      <c r="M606" s="45">
        <f t="shared" si="492"/>
        <v>2.2487124000000001</v>
      </c>
      <c r="N606" s="45">
        <f t="shared" si="492"/>
        <v>2.2487124000000001</v>
      </c>
      <c r="O606" s="45">
        <f t="shared" si="492"/>
        <v>2.2487124000000001</v>
      </c>
      <c r="P606" s="45">
        <f t="shared" si="492"/>
        <v>2.2487124000000001</v>
      </c>
      <c r="Q606" s="45">
        <f t="shared" si="492"/>
        <v>2.2487124000000001</v>
      </c>
      <c r="R606" s="45">
        <f t="shared" si="492"/>
        <v>2.2487124000000001</v>
      </c>
      <c r="S606" s="45">
        <f t="shared" si="492"/>
        <v>2.2487124000000001</v>
      </c>
      <c r="T606" s="45">
        <f t="shared" si="492"/>
        <v>2.2487124000000001</v>
      </c>
      <c r="U606" s="45">
        <f t="shared" si="492"/>
        <v>2.2487124000000001</v>
      </c>
      <c r="V606" s="45">
        <f t="shared" si="492"/>
        <v>2.2487124000000001</v>
      </c>
      <c r="W606" s="568"/>
      <c r="X606" s="568"/>
      <c r="Y606" s="568"/>
      <c r="Z606" s="568"/>
      <c r="AA606" s="568"/>
      <c r="AB606" s="568"/>
      <c r="AC606" s="568"/>
      <c r="AD606" s="568"/>
      <c r="AE606" s="568"/>
    </row>
    <row r="607" spans="2:31" x14ac:dyDescent="0.2">
      <c r="C607" s="5"/>
      <c r="D607" s="5"/>
    </row>
    <row r="608" spans="2:31" x14ac:dyDescent="0.2">
      <c r="C608" s="23"/>
      <c r="D608" s="23"/>
      <c r="E608" s="23"/>
      <c r="F608" s="23"/>
      <c r="G608" s="23"/>
      <c r="H608" s="23"/>
      <c r="I608" s="23"/>
      <c r="J608" s="23"/>
      <c r="K608" s="23"/>
      <c r="L608" s="23"/>
      <c r="M608" s="23"/>
      <c r="N608" s="23"/>
      <c r="O608" s="23"/>
      <c r="P608" s="23"/>
      <c r="Q608" s="23"/>
      <c r="R608" s="23"/>
      <c r="S608" s="23"/>
      <c r="T608" s="23"/>
      <c r="U608" s="23"/>
      <c r="V608" s="23"/>
    </row>
    <row r="609" spans="2:31" x14ac:dyDescent="0.2">
      <c r="C609" s="5"/>
      <c r="D609" s="5"/>
    </row>
    <row r="610" spans="2:31" x14ac:dyDescent="0.2">
      <c r="B610" s="10">
        <f>B591+0.1</f>
        <v>3.6000000000000005</v>
      </c>
      <c r="C610" s="20" t="s">
        <v>364</v>
      </c>
      <c r="D610" s="20"/>
    </row>
    <row r="611" spans="2:31" x14ac:dyDescent="0.2">
      <c r="C611" s="5"/>
      <c r="D611" s="5"/>
    </row>
    <row r="612" spans="2:31" x14ac:dyDescent="0.2">
      <c r="B612" s="24">
        <f>B610+0.01</f>
        <v>3.6100000000000003</v>
      </c>
      <c r="C612" s="20" t="s">
        <v>65</v>
      </c>
      <c r="D612" s="20"/>
    </row>
    <row r="613" spans="2:31" x14ac:dyDescent="0.2">
      <c r="B613" s="24"/>
      <c r="C613" s="5" t="str">
        <f>C145</f>
        <v>Iron Ore Pellets</v>
      </c>
      <c r="D613" s="5"/>
      <c r="F613" s="1" t="s">
        <v>55</v>
      </c>
      <c r="G613" s="21">
        <f>SUM(K613:AE613)</f>
        <v>66.3834741604241</v>
      </c>
      <c r="H613" s="5"/>
      <c r="I613" s="21">
        <f t="shared" ref="I613" si="493">I191*I199</f>
        <v>0</v>
      </c>
      <c r="J613" s="21">
        <f t="shared" ref="J613" si="494">J191*J199</f>
        <v>0</v>
      </c>
      <c r="K613" s="21">
        <f t="shared" ref="K613:V613" si="495">K191*K199</f>
        <v>0</v>
      </c>
      <c r="L613" s="21">
        <f t="shared" si="495"/>
        <v>0</v>
      </c>
      <c r="M613" s="21">
        <f t="shared" si="495"/>
        <v>0</v>
      </c>
      <c r="N613" s="21">
        <f t="shared" si="495"/>
        <v>0</v>
      </c>
      <c r="O613" s="21">
        <f t="shared" si="495"/>
        <v>0</v>
      </c>
      <c r="P613" s="21">
        <f t="shared" si="495"/>
        <v>0</v>
      </c>
      <c r="Q613" s="21">
        <f t="shared" si="495"/>
        <v>0</v>
      </c>
      <c r="R613" s="21">
        <f t="shared" si="495"/>
        <v>0</v>
      </c>
      <c r="S613" s="21">
        <f t="shared" si="495"/>
        <v>10.212842178526785</v>
      </c>
      <c r="T613" s="21">
        <f t="shared" si="495"/>
        <v>15.319263267790175</v>
      </c>
      <c r="U613" s="21">
        <f t="shared" si="495"/>
        <v>20.425684357053569</v>
      </c>
      <c r="V613" s="21">
        <f t="shared" si="495"/>
        <v>20.425684357053569</v>
      </c>
      <c r="W613" s="563"/>
      <c r="X613" s="563"/>
      <c r="Y613" s="563"/>
      <c r="Z613" s="563"/>
      <c r="AA613" s="563"/>
      <c r="AB613" s="563"/>
      <c r="AC613" s="563"/>
      <c r="AD613" s="563"/>
      <c r="AE613" s="563"/>
    </row>
    <row r="614" spans="2:31" x14ac:dyDescent="0.2">
      <c r="C614" s="5" t="str">
        <f>C146</f>
        <v>Lime</v>
      </c>
      <c r="D614" s="5"/>
      <c r="F614" s="1" t="s">
        <v>55</v>
      </c>
      <c r="G614" s="21">
        <f>SUM(K614:AE614)</f>
        <v>2.8160556255000002</v>
      </c>
      <c r="H614" s="5"/>
      <c r="I614" s="21">
        <f t="shared" ref="I614" si="496">I251*I255</f>
        <v>0</v>
      </c>
      <c r="J614" s="21">
        <f t="shared" ref="J614" si="497">J251*J255</f>
        <v>0</v>
      </c>
      <c r="K614" s="21">
        <f t="shared" ref="K614:V614" si="498">K251*K255</f>
        <v>0</v>
      </c>
      <c r="L614" s="21">
        <f t="shared" si="498"/>
        <v>0</v>
      </c>
      <c r="M614" s="21">
        <f t="shared" si="498"/>
        <v>0</v>
      </c>
      <c r="N614" s="21">
        <f t="shared" si="498"/>
        <v>0</v>
      </c>
      <c r="O614" s="21">
        <f t="shared" si="498"/>
        <v>0</v>
      </c>
      <c r="P614" s="21">
        <f t="shared" si="498"/>
        <v>0</v>
      </c>
      <c r="Q614" s="21">
        <f t="shared" si="498"/>
        <v>0</v>
      </c>
      <c r="R614" s="21">
        <f t="shared" si="498"/>
        <v>0</v>
      </c>
      <c r="S614" s="21">
        <f t="shared" si="498"/>
        <v>0.43323932700000001</v>
      </c>
      <c r="T614" s="21">
        <f t="shared" si="498"/>
        <v>0.64985899050000007</v>
      </c>
      <c r="U614" s="21">
        <f t="shared" si="498"/>
        <v>0.86647865400000001</v>
      </c>
      <c r="V614" s="21">
        <f t="shared" si="498"/>
        <v>0.86647865400000001</v>
      </c>
      <c r="W614" s="563"/>
      <c r="X614" s="563"/>
      <c r="Y614" s="563"/>
      <c r="Z614" s="563"/>
      <c r="AA614" s="563"/>
      <c r="AB614" s="563"/>
      <c r="AC614" s="563"/>
      <c r="AD614" s="563"/>
      <c r="AE614" s="563"/>
    </row>
    <row r="615" spans="2:31" x14ac:dyDescent="0.2">
      <c r="C615" s="5" t="s">
        <v>575</v>
      </c>
      <c r="D615" s="5"/>
      <c r="F615" s="1" t="s">
        <v>55</v>
      </c>
      <c r="G615" s="21">
        <f>SUM(K615:AE615)</f>
        <v>0.105625</v>
      </c>
      <c r="H615" s="5"/>
      <c r="I615" s="21">
        <f t="shared" ref="I615" si="499">I261*I262</f>
        <v>0</v>
      </c>
      <c r="J615" s="21">
        <f t="shared" ref="J615" si="500">J261*J262</f>
        <v>0</v>
      </c>
      <c r="K615" s="21">
        <f t="shared" ref="K615:V615" si="501">K261*K262</f>
        <v>0</v>
      </c>
      <c r="L615" s="21">
        <f t="shared" si="501"/>
        <v>0</v>
      </c>
      <c r="M615" s="21">
        <f t="shared" si="501"/>
        <v>0</v>
      </c>
      <c r="N615" s="21">
        <f t="shared" si="501"/>
        <v>0</v>
      </c>
      <c r="O615" s="21">
        <f t="shared" si="501"/>
        <v>0</v>
      </c>
      <c r="P615" s="21">
        <f t="shared" si="501"/>
        <v>0</v>
      </c>
      <c r="Q615" s="21">
        <f t="shared" si="501"/>
        <v>0</v>
      </c>
      <c r="R615" s="21">
        <f t="shared" si="501"/>
        <v>0</v>
      </c>
      <c r="S615" s="21">
        <f t="shared" si="501"/>
        <v>1.6250000000000001E-2</v>
      </c>
      <c r="T615" s="21">
        <f t="shared" si="501"/>
        <v>2.4375000000000001E-2</v>
      </c>
      <c r="U615" s="21">
        <f t="shared" si="501"/>
        <v>3.2500000000000001E-2</v>
      </c>
      <c r="V615" s="21">
        <f t="shared" si="501"/>
        <v>3.2500000000000001E-2</v>
      </c>
      <c r="W615" s="563"/>
      <c r="X615" s="563"/>
      <c r="Y615" s="563"/>
      <c r="Z615" s="563"/>
      <c r="AA615" s="563"/>
      <c r="AB615" s="563"/>
      <c r="AC615" s="563"/>
      <c r="AD615" s="563"/>
      <c r="AE615" s="563"/>
    </row>
    <row r="616" spans="2:31" x14ac:dyDescent="0.2">
      <c r="C616" s="20" t="s">
        <v>45</v>
      </c>
      <c r="D616" s="20"/>
      <c r="F616" s="9" t="s">
        <v>55</v>
      </c>
      <c r="G616" s="44">
        <f>SUM(K616:AE616)</f>
        <v>69.305154785924103</v>
      </c>
      <c r="H616" s="5"/>
      <c r="I616" s="44">
        <f>SUM(I613:I615)</f>
        <v>0</v>
      </c>
      <c r="J616" s="44">
        <f>SUM(J613:J615)</f>
        <v>0</v>
      </c>
      <c r="K616" s="44">
        <f>SUM(K613:K615)</f>
        <v>0</v>
      </c>
      <c r="L616" s="44">
        <f t="shared" ref="L616:V616" si="502">SUM(L613:L615)</f>
        <v>0</v>
      </c>
      <c r="M616" s="44">
        <f t="shared" si="502"/>
        <v>0</v>
      </c>
      <c r="N616" s="44">
        <f t="shared" si="502"/>
        <v>0</v>
      </c>
      <c r="O616" s="44">
        <f t="shared" si="502"/>
        <v>0</v>
      </c>
      <c r="P616" s="44">
        <f t="shared" si="502"/>
        <v>0</v>
      </c>
      <c r="Q616" s="44">
        <f t="shared" si="502"/>
        <v>0</v>
      </c>
      <c r="R616" s="44">
        <f t="shared" si="502"/>
        <v>0</v>
      </c>
      <c r="S616" s="44">
        <f t="shared" si="502"/>
        <v>10.662331505526785</v>
      </c>
      <c r="T616" s="44">
        <f t="shared" si="502"/>
        <v>15.993497258290175</v>
      </c>
      <c r="U616" s="44">
        <f t="shared" si="502"/>
        <v>21.32466301105357</v>
      </c>
      <c r="V616" s="44">
        <f t="shared" si="502"/>
        <v>21.32466301105357</v>
      </c>
      <c r="W616" s="580"/>
      <c r="X616" s="580"/>
      <c r="Y616" s="580"/>
      <c r="Z616" s="580"/>
      <c r="AA616" s="580"/>
      <c r="AB616" s="580"/>
      <c r="AC616" s="580"/>
      <c r="AD616" s="580"/>
      <c r="AE616" s="580"/>
    </row>
    <row r="617" spans="2:31" x14ac:dyDescent="0.2">
      <c r="C617" s="5"/>
      <c r="D617" s="5"/>
      <c r="H617" s="5"/>
    </row>
    <row r="618" spans="2:31" x14ac:dyDescent="0.2">
      <c r="B618" s="24">
        <f>B612+0.01</f>
        <v>3.62</v>
      </c>
      <c r="C618" s="20" t="str">
        <f>C153</f>
        <v>Storage &amp; Cold Processing</v>
      </c>
      <c r="D618" s="5"/>
      <c r="H618" s="5"/>
    </row>
    <row r="619" spans="2:31" x14ac:dyDescent="0.2">
      <c r="C619" s="5"/>
      <c r="D619" s="5"/>
      <c r="H619" s="5"/>
    </row>
    <row r="620" spans="2:31" x14ac:dyDescent="0.2">
      <c r="C620" s="5" t="str">
        <f>C155</f>
        <v>Electricity</v>
      </c>
      <c r="D620" s="5"/>
      <c r="F620" s="1" t="s">
        <v>55</v>
      </c>
      <c r="G620" s="21">
        <f>SUM(K620:AE620)</f>
        <v>3.6569664389473358E-2</v>
      </c>
      <c r="H620" s="5"/>
      <c r="I620" s="21">
        <f t="shared" ref="I620" si="503">I155*I596*I$104</f>
        <v>0</v>
      </c>
      <c r="J620" s="21">
        <f t="shared" ref="J620" si="504">J155*J596*J$104</f>
        <v>0</v>
      </c>
      <c r="K620" s="21">
        <f t="shared" ref="K620:V620" si="505">K155*K596*K$104</f>
        <v>0</v>
      </c>
      <c r="L620" s="21">
        <f t="shared" si="505"/>
        <v>0</v>
      </c>
      <c r="M620" s="21">
        <f t="shared" si="505"/>
        <v>0</v>
      </c>
      <c r="N620" s="21">
        <f t="shared" si="505"/>
        <v>0</v>
      </c>
      <c r="O620" s="21">
        <f t="shared" si="505"/>
        <v>0</v>
      </c>
      <c r="P620" s="21">
        <f t="shared" si="505"/>
        <v>0</v>
      </c>
      <c r="Q620" s="21">
        <f t="shared" si="505"/>
        <v>0</v>
      </c>
      <c r="R620" s="21">
        <f t="shared" si="505"/>
        <v>0</v>
      </c>
      <c r="S620" s="21">
        <f t="shared" si="505"/>
        <v>5.6261022137651315E-3</v>
      </c>
      <c r="T620" s="21">
        <f t="shared" si="505"/>
        <v>8.4391533206476972E-3</v>
      </c>
      <c r="U620" s="21">
        <f t="shared" si="505"/>
        <v>1.1252204427530263E-2</v>
      </c>
      <c r="V620" s="21">
        <f t="shared" si="505"/>
        <v>1.1252204427530263E-2</v>
      </c>
      <c r="W620" s="563"/>
      <c r="X620" s="563"/>
      <c r="Y620" s="563"/>
      <c r="Z620" s="563"/>
      <c r="AA620" s="563"/>
      <c r="AB620" s="563"/>
      <c r="AC620" s="563"/>
      <c r="AD620" s="563"/>
      <c r="AE620" s="563"/>
    </row>
    <row r="621" spans="2:31" x14ac:dyDescent="0.2">
      <c r="C621" s="5" t="str">
        <f>C156</f>
        <v>Maintenance &amp; Supplies</v>
      </c>
      <c r="D621" s="5"/>
      <c r="F621" s="1" t="s">
        <v>55</v>
      </c>
      <c r="G621" s="21">
        <f>SUM(K621:AE621)</f>
        <v>0.118829</v>
      </c>
      <c r="H621" s="5"/>
      <c r="I621" s="21">
        <f>I156*(I$97&gt;0)</f>
        <v>0</v>
      </c>
      <c r="J621" s="21">
        <f t="shared" ref="J621:V621" si="506">J156*(J$97&gt;0)</f>
        <v>0</v>
      </c>
      <c r="K621" s="21">
        <f t="shared" si="506"/>
        <v>0</v>
      </c>
      <c r="L621" s="21">
        <f t="shared" si="506"/>
        <v>0</v>
      </c>
      <c r="M621" s="21">
        <f t="shared" si="506"/>
        <v>0</v>
      </c>
      <c r="N621" s="21">
        <f t="shared" si="506"/>
        <v>0</v>
      </c>
      <c r="O621" s="21">
        <f t="shared" si="506"/>
        <v>0</v>
      </c>
      <c r="P621" s="21">
        <f t="shared" si="506"/>
        <v>0</v>
      </c>
      <c r="Q621" s="21">
        <f t="shared" si="506"/>
        <v>0</v>
      </c>
      <c r="R621" s="21">
        <f t="shared" si="506"/>
        <v>0</v>
      </c>
      <c r="S621" s="21">
        <f t="shared" si="506"/>
        <v>2.9707250000000001E-2</v>
      </c>
      <c r="T621" s="21">
        <f t="shared" si="506"/>
        <v>2.9707250000000001E-2</v>
      </c>
      <c r="U621" s="21">
        <f t="shared" si="506"/>
        <v>2.9707250000000001E-2</v>
      </c>
      <c r="V621" s="21">
        <f t="shared" si="506"/>
        <v>2.9707250000000001E-2</v>
      </c>
      <c r="W621" s="563"/>
      <c r="X621" s="563"/>
      <c r="Y621" s="563"/>
      <c r="Z621" s="563"/>
      <c r="AA621" s="563"/>
      <c r="AB621" s="563"/>
      <c r="AC621" s="563"/>
      <c r="AD621" s="563"/>
      <c r="AE621" s="563"/>
    </row>
    <row r="622" spans="2:31" x14ac:dyDescent="0.2">
      <c r="C622" s="20" t="s">
        <v>45</v>
      </c>
      <c r="D622" s="5"/>
      <c r="F622" s="9" t="s">
        <v>55</v>
      </c>
      <c r="G622" s="44">
        <f>SUM(K622:AE622)</f>
        <v>0.15539866438947336</v>
      </c>
      <c r="H622" s="5"/>
      <c r="I622" s="44">
        <f t="shared" ref="I622" si="507">SUM(I620:I621)</f>
        <v>0</v>
      </c>
      <c r="J622" s="44">
        <f t="shared" ref="J622" si="508">SUM(J620:J621)</f>
        <v>0</v>
      </c>
      <c r="K622" s="44">
        <f t="shared" ref="K622:V622" si="509">SUM(K620:K621)</f>
        <v>0</v>
      </c>
      <c r="L622" s="44">
        <f t="shared" si="509"/>
        <v>0</v>
      </c>
      <c r="M622" s="44">
        <f t="shared" si="509"/>
        <v>0</v>
      </c>
      <c r="N622" s="44">
        <f t="shared" si="509"/>
        <v>0</v>
      </c>
      <c r="O622" s="44">
        <f t="shared" si="509"/>
        <v>0</v>
      </c>
      <c r="P622" s="44">
        <f t="shared" si="509"/>
        <v>0</v>
      </c>
      <c r="Q622" s="44">
        <f t="shared" si="509"/>
        <v>0</v>
      </c>
      <c r="R622" s="44">
        <f t="shared" si="509"/>
        <v>0</v>
      </c>
      <c r="S622" s="44">
        <f t="shared" si="509"/>
        <v>3.5333352213765129E-2</v>
      </c>
      <c r="T622" s="44">
        <f t="shared" si="509"/>
        <v>3.8146403320647698E-2</v>
      </c>
      <c r="U622" s="44">
        <f t="shared" si="509"/>
        <v>4.0959454427530267E-2</v>
      </c>
      <c r="V622" s="44">
        <f t="shared" si="509"/>
        <v>4.0959454427530267E-2</v>
      </c>
      <c r="W622" s="580"/>
      <c r="X622" s="580"/>
      <c r="Y622" s="580"/>
      <c r="Z622" s="580"/>
      <c r="AA622" s="580"/>
      <c r="AB622" s="580"/>
      <c r="AC622" s="580"/>
      <c r="AD622" s="580"/>
      <c r="AE622" s="580"/>
    </row>
    <row r="623" spans="2:31" x14ac:dyDescent="0.2">
      <c r="C623" s="5"/>
      <c r="D623" s="5"/>
      <c r="H623" s="5"/>
    </row>
    <row r="624" spans="2:31" x14ac:dyDescent="0.2">
      <c r="B624" s="24">
        <f>B618+0.01</f>
        <v>3.63</v>
      </c>
      <c r="C624" s="20" t="str">
        <f>C158</f>
        <v>Shaft Furnace</v>
      </c>
      <c r="D624" s="5"/>
      <c r="H624" s="5"/>
    </row>
    <row r="625" spans="2:36" x14ac:dyDescent="0.2">
      <c r="C625" s="5"/>
      <c r="D625" s="5"/>
      <c r="H625" s="5"/>
    </row>
    <row r="626" spans="2:36" x14ac:dyDescent="0.2">
      <c r="C626" s="5" t="str">
        <f>C160</f>
        <v>Natural Gas</v>
      </c>
      <c r="D626" s="5"/>
      <c r="F626" s="1" t="s">
        <v>55</v>
      </c>
      <c r="G626" s="21">
        <f>SUM(K626:AE626)</f>
        <v>13.908837910599393</v>
      </c>
      <c r="H626" s="5"/>
      <c r="I626" s="21">
        <f t="shared" ref="I626" si="510">I160*I599*I$104</f>
        <v>0</v>
      </c>
      <c r="J626" s="21">
        <f t="shared" ref="J626" si="511">J160*J599*J$104</f>
        <v>0</v>
      </c>
      <c r="K626" s="21">
        <f t="shared" ref="K626:V626" si="512">K160*K599*K$104</f>
        <v>0</v>
      </c>
      <c r="L626" s="21">
        <f t="shared" si="512"/>
        <v>0</v>
      </c>
      <c r="M626" s="21">
        <f t="shared" si="512"/>
        <v>0</v>
      </c>
      <c r="N626" s="21">
        <f t="shared" si="512"/>
        <v>0</v>
      </c>
      <c r="O626" s="21">
        <f t="shared" si="512"/>
        <v>0</v>
      </c>
      <c r="P626" s="21">
        <f t="shared" si="512"/>
        <v>0</v>
      </c>
      <c r="Q626" s="21">
        <f t="shared" si="512"/>
        <v>0</v>
      </c>
      <c r="R626" s="21">
        <f t="shared" si="512"/>
        <v>0</v>
      </c>
      <c r="S626" s="21">
        <f t="shared" si="512"/>
        <v>2.1742994281397183</v>
      </c>
      <c r="T626" s="21">
        <f t="shared" si="512"/>
        <v>3.2614491422095773</v>
      </c>
      <c r="U626" s="21">
        <f t="shared" si="512"/>
        <v>4.3485988562794367</v>
      </c>
      <c r="V626" s="21">
        <f t="shared" si="512"/>
        <v>4.1244904839706624</v>
      </c>
      <c r="W626" s="563"/>
      <c r="X626" s="563"/>
      <c r="Y626" s="563"/>
      <c r="Z626" s="563"/>
      <c r="AA626" s="563"/>
      <c r="AB626" s="563"/>
      <c r="AC626" s="563"/>
      <c r="AD626" s="563"/>
      <c r="AE626" s="563"/>
    </row>
    <row r="627" spans="2:36" x14ac:dyDescent="0.2">
      <c r="C627" s="5" t="str">
        <f>C161</f>
        <v>Electricity</v>
      </c>
      <c r="D627" s="5"/>
      <c r="F627" s="1" t="s">
        <v>55</v>
      </c>
      <c r="G627" s="21">
        <f>SUM(K627:AE627)</f>
        <v>0.82075151577931105</v>
      </c>
      <c r="H627" s="5"/>
      <c r="I627" s="21">
        <f t="shared" ref="I627" si="513">I161*I596*I$104</f>
        <v>0</v>
      </c>
      <c r="J627" s="21">
        <f t="shared" ref="J627" si="514">J161*J596*J$104</f>
        <v>0</v>
      </c>
      <c r="K627" s="21">
        <f t="shared" ref="K627:V627" si="515">K161*K596*K$104</f>
        <v>0</v>
      </c>
      <c r="L627" s="21">
        <f t="shared" si="515"/>
        <v>0</v>
      </c>
      <c r="M627" s="21">
        <f t="shared" si="515"/>
        <v>0</v>
      </c>
      <c r="N627" s="21">
        <f t="shared" si="515"/>
        <v>0</v>
      </c>
      <c r="O627" s="21">
        <f t="shared" si="515"/>
        <v>0</v>
      </c>
      <c r="P627" s="21">
        <f t="shared" si="515"/>
        <v>0</v>
      </c>
      <c r="Q627" s="21">
        <f t="shared" si="515"/>
        <v>0</v>
      </c>
      <c r="R627" s="21">
        <f t="shared" si="515"/>
        <v>0</v>
      </c>
      <c r="S627" s="21">
        <f t="shared" si="515"/>
        <v>0.12626946396604785</v>
      </c>
      <c r="T627" s="21">
        <f t="shared" si="515"/>
        <v>0.18940419594907179</v>
      </c>
      <c r="U627" s="21">
        <f t="shared" si="515"/>
        <v>0.2525389279320957</v>
      </c>
      <c r="V627" s="21">
        <f t="shared" si="515"/>
        <v>0.2525389279320957</v>
      </c>
      <c r="W627" s="563"/>
      <c r="X627" s="563"/>
      <c r="Y627" s="563"/>
      <c r="Z627" s="563"/>
      <c r="AA627" s="563"/>
      <c r="AB627" s="563"/>
      <c r="AC627" s="563"/>
      <c r="AD627" s="563"/>
      <c r="AE627" s="563"/>
    </row>
    <row r="628" spans="2:36" x14ac:dyDescent="0.2">
      <c r="C628" s="5" t="str">
        <f>C162</f>
        <v>Maintenance</v>
      </c>
      <c r="D628" s="5"/>
      <c r="F628" s="1" t="s">
        <v>55</v>
      </c>
      <c r="G628" s="21">
        <f>SUM(K628:AE628)</f>
        <v>1.3443879999999999</v>
      </c>
      <c r="H628" s="5"/>
      <c r="I628" s="21">
        <f>I162*(I$97&gt;0)</f>
        <v>0</v>
      </c>
      <c r="J628" s="21">
        <f t="shared" ref="J628:V628" si="516">J162*(J$97&gt;0)</f>
        <v>0</v>
      </c>
      <c r="K628" s="21">
        <f t="shared" si="516"/>
        <v>0</v>
      </c>
      <c r="L628" s="21">
        <f t="shared" si="516"/>
        <v>0</v>
      </c>
      <c r="M628" s="21">
        <f t="shared" si="516"/>
        <v>0</v>
      </c>
      <c r="N628" s="21">
        <f t="shared" si="516"/>
        <v>0</v>
      </c>
      <c r="O628" s="21">
        <f t="shared" si="516"/>
        <v>0</v>
      </c>
      <c r="P628" s="21">
        <f t="shared" si="516"/>
        <v>0</v>
      </c>
      <c r="Q628" s="21">
        <f t="shared" si="516"/>
        <v>0</v>
      </c>
      <c r="R628" s="21">
        <f t="shared" si="516"/>
        <v>0</v>
      </c>
      <c r="S628" s="21">
        <f t="shared" si="516"/>
        <v>0.33609699999999998</v>
      </c>
      <c r="T628" s="21">
        <f t="shared" si="516"/>
        <v>0.33609699999999998</v>
      </c>
      <c r="U628" s="21">
        <f t="shared" si="516"/>
        <v>0.33609699999999998</v>
      </c>
      <c r="V628" s="21">
        <f t="shared" si="516"/>
        <v>0.33609699999999998</v>
      </c>
      <c r="W628" s="563"/>
      <c r="X628" s="563"/>
      <c r="Y628" s="563"/>
      <c r="Z628" s="563"/>
      <c r="AA628" s="563"/>
      <c r="AB628" s="563"/>
      <c r="AC628" s="563"/>
      <c r="AD628" s="563"/>
      <c r="AE628" s="563"/>
    </row>
    <row r="629" spans="2:36" x14ac:dyDescent="0.2">
      <c r="C629" s="5" t="str">
        <f>C163</f>
        <v>O2, N2, H2O, others</v>
      </c>
      <c r="D629" s="5"/>
      <c r="F629" s="1" t="s">
        <v>55</v>
      </c>
      <c r="G629" s="21">
        <f>SUM(K629:AE629)</f>
        <v>1.7794145281249998</v>
      </c>
      <c r="H629" s="5"/>
      <c r="I629" s="21">
        <f t="shared" ref="I629" si="517">I163*I104</f>
        <v>0</v>
      </c>
      <c r="J629" s="21">
        <f t="shared" ref="J629" si="518">J163*J104</f>
        <v>0</v>
      </c>
      <c r="K629" s="21">
        <f t="shared" ref="K629:V629" si="519">K163*K104</f>
        <v>0</v>
      </c>
      <c r="L629" s="21">
        <f t="shared" si="519"/>
        <v>0</v>
      </c>
      <c r="M629" s="21">
        <f t="shared" si="519"/>
        <v>0</v>
      </c>
      <c r="N629" s="21">
        <f t="shared" si="519"/>
        <v>0</v>
      </c>
      <c r="O629" s="21">
        <f t="shared" si="519"/>
        <v>0</v>
      </c>
      <c r="P629" s="21">
        <f t="shared" si="519"/>
        <v>0</v>
      </c>
      <c r="Q629" s="21">
        <f t="shared" si="519"/>
        <v>0</v>
      </c>
      <c r="R629" s="21">
        <f t="shared" si="519"/>
        <v>0</v>
      </c>
      <c r="S629" s="21">
        <f t="shared" si="519"/>
        <v>0.27375608124999995</v>
      </c>
      <c r="T629" s="21">
        <f t="shared" si="519"/>
        <v>0.41063412187499998</v>
      </c>
      <c r="U629" s="21">
        <f t="shared" si="519"/>
        <v>0.5475121624999999</v>
      </c>
      <c r="V629" s="21">
        <f t="shared" si="519"/>
        <v>0.5475121624999999</v>
      </c>
      <c r="W629" s="563"/>
      <c r="X629" s="563"/>
      <c r="Y629" s="563"/>
      <c r="Z629" s="563"/>
      <c r="AA629" s="563"/>
      <c r="AB629" s="563"/>
      <c r="AC629" s="563"/>
      <c r="AD629" s="563"/>
      <c r="AE629" s="563"/>
    </row>
    <row r="630" spans="2:36" x14ac:dyDescent="0.2">
      <c r="C630" s="20" t="s">
        <v>45</v>
      </c>
      <c r="D630" s="5"/>
      <c r="F630" s="9" t="s">
        <v>55</v>
      </c>
      <c r="G630" s="44">
        <f>SUM(K630:AE630)</f>
        <v>17.853391954503707</v>
      </c>
      <c r="H630" s="5"/>
      <c r="I630" s="44">
        <f t="shared" ref="I630" si="520">SUM(I626:I629)</f>
        <v>0</v>
      </c>
      <c r="J630" s="44">
        <f t="shared" ref="J630" si="521">SUM(J626:J629)</f>
        <v>0</v>
      </c>
      <c r="K630" s="44">
        <f t="shared" ref="K630:V630" si="522">SUM(K626:K629)</f>
        <v>0</v>
      </c>
      <c r="L630" s="44">
        <f t="shared" si="522"/>
        <v>0</v>
      </c>
      <c r="M630" s="44">
        <f t="shared" si="522"/>
        <v>0</v>
      </c>
      <c r="N630" s="44">
        <f t="shared" si="522"/>
        <v>0</v>
      </c>
      <c r="O630" s="44">
        <f t="shared" si="522"/>
        <v>0</v>
      </c>
      <c r="P630" s="44">
        <f t="shared" si="522"/>
        <v>0</v>
      </c>
      <c r="Q630" s="44">
        <f t="shared" si="522"/>
        <v>0</v>
      </c>
      <c r="R630" s="44">
        <f t="shared" si="522"/>
        <v>0</v>
      </c>
      <c r="S630" s="44">
        <f t="shared" si="522"/>
        <v>2.9104219733557661</v>
      </c>
      <c r="T630" s="44">
        <f t="shared" si="522"/>
        <v>4.1975844600336494</v>
      </c>
      <c r="U630" s="44">
        <f t="shared" si="522"/>
        <v>5.4847469467115317</v>
      </c>
      <c r="V630" s="44">
        <f t="shared" si="522"/>
        <v>5.2606385744027584</v>
      </c>
      <c r="W630" s="580"/>
      <c r="X630" s="580"/>
      <c r="Y630" s="580"/>
      <c r="Z630" s="580"/>
      <c r="AA630" s="580"/>
      <c r="AB630" s="580"/>
      <c r="AC630" s="580"/>
      <c r="AD630" s="580"/>
      <c r="AE630" s="580"/>
    </row>
    <row r="631" spans="2:36" x14ac:dyDescent="0.2">
      <c r="C631" s="5"/>
      <c r="D631" s="5"/>
      <c r="H631" s="5"/>
    </row>
    <row r="632" spans="2:36" x14ac:dyDescent="0.2">
      <c r="B632" s="24">
        <f>B624+0.01</f>
        <v>3.6399999999999997</v>
      </c>
      <c r="C632" s="20" t="str">
        <f>C165</f>
        <v>EAF</v>
      </c>
      <c r="D632" s="5"/>
      <c r="H632" s="5"/>
    </row>
    <row r="633" spans="2:36" x14ac:dyDescent="0.2">
      <c r="C633" s="5"/>
      <c r="D633" s="5"/>
      <c r="H633" s="5"/>
    </row>
    <row r="634" spans="2:36" x14ac:dyDescent="0.2">
      <c r="C634" s="5" t="str">
        <f t="shared" ref="C634:C643" si="523">C167</f>
        <v>Electrodes</v>
      </c>
      <c r="D634" s="5"/>
      <c r="F634" s="1" t="s">
        <v>55</v>
      </c>
      <c r="G634" s="21">
        <f t="shared" ref="G634:G644" si="524">SUM(K634:AE634)</f>
        <v>8.4566234999999992</v>
      </c>
      <c r="H634" s="5"/>
      <c r="I634" s="21">
        <f t="shared" ref="I634" si="525">I167*I603*I$104</f>
        <v>0</v>
      </c>
      <c r="J634" s="21">
        <f t="shared" ref="J634" si="526">J167*J603*J$104</f>
        <v>0</v>
      </c>
      <c r="K634" s="21">
        <f t="shared" ref="K634:V634" si="527">K167*K603*K$104</f>
        <v>0</v>
      </c>
      <c r="L634" s="21">
        <f t="shared" si="527"/>
        <v>0</v>
      </c>
      <c r="M634" s="21">
        <f t="shared" si="527"/>
        <v>0</v>
      </c>
      <c r="N634" s="21">
        <f t="shared" si="527"/>
        <v>0</v>
      </c>
      <c r="O634" s="21">
        <f t="shared" si="527"/>
        <v>0</v>
      </c>
      <c r="P634" s="21">
        <f t="shared" si="527"/>
        <v>0</v>
      </c>
      <c r="Q634" s="21">
        <f t="shared" si="527"/>
        <v>0</v>
      </c>
      <c r="R634" s="21">
        <f t="shared" si="527"/>
        <v>0</v>
      </c>
      <c r="S634" s="21">
        <f t="shared" si="527"/>
        <v>1.3010189999999999</v>
      </c>
      <c r="T634" s="21">
        <f t="shared" si="527"/>
        <v>1.9515284999999998</v>
      </c>
      <c r="U634" s="21">
        <f t="shared" si="527"/>
        <v>2.6020379999999999</v>
      </c>
      <c r="V634" s="21">
        <f t="shared" si="527"/>
        <v>2.6020379999999999</v>
      </c>
      <c r="W634" s="563"/>
      <c r="X634" s="563"/>
      <c r="Y634" s="563"/>
      <c r="Z634" s="563"/>
      <c r="AA634" s="563"/>
      <c r="AB634" s="563"/>
      <c r="AC634" s="563"/>
      <c r="AD634" s="563"/>
      <c r="AE634" s="563"/>
    </row>
    <row r="635" spans="2:36" s="5" customFormat="1" x14ac:dyDescent="0.2">
      <c r="C635" s="5" t="str">
        <f t="shared" si="523"/>
        <v>Refractories (casting)</v>
      </c>
      <c r="F635" s="5" t="s">
        <v>55</v>
      </c>
      <c r="G635" s="52">
        <f>SUM(K635:AE635)</f>
        <v>0.39617737763711253</v>
      </c>
      <c r="I635" s="52">
        <f t="shared" ref="I635" si="528">I168*I104*$E$606</f>
        <v>0</v>
      </c>
      <c r="J635" s="52">
        <f t="shared" ref="J635" si="529">J168*J104*$E$606</f>
        <v>0</v>
      </c>
      <c r="K635" s="52">
        <f t="shared" ref="K635:V635" si="530">K168*K104*$E$606</f>
        <v>0</v>
      </c>
      <c r="L635" s="52">
        <f t="shared" si="530"/>
        <v>0</v>
      </c>
      <c r="M635" s="52">
        <f t="shared" si="530"/>
        <v>0</v>
      </c>
      <c r="N635" s="52">
        <f t="shared" si="530"/>
        <v>0</v>
      </c>
      <c r="O635" s="52">
        <f t="shared" si="530"/>
        <v>0</v>
      </c>
      <c r="P635" s="52">
        <f t="shared" si="530"/>
        <v>0</v>
      </c>
      <c r="Q635" s="52">
        <f t="shared" si="530"/>
        <v>0</v>
      </c>
      <c r="R635" s="52">
        <f t="shared" si="530"/>
        <v>0</v>
      </c>
      <c r="S635" s="52">
        <f t="shared" si="530"/>
        <v>6.0950365790324999E-2</v>
      </c>
      <c r="T635" s="52">
        <f t="shared" si="530"/>
        <v>9.1425548685487495E-2</v>
      </c>
      <c r="U635" s="52">
        <f t="shared" si="530"/>
        <v>0.12190073158065</v>
      </c>
      <c r="V635" s="52">
        <f t="shared" si="530"/>
        <v>0.12190073158065</v>
      </c>
      <c r="W635" s="563"/>
      <c r="X635" s="563"/>
      <c r="Y635" s="563"/>
      <c r="Z635" s="563"/>
      <c r="AA635" s="563"/>
      <c r="AB635" s="563"/>
      <c r="AC635" s="563"/>
      <c r="AD635" s="563"/>
      <c r="AE635" s="563"/>
      <c r="AF635" s="67"/>
      <c r="AG635" s="67"/>
      <c r="AH635" s="67"/>
      <c r="AI635" s="67"/>
      <c r="AJ635" s="67"/>
    </row>
    <row r="636" spans="2:36" x14ac:dyDescent="0.2">
      <c r="C636" s="5" t="str">
        <f t="shared" si="523"/>
        <v>Refractories (EAF)</v>
      </c>
      <c r="D636" s="5"/>
      <c r="F636" s="1" t="s">
        <v>55</v>
      </c>
      <c r="G636" s="21">
        <f>SUM(K636:AE636)</f>
        <v>2.3304551625712495</v>
      </c>
      <c r="H636" s="5"/>
      <c r="I636" s="21">
        <f t="shared" ref="I636" si="531">I169*I604*I$104</f>
        <v>0</v>
      </c>
      <c r="J636" s="21">
        <f t="shared" ref="J636" si="532">J169*J604*J$104</f>
        <v>0</v>
      </c>
      <c r="K636" s="21">
        <f t="shared" ref="K636:V637" si="533">K169*K604*K$104</f>
        <v>0</v>
      </c>
      <c r="L636" s="21">
        <f t="shared" si="533"/>
        <v>0</v>
      </c>
      <c r="M636" s="21">
        <f t="shared" si="533"/>
        <v>0</v>
      </c>
      <c r="N636" s="21">
        <f t="shared" si="533"/>
        <v>0</v>
      </c>
      <c r="O636" s="21">
        <f t="shared" si="533"/>
        <v>0</v>
      </c>
      <c r="P636" s="21">
        <f t="shared" si="533"/>
        <v>0</v>
      </c>
      <c r="Q636" s="21">
        <f t="shared" si="533"/>
        <v>0</v>
      </c>
      <c r="R636" s="21">
        <f t="shared" si="533"/>
        <v>0</v>
      </c>
      <c r="S636" s="21">
        <f t="shared" si="533"/>
        <v>0.35853156347249993</v>
      </c>
      <c r="T636" s="21">
        <f t="shared" si="533"/>
        <v>0.53779734520874989</v>
      </c>
      <c r="U636" s="21">
        <f t="shared" si="533"/>
        <v>0.71706312694499985</v>
      </c>
      <c r="V636" s="21">
        <f t="shared" si="533"/>
        <v>0.71706312694499985</v>
      </c>
      <c r="W636" s="563"/>
      <c r="X636" s="563"/>
      <c r="Y636" s="563"/>
      <c r="Z636" s="563"/>
      <c r="AA636" s="563"/>
      <c r="AB636" s="563"/>
      <c r="AC636" s="563"/>
      <c r="AD636" s="563"/>
      <c r="AE636" s="563"/>
    </row>
    <row r="637" spans="2:36" x14ac:dyDescent="0.2">
      <c r="C637" s="5" t="str">
        <f t="shared" si="523"/>
        <v>Refractories (ladles)</v>
      </c>
      <c r="D637" s="5"/>
      <c r="F637" s="1" t="s">
        <v>55</v>
      </c>
      <c r="G637" s="21">
        <f>SUM(K637:AE637)</f>
        <v>0.79235475527422505</v>
      </c>
      <c r="H637" s="5"/>
      <c r="I637" s="21">
        <f t="shared" ref="I637" si="534">I170*I605*I$104</f>
        <v>0</v>
      </c>
      <c r="J637" s="21">
        <f t="shared" ref="J637" si="535">J170*J605*J$104</f>
        <v>0</v>
      </c>
      <c r="K637" s="21">
        <f t="shared" si="533"/>
        <v>0</v>
      </c>
      <c r="L637" s="21">
        <f t="shared" si="533"/>
        <v>0</v>
      </c>
      <c r="M637" s="21">
        <f t="shared" si="533"/>
        <v>0</v>
      </c>
      <c r="N637" s="21">
        <f t="shared" si="533"/>
        <v>0</v>
      </c>
      <c r="O637" s="21">
        <f t="shared" si="533"/>
        <v>0</v>
      </c>
      <c r="P637" s="21">
        <f t="shared" si="533"/>
        <v>0</v>
      </c>
      <c r="Q637" s="21">
        <f t="shared" si="533"/>
        <v>0</v>
      </c>
      <c r="R637" s="21">
        <f t="shared" si="533"/>
        <v>0</v>
      </c>
      <c r="S637" s="21">
        <f t="shared" si="533"/>
        <v>0.12190073158065</v>
      </c>
      <c r="T637" s="21">
        <f t="shared" si="533"/>
        <v>0.18285109737097499</v>
      </c>
      <c r="U637" s="21">
        <f t="shared" si="533"/>
        <v>0.2438014631613</v>
      </c>
      <c r="V637" s="21">
        <f t="shared" si="533"/>
        <v>0.2438014631613</v>
      </c>
      <c r="W637" s="563"/>
      <c r="X637" s="563"/>
      <c r="Y637" s="563"/>
      <c r="Z637" s="563"/>
      <c r="AA637" s="563"/>
      <c r="AB637" s="563"/>
      <c r="AC637" s="563"/>
      <c r="AD637" s="563"/>
      <c r="AE637" s="563"/>
    </row>
    <row r="638" spans="2:36" x14ac:dyDescent="0.2">
      <c r="C638" s="5" t="str">
        <f t="shared" si="523"/>
        <v>Mold spray coating</v>
      </c>
      <c r="D638" s="5"/>
      <c r="F638" s="1" t="s">
        <v>55</v>
      </c>
      <c r="G638" s="21">
        <f>SUM(K638:AE638)</f>
        <v>7.3689999999999997E-3</v>
      </c>
      <c r="H638" s="5"/>
      <c r="I638" s="21">
        <f>I171*(I$97&gt;0)</f>
        <v>0</v>
      </c>
      <c r="J638" s="21">
        <f t="shared" ref="J638:V638" si="536">J171*(J$97&gt;0)</f>
        <v>0</v>
      </c>
      <c r="K638" s="21">
        <f t="shared" si="536"/>
        <v>0</v>
      </c>
      <c r="L638" s="21">
        <f t="shared" si="536"/>
        <v>0</v>
      </c>
      <c r="M638" s="21">
        <f t="shared" si="536"/>
        <v>0</v>
      </c>
      <c r="N638" s="21">
        <f t="shared" si="536"/>
        <v>0</v>
      </c>
      <c r="O638" s="21">
        <f t="shared" si="536"/>
        <v>0</v>
      </c>
      <c r="P638" s="21">
        <f t="shared" si="536"/>
        <v>0</v>
      </c>
      <c r="Q638" s="21">
        <f t="shared" si="536"/>
        <v>0</v>
      </c>
      <c r="R638" s="21">
        <f t="shared" si="536"/>
        <v>0</v>
      </c>
      <c r="S638" s="21">
        <f t="shared" si="536"/>
        <v>1.8422499999999999E-3</v>
      </c>
      <c r="T638" s="21">
        <f t="shared" si="536"/>
        <v>1.8422499999999999E-3</v>
      </c>
      <c r="U638" s="21">
        <f t="shared" si="536"/>
        <v>1.8422499999999999E-3</v>
      </c>
      <c r="V638" s="21">
        <f t="shared" si="536"/>
        <v>1.8422499999999999E-3</v>
      </c>
      <c r="W638" s="563"/>
      <c r="X638" s="563"/>
      <c r="Y638" s="563"/>
      <c r="Z638" s="563"/>
      <c r="AA638" s="563"/>
      <c r="AB638" s="563"/>
      <c r="AC638" s="563"/>
      <c r="AD638" s="563"/>
      <c r="AE638" s="563"/>
    </row>
    <row r="639" spans="2:36" x14ac:dyDescent="0.2">
      <c r="C639" s="5" t="str">
        <f t="shared" si="523"/>
        <v>Electricity operations</v>
      </c>
      <c r="D639" s="5"/>
      <c r="F639" s="1" t="s">
        <v>55</v>
      </c>
      <c r="G639" s="21">
        <f t="shared" si="524"/>
        <v>4.9819716077425412E-3</v>
      </c>
      <c r="H639" s="5"/>
      <c r="I639" s="21">
        <f t="shared" ref="I639" si="537">I172*I596*I$104</f>
        <v>0</v>
      </c>
      <c r="J639" s="21">
        <f t="shared" ref="J639" si="538">J172*J596*J$104</f>
        <v>0</v>
      </c>
      <c r="K639" s="21">
        <f t="shared" ref="K639:V639" si="539">K172*K596*K$104</f>
        <v>0</v>
      </c>
      <c r="L639" s="21">
        <f t="shared" si="539"/>
        <v>0</v>
      </c>
      <c r="M639" s="21">
        <f t="shared" si="539"/>
        <v>0</v>
      </c>
      <c r="N639" s="21">
        <f t="shared" si="539"/>
        <v>0</v>
      </c>
      <c r="O639" s="21">
        <f t="shared" si="539"/>
        <v>0</v>
      </c>
      <c r="P639" s="21">
        <f t="shared" si="539"/>
        <v>0</v>
      </c>
      <c r="Q639" s="21">
        <f t="shared" si="539"/>
        <v>0</v>
      </c>
      <c r="R639" s="21">
        <f t="shared" si="539"/>
        <v>0</v>
      </c>
      <c r="S639" s="21">
        <f t="shared" si="539"/>
        <v>7.664571704219294E-4</v>
      </c>
      <c r="T639" s="21">
        <f t="shared" si="539"/>
        <v>1.149685755632894E-3</v>
      </c>
      <c r="U639" s="21">
        <f t="shared" si="539"/>
        <v>1.5329143408438588E-3</v>
      </c>
      <c r="V639" s="21">
        <f t="shared" si="539"/>
        <v>1.5329143408438588E-3</v>
      </c>
      <c r="W639" s="563"/>
      <c r="X639" s="563"/>
      <c r="Y639" s="563"/>
      <c r="Z639" s="563"/>
      <c r="AA639" s="563"/>
      <c r="AB639" s="563"/>
      <c r="AC639" s="563"/>
      <c r="AD639" s="563"/>
      <c r="AE639" s="563"/>
    </row>
    <row r="640" spans="2:36" x14ac:dyDescent="0.2">
      <c r="C640" s="5" t="str">
        <f t="shared" si="523"/>
        <v>Electricity conversion</v>
      </c>
      <c r="D640" s="5"/>
      <c r="F640" s="1" t="s">
        <v>55</v>
      </c>
      <c r="G640" s="21">
        <f t="shared" si="524"/>
        <v>4.6583987079630003</v>
      </c>
      <c r="H640" s="5"/>
      <c r="I640" s="21">
        <f t="shared" ref="I640" si="540">I173*I596*I$104</f>
        <v>0</v>
      </c>
      <c r="J640" s="21">
        <f t="shared" ref="J640" si="541">J173*J596*J$104</f>
        <v>0</v>
      </c>
      <c r="K640" s="21">
        <f t="shared" ref="K640:V640" si="542">K173*K596*K$104</f>
        <v>0</v>
      </c>
      <c r="L640" s="21">
        <f t="shared" si="542"/>
        <v>0</v>
      </c>
      <c r="M640" s="21">
        <f t="shared" si="542"/>
        <v>0</v>
      </c>
      <c r="N640" s="21">
        <f t="shared" si="542"/>
        <v>0</v>
      </c>
      <c r="O640" s="21">
        <f t="shared" si="542"/>
        <v>0</v>
      </c>
      <c r="P640" s="21">
        <f t="shared" si="542"/>
        <v>0</v>
      </c>
      <c r="Q640" s="21">
        <f t="shared" si="542"/>
        <v>0</v>
      </c>
      <c r="R640" s="21">
        <f t="shared" si="542"/>
        <v>0</v>
      </c>
      <c r="S640" s="21">
        <f t="shared" si="542"/>
        <v>0.71667672430200002</v>
      </c>
      <c r="T640" s="21">
        <f t="shared" si="542"/>
        <v>1.0750150864530001</v>
      </c>
      <c r="U640" s="21">
        <f t="shared" si="542"/>
        <v>1.433353448604</v>
      </c>
      <c r="V640" s="21">
        <f t="shared" si="542"/>
        <v>1.433353448604</v>
      </c>
      <c r="W640" s="563"/>
      <c r="X640" s="563"/>
      <c r="Y640" s="563"/>
      <c r="Z640" s="563"/>
      <c r="AA640" s="563"/>
      <c r="AB640" s="563"/>
      <c r="AC640" s="563"/>
      <c r="AD640" s="563"/>
      <c r="AE640" s="563"/>
    </row>
    <row r="641" spans="2:31" x14ac:dyDescent="0.2">
      <c r="C641" s="5" t="str">
        <f t="shared" si="523"/>
        <v>Slag processing</v>
      </c>
      <c r="D641" s="5"/>
      <c r="F641" s="1" t="s">
        <v>55</v>
      </c>
      <c r="G641" s="21">
        <f t="shared" si="524"/>
        <v>1.1187625391027647</v>
      </c>
      <c r="H641" s="5"/>
      <c r="I641" s="21">
        <f t="shared" ref="I641" si="543">I174*I104</f>
        <v>0</v>
      </c>
      <c r="J641" s="21">
        <f t="shared" ref="J641" si="544">J174*J104</f>
        <v>0</v>
      </c>
      <c r="K641" s="21">
        <f t="shared" ref="K641:V641" si="545">K174*K104</f>
        <v>0</v>
      </c>
      <c r="L641" s="21">
        <f t="shared" si="545"/>
        <v>0</v>
      </c>
      <c r="M641" s="21">
        <f t="shared" si="545"/>
        <v>0</v>
      </c>
      <c r="N641" s="21">
        <f t="shared" si="545"/>
        <v>0</v>
      </c>
      <c r="O641" s="21">
        <f t="shared" si="545"/>
        <v>0</v>
      </c>
      <c r="P641" s="21">
        <f t="shared" si="545"/>
        <v>0</v>
      </c>
      <c r="Q641" s="21">
        <f t="shared" si="545"/>
        <v>0</v>
      </c>
      <c r="R641" s="21">
        <f t="shared" si="545"/>
        <v>0</v>
      </c>
      <c r="S641" s="21">
        <f t="shared" si="545"/>
        <v>0.17211731370811764</v>
      </c>
      <c r="T641" s="21">
        <f t="shared" si="545"/>
        <v>0.25817597056217645</v>
      </c>
      <c r="U641" s="21">
        <f t="shared" si="545"/>
        <v>0.34423462741623528</v>
      </c>
      <c r="V641" s="21">
        <f t="shared" si="545"/>
        <v>0.34423462741623528</v>
      </c>
      <c r="W641" s="563"/>
      <c r="X641" s="563"/>
      <c r="Y641" s="563"/>
      <c r="Z641" s="563"/>
      <c r="AA641" s="563"/>
      <c r="AB641" s="563"/>
      <c r="AC641" s="563"/>
      <c r="AD641" s="563"/>
      <c r="AE641" s="563"/>
    </row>
    <row r="642" spans="2:31" x14ac:dyDescent="0.2">
      <c r="C642" s="5" t="str">
        <f t="shared" si="523"/>
        <v>Other gases and supplies</v>
      </c>
      <c r="D642" s="5"/>
      <c r="F642" s="1" t="s">
        <v>55</v>
      </c>
      <c r="G642" s="21">
        <f t="shared" si="524"/>
        <v>0.08</v>
      </c>
      <c r="H642" s="5"/>
      <c r="I642" s="21">
        <f>I175*(I$97&gt;0)</f>
        <v>0</v>
      </c>
      <c r="J642" s="21">
        <f t="shared" ref="J642:V642" si="546">J175*(J$97&gt;0)</f>
        <v>0</v>
      </c>
      <c r="K642" s="21">
        <f t="shared" si="546"/>
        <v>0</v>
      </c>
      <c r="L642" s="21">
        <f t="shared" si="546"/>
        <v>0</v>
      </c>
      <c r="M642" s="21">
        <f t="shared" si="546"/>
        <v>0</v>
      </c>
      <c r="N642" s="21">
        <f t="shared" si="546"/>
        <v>0</v>
      </c>
      <c r="O642" s="21">
        <f t="shared" si="546"/>
        <v>0</v>
      </c>
      <c r="P642" s="21">
        <f t="shared" si="546"/>
        <v>0</v>
      </c>
      <c r="Q642" s="21">
        <f t="shared" si="546"/>
        <v>0</v>
      </c>
      <c r="R642" s="21">
        <f t="shared" si="546"/>
        <v>0</v>
      </c>
      <c r="S642" s="21">
        <f t="shared" si="546"/>
        <v>0.02</v>
      </c>
      <c r="T642" s="21">
        <f t="shared" si="546"/>
        <v>0.02</v>
      </c>
      <c r="U642" s="21">
        <f t="shared" si="546"/>
        <v>0.02</v>
      </c>
      <c r="V642" s="21">
        <f t="shared" si="546"/>
        <v>0.02</v>
      </c>
      <c r="W642" s="563"/>
      <c r="X642" s="563"/>
      <c r="Y642" s="563"/>
      <c r="Z642" s="563"/>
      <c r="AA642" s="563"/>
      <c r="AB642" s="563"/>
      <c r="AC642" s="563"/>
      <c r="AD642" s="563"/>
      <c r="AE642" s="563"/>
    </row>
    <row r="643" spans="2:31" x14ac:dyDescent="0.2">
      <c r="C643" s="5" t="str">
        <f t="shared" si="523"/>
        <v>Maintenance supplies</v>
      </c>
      <c r="D643" s="5"/>
      <c r="F643" s="1" t="s">
        <v>55</v>
      </c>
      <c r="G643" s="21">
        <f t="shared" si="524"/>
        <v>0.14437800000000001</v>
      </c>
      <c r="H643" s="5"/>
      <c r="I643" s="21">
        <f>I176*(I$97&gt;0)</f>
        <v>0</v>
      </c>
      <c r="J643" s="21">
        <f t="shared" ref="J643:V643" si="547">J176*(J$97&gt;0)</f>
        <v>0</v>
      </c>
      <c r="K643" s="21">
        <f t="shared" si="547"/>
        <v>0</v>
      </c>
      <c r="L643" s="21">
        <f t="shared" si="547"/>
        <v>0</v>
      </c>
      <c r="M643" s="21">
        <f t="shared" si="547"/>
        <v>0</v>
      </c>
      <c r="N643" s="21">
        <f t="shared" si="547"/>
        <v>0</v>
      </c>
      <c r="O643" s="21">
        <f t="shared" si="547"/>
        <v>0</v>
      </c>
      <c r="P643" s="21">
        <f t="shared" si="547"/>
        <v>0</v>
      </c>
      <c r="Q643" s="21">
        <f t="shared" si="547"/>
        <v>0</v>
      </c>
      <c r="R643" s="21">
        <f t="shared" si="547"/>
        <v>0</v>
      </c>
      <c r="S643" s="21">
        <f t="shared" si="547"/>
        <v>3.6094500000000002E-2</v>
      </c>
      <c r="T643" s="21">
        <f t="shared" si="547"/>
        <v>3.6094500000000002E-2</v>
      </c>
      <c r="U643" s="21">
        <f t="shared" si="547"/>
        <v>3.6094500000000002E-2</v>
      </c>
      <c r="V643" s="21">
        <f t="shared" si="547"/>
        <v>3.6094500000000002E-2</v>
      </c>
      <c r="W643" s="563"/>
      <c r="X643" s="563"/>
      <c r="Y643" s="563"/>
      <c r="Z643" s="563"/>
      <c r="AA643" s="563"/>
      <c r="AB643" s="563"/>
      <c r="AC643" s="563"/>
      <c r="AD643" s="563"/>
      <c r="AE643" s="563"/>
    </row>
    <row r="644" spans="2:31" x14ac:dyDescent="0.2">
      <c r="C644" s="20" t="s">
        <v>45</v>
      </c>
      <c r="D644" s="5"/>
      <c r="F644" s="9" t="s">
        <v>55</v>
      </c>
      <c r="G644" s="44">
        <f t="shared" si="524"/>
        <v>17.989501014156094</v>
      </c>
      <c r="H644" s="5"/>
      <c r="I644" s="44">
        <f t="shared" ref="I644" si="548">SUM(I634:I643)</f>
        <v>0</v>
      </c>
      <c r="J644" s="44">
        <f t="shared" ref="J644" si="549">SUM(J634:J643)</f>
        <v>0</v>
      </c>
      <c r="K644" s="44">
        <f t="shared" ref="K644:V644" si="550">SUM(K634:K643)</f>
        <v>0</v>
      </c>
      <c r="L644" s="44">
        <f t="shared" si="550"/>
        <v>0</v>
      </c>
      <c r="M644" s="44">
        <f t="shared" si="550"/>
        <v>0</v>
      </c>
      <c r="N644" s="44">
        <f t="shared" si="550"/>
        <v>0</v>
      </c>
      <c r="O644" s="44">
        <f t="shared" si="550"/>
        <v>0</v>
      </c>
      <c r="P644" s="44">
        <f t="shared" si="550"/>
        <v>0</v>
      </c>
      <c r="Q644" s="44">
        <f t="shared" si="550"/>
        <v>0</v>
      </c>
      <c r="R644" s="44">
        <f t="shared" si="550"/>
        <v>0</v>
      </c>
      <c r="S644" s="44">
        <f t="shared" si="550"/>
        <v>2.7898989060240145</v>
      </c>
      <c r="T644" s="44">
        <f t="shared" si="550"/>
        <v>4.1558799840360221</v>
      </c>
      <c r="U644" s="44">
        <f t="shared" si="550"/>
        <v>5.5218610620480284</v>
      </c>
      <c r="V644" s="44">
        <f t="shared" si="550"/>
        <v>5.5218610620480284</v>
      </c>
      <c r="W644" s="580"/>
      <c r="X644" s="580"/>
      <c r="Y644" s="580"/>
      <c r="Z644" s="580"/>
      <c r="AA644" s="580"/>
      <c r="AB644" s="580"/>
      <c r="AC644" s="580"/>
      <c r="AD644" s="580"/>
      <c r="AE644" s="580"/>
    </row>
    <row r="645" spans="2:31" x14ac:dyDescent="0.2">
      <c r="C645" s="5"/>
      <c r="D645" s="5"/>
      <c r="H645" s="5"/>
    </row>
    <row r="646" spans="2:31" x14ac:dyDescent="0.2">
      <c r="B646" s="24">
        <f>B632+0.01</f>
        <v>3.6499999999999995</v>
      </c>
      <c r="C646" s="20" t="str">
        <f>C178</f>
        <v>Auxiliaries</v>
      </c>
      <c r="D646" s="5"/>
      <c r="H646" s="5"/>
    </row>
    <row r="647" spans="2:31" x14ac:dyDescent="0.2">
      <c r="C647" s="5"/>
      <c r="D647" s="5"/>
      <c r="H647" s="5"/>
    </row>
    <row r="648" spans="2:31" x14ac:dyDescent="0.2">
      <c r="C648" s="5" t="str">
        <f>C180</f>
        <v>Maintenance supplies</v>
      </c>
      <c r="D648" s="5"/>
      <c r="F648" s="1" t="s">
        <v>55</v>
      </c>
      <c r="G648" s="21">
        <f>SUM(K648:AE648)</f>
        <v>0.83100499999999999</v>
      </c>
      <c r="H648" s="5"/>
      <c r="I648" s="21">
        <f>I180*(I$97&gt;0)</f>
        <v>0</v>
      </c>
      <c r="J648" s="21">
        <f t="shared" ref="J648:V648" si="551">J180*(J$97&gt;0)</f>
        <v>0</v>
      </c>
      <c r="K648" s="21">
        <f t="shared" si="551"/>
        <v>0</v>
      </c>
      <c r="L648" s="21">
        <f t="shared" si="551"/>
        <v>0</v>
      </c>
      <c r="M648" s="21">
        <f t="shared" si="551"/>
        <v>0</v>
      </c>
      <c r="N648" s="21">
        <f t="shared" si="551"/>
        <v>0</v>
      </c>
      <c r="O648" s="21">
        <f t="shared" si="551"/>
        <v>0</v>
      </c>
      <c r="P648" s="21">
        <f t="shared" si="551"/>
        <v>0</v>
      </c>
      <c r="Q648" s="21">
        <f t="shared" si="551"/>
        <v>0</v>
      </c>
      <c r="R648" s="21">
        <f t="shared" si="551"/>
        <v>0</v>
      </c>
      <c r="S648" s="21">
        <f t="shared" si="551"/>
        <v>0.20775125</v>
      </c>
      <c r="T648" s="21">
        <f t="shared" si="551"/>
        <v>0.20775125</v>
      </c>
      <c r="U648" s="21">
        <f t="shared" si="551"/>
        <v>0.20775125</v>
      </c>
      <c r="V648" s="21">
        <f t="shared" si="551"/>
        <v>0.20775125</v>
      </c>
      <c r="W648" s="563"/>
      <c r="X648" s="563"/>
      <c r="Y648" s="563"/>
      <c r="Z648" s="563"/>
      <c r="AA648" s="563"/>
      <c r="AB648" s="563"/>
      <c r="AC648" s="563"/>
      <c r="AD648" s="563"/>
      <c r="AE648" s="563"/>
    </row>
    <row r="649" spans="2:31" x14ac:dyDescent="0.2">
      <c r="C649" s="5" t="str">
        <f>C181</f>
        <v>General Services &amp; Mobile Equipment</v>
      </c>
      <c r="D649" s="5"/>
      <c r="F649" s="1" t="s">
        <v>55</v>
      </c>
      <c r="G649" s="21">
        <f>SUM(K649:AE649)</f>
        <v>0.61662879687499994</v>
      </c>
      <c r="H649" s="5"/>
      <c r="I649" s="21">
        <f t="shared" ref="I649" si="552">I181*I$104</f>
        <v>0</v>
      </c>
      <c r="J649" s="21">
        <f t="shared" ref="J649" si="553">J181*J$104</f>
        <v>0</v>
      </c>
      <c r="K649" s="21">
        <f t="shared" ref="K649:V649" si="554">K181*K$104</f>
        <v>0</v>
      </c>
      <c r="L649" s="21">
        <f t="shared" si="554"/>
        <v>0</v>
      </c>
      <c r="M649" s="21">
        <f t="shared" si="554"/>
        <v>0</v>
      </c>
      <c r="N649" s="21">
        <f t="shared" si="554"/>
        <v>0</v>
      </c>
      <c r="O649" s="21">
        <f t="shared" si="554"/>
        <v>0</v>
      </c>
      <c r="P649" s="21">
        <f t="shared" si="554"/>
        <v>0</v>
      </c>
      <c r="Q649" s="21">
        <f t="shared" si="554"/>
        <v>0</v>
      </c>
      <c r="R649" s="21">
        <f t="shared" si="554"/>
        <v>0</v>
      </c>
      <c r="S649" s="21">
        <f t="shared" si="554"/>
        <v>9.4865968750000002E-2</v>
      </c>
      <c r="T649" s="21">
        <f t="shared" si="554"/>
        <v>0.14229895312499999</v>
      </c>
      <c r="U649" s="21">
        <f t="shared" si="554"/>
        <v>0.1897319375</v>
      </c>
      <c r="V649" s="21">
        <f t="shared" si="554"/>
        <v>0.1897319375</v>
      </c>
      <c r="W649" s="563"/>
      <c r="X649" s="563"/>
      <c r="Y649" s="563"/>
      <c r="Z649" s="563"/>
      <c r="AA649" s="563"/>
      <c r="AB649" s="563"/>
      <c r="AC649" s="563"/>
      <c r="AD649" s="563"/>
      <c r="AE649" s="563"/>
    </row>
    <row r="650" spans="2:31" x14ac:dyDescent="0.2">
      <c r="C650" s="5" t="str">
        <f>C182</f>
        <v>Industrial Water</v>
      </c>
      <c r="F650" s="1" t="s">
        <v>55</v>
      </c>
      <c r="G650" s="21">
        <f>SUM(K650:AE650)</f>
        <v>0.15592876093540703</v>
      </c>
      <c r="I650" s="21">
        <f t="shared" ref="I650" si="555">I597*I182*I104</f>
        <v>0</v>
      </c>
      <c r="J650" s="21">
        <f t="shared" ref="J650" si="556">J597*J182*J104</f>
        <v>0</v>
      </c>
      <c r="K650" s="21">
        <f t="shared" ref="K650:V650" si="557">K597*K182*K104</f>
        <v>0</v>
      </c>
      <c r="L650" s="21">
        <f t="shared" si="557"/>
        <v>0</v>
      </c>
      <c r="M650" s="21">
        <f t="shared" si="557"/>
        <v>0</v>
      </c>
      <c r="N650" s="21">
        <f t="shared" si="557"/>
        <v>0</v>
      </c>
      <c r="O650" s="21">
        <f t="shared" si="557"/>
        <v>0</v>
      </c>
      <c r="P650" s="21">
        <f t="shared" si="557"/>
        <v>0</v>
      </c>
      <c r="Q650" s="21">
        <f t="shared" si="557"/>
        <v>0</v>
      </c>
      <c r="R650" s="21">
        <f t="shared" si="557"/>
        <v>0</v>
      </c>
      <c r="S650" s="21">
        <f t="shared" si="557"/>
        <v>2.3989040143908773E-2</v>
      </c>
      <c r="T650" s="21">
        <f t="shared" si="557"/>
        <v>3.5983560215863158E-2</v>
      </c>
      <c r="U650" s="21">
        <f t="shared" si="557"/>
        <v>4.7978080287817547E-2</v>
      </c>
      <c r="V650" s="21">
        <f t="shared" si="557"/>
        <v>4.7978080287817547E-2</v>
      </c>
      <c r="W650" s="563"/>
      <c r="X650" s="563"/>
      <c r="Y650" s="563"/>
      <c r="Z650" s="563"/>
      <c r="AA650" s="563"/>
      <c r="AB650" s="563"/>
      <c r="AC650" s="563"/>
      <c r="AD650" s="563"/>
      <c r="AE650" s="563"/>
    </row>
    <row r="651" spans="2:31" x14ac:dyDescent="0.2">
      <c r="C651" s="5" t="str">
        <f>C183</f>
        <v>Electricity</v>
      </c>
      <c r="D651" s="5"/>
      <c r="F651" s="1" t="s">
        <v>55</v>
      </c>
      <c r="G651" s="21">
        <f>SUM(K651:AE651)</f>
        <v>0.89659822084519247</v>
      </c>
      <c r="H651" s="5"/>
      <c r="I651" s="21">
        <f t="shared" ref="I651" si="558">I183*I596*I$104</f>
        <v>0</v>
      </c>
      <c r="J651" s="21">
        <f t="shared" ref="J651" si="559">J183*J596*J$104</f>
        <v>0</v>
      </c>
      <c r="K651" s="21">
        <f t="shared" ref="K651:V651" si="560">K183*K596*K$104</f>
        <v>0</v>
      </c>
      <c r="L651" s="21">
        <f t="shared" si="560"/>
        <v>0</v>
      </c>
      <c r="M651" s="21">
        <f t="shared" si="560"/>
        <v>0</v>
      </c>
      <c r="N651" s="21">
        <f t="shared" si="560"/>
        <v>0</v>
      </c>
      <c r="O651" s="21">
        <f t="shared" si="560"/>
        <v>0</v>
      </c>
      <c r="P651" s="21">
        <f t="shared" si="560"/>
        <v>0</v>
      </c>
      <c r="Q651" s="21">
        <f t="shared" si="560"/>
        <v>0</v>
      </c>
      <c r="R651" s="21">
        <f t="shared" si="560"/>
        <v>0</v>
      </c>
      <c r="S651" s="21">
        <f t="shared" si="560"/>
        <v>0.1379381878223373</v>
      </c>
      <c r="T651" s="21">
        <f t="shared" si="560"/>
        <v>0.20690728173350598</v>
      </c>
      <c r="U651" s="21">
        <f t="shared" si="560"/>
        <v>0.2758763756446746</v>
      </c>
      <c r="V651" s="21">
        <f t="shared" si="560"/>
        <v>0.2758763756446746</v>
      </c>
      <c r="W651" s="563"/>
      <c r="X651" s="563"/>
      <c r="Y651" s="563"/>
      <c r="Z651" s="563"/>
      <c r="AA651" s="563"/>
      <c r="AB651" s="563"/>
      <c r="AC651" s="563"/>
      <c r="AD651" s="563"/>
      <c r="AE651" s="563"/>
    </row>
    <row r="652" spans="2:31" x14ac:dyDescent="0.2">
      <c r="C652" s="20" t="s">
        <v>45</v>
      </c>
      <c r="D652" s="5"/>
      <c r="F652" s="9" t="s">
        <v>55</v>
      </c>
      <c r="G652" s="44">
        <f>SUM(K652:AE652)</f>
        <v>2.5001607786555993</v>
      </c>
      <c r="H652" s="5"/>
      <c r="I652" s="44">
        <f t="shared" ref="I652" si="561">SUM(I648:I651)</f>
        <v>0</v>
      </c>
      <c r="J652" s="44">
        <f t="shared" ref="J652" si="562">SUM(J648:J651)</f>
        <v>0</v>
      </c>
      <c r="K652" s="44">
        <f t="shared" ref="K652:V652" si="563">SUM(K648:K651)</f>
        <v>0</v>
      </c>
      <c r="L652" s="44">
        <f t="shared" si="563"/>
        <v>0</v>
      </c>
      <c r="M652" s="44">
        <f t="shared" si="563"/>
        <v>0</v>
      </c>
      <c r="N652" s="44">
        <f t="shared" si="563"/>
        <v>0</v>
      </c>
      <c r="O652" s="44">
        <f t="shared" si="563"/>
        <v>0</v>
      </c>
      <c r="P652" s="44">
        <f t="shared" si="563"/>
        <v>0</v>
      </c>
      <c r="Q652" s="44">
        <f t="shared" si="563"/>
        <v>0</v>
      </c>
      <c r="R652" s="44">
        <f t="shared" si="563"/>
        <v>0</v>
      </c>
      <c r="S652" s="44">
        <f t="shared" si="563"/>
        <v>0.46454444671624612</v>
      </c>
      <c r="T652" s="44">
        <f t="shared" si="563"/>
        <v>0.59294104507436907</v>
      </c>
      <c r="U652" s="44">
        <f t="shared" si="563"/>
        <v>0.72133764343249207</v>
      </c>
      <c r="V652" s="44">
        <f t="shared" si="563"/>
        <v>0.72133764343249207</v>
      </c>
      <c r="W652" s="580"/>
      <c r="X652" s="580"/>
      <c r="Y652" s="580"/>
      <c r="Z652" s="580"/>
      <c r="AA652" s="580"/>
      <c r="AB652" s="580"/>
      <c r="AC652" s="580"/>
      <c r="AD652" s="580"/>
      <c r="AE652" s="580"/>
    </row>
    <row r="653" spans="2:31" x14ac:dyDescent="0.2">
      <c r="C653" s="5"/>
      <c r="D653" s="5"/>
    </row>
    <row r="654" spans="2:31" x14ac:dyDescent="0.2">
      <c r="B654" s="24">
        <f>B646+0.01</f>
        <v>3.6599999999999993</v>
      </c>
      <c r="C654" s="20" t="s">
        <v>365</v>
      </c>
      <c r="D654" s="20"/>
    </row>
    <row r="655" spans="2:31" x14ac:dyDescent="0.2">
      <c r="B655" s="24"/>
      <c r="C655" s="20"/>
      <c r="D655" s="20"/>
    </row>
    <row r="656" spans="2:31" x14ac:dyDescent="0.2">
      <c r="B656" s="37"/>
      <c r="C656" s="5" t="s">
        <v>443</v>
      </c>
      <c r="D656" s="5"/>
      <c r="F656" s="1" t="s">
        <v>55</v>
      </c>
      <c r="G656" s="21">
        <f t="shared" ref="G656:G670" si="564">SUM(K656:AE656)</f>
        <v>6.3304576852945891</v>
      </c>
      <c r="I656" s="21">
        <f t="shared" ref="I656" si="565">I581-I577</f>
        <v>0</v>
      </c>
      <c r="J656" s="21">
        <f t="shared" ref="J656" si="566">J581-J577</f>
        <v>0</v>
      </c>
      <c r="K656" s="21">
        <f t="shared" ref="K656:V656" si="567">K581-K577</f>
        <v>0</v>
      </c>
      <c r="L656" s="21">
        <f t="shared" si="567"/>
        <v>0</v>
      </c>
      <c r="M656" s="21">
        <f t="shared" si="567"/>
        <v>0</v>
      </c>
      <c r="N656" s="21">
        <f t="shared" si="567"/>
        <v>0</v>
      </c>
      <c r="O656" s="21">
        <f t="shared" si="567"/>
        <v>0</v>
      </c>
      <c r="P656" s="21">
        <f t="shared" si="567"/>
        <v>0</v>
      </c>
      <c r="Q656" s="21">
        <f t="shared" si="567"/>
        <v>0</v>
      </c>
      <c r="R656" s="21">
        <f t="shared" si="567"/>
        <v>0</v>
      </c>
      <c r="S656" s="21">
        <f t="shared" si="567"/>
        <v>1.5826144213236473</v>
      </c>
      <c r="T656" s="21">
        <f t="shared" si="567"/>
        <v>1.5826144213236473</v>
      </c>
      <c r="U656" s="21">
        <f t="shared" si="567"/>
        <v>1.5826144213236473</v>
      </c>
      <c r="V656" s="21">
        <f t="shared" si="567"/>
        <v>1.5826144213236473</v>
      </c>
      <c r="W656" s="563"/>
      <c r="X656" s="563"/>
      <c r="Y656" s="563"/>
      <c r="Z656" s="563"/>
      <c r="AA656" s="563"/>
      <c r="AB656" s="563"/>
      <c r="AC656" s="563"/>
      <c r="AD656" s="563"/>
      <c r="AE656" s="563"/>
    </row>
    <row r="657" spans="3:31" x14ac:dyDescent="0.2">
      <c r="C657" s="5" t="str">
        <f>C613</f>
        <v>Iron Ore Pellets</v>
      </c>
      <c r="D657" s="5"/>
      <c r="F657" s="1" t="s">
        <v>55</v>
      </c>
      <c r="G657" s="21">
        <f t="shared" si="564"/>
        <v>66.3834741604241</v>
      </c>
      <c r="I657" s="21">
        <f t="shared" ref="I657" si="568">I613</f>
        <v>0</v>
      </c>
      <c r="J657" s="21">
        <f t="shared" ref="J657" si="569">J613</f>
        <v>0</v>
      </c>
      <c r="K657" s="21">
        <f t="shared" ref="K657:V659" si="570">K613</f>
        <v>0</v>
      </c>
      <c r="L657" s="21">
        <f t="shared" si="570"/>
        <v>0</v>
      </c>
      <c r="M657" s="21">
        <f t="shared" si="570"/>
        <v>0</v>
      </c>
      <c r="N657" s="21">
        <f t="shared" si="570"/>
        <v>0</v>
      </c>
      <c r="O657" s="21">
        <f t="shared" si="570"/>
        <v>0</v>
      </c>
      <c r="P657" s="21">
        <f t="shared" si="570"/>
        <v>0</v>
      </c>
      <c r="Q657" s="21">
        <f t="shared" si="570"/>
        <v>0</v>
      </c>
      <c r="R657" s="21">
        <f t="shared" si="570"/>
        <v>0</v>
      </c>
      <c r="S657" s="21">
        <f t="shared" si="570"/>
        <v>10.212842178526785</v>
      </c>
      <c r="T657" s="21">
        <f t="shared" si="570"/>
        <v>15.319263267790175</v>
      </c>
      <c r="U657" s="21">
        <f t="shared" si="570"/>
        <v>20.425684357053569</v>
      </c>
      <c r="V657" s="21">
        <f t="shared" si="570"/>
        <v>20.425684357053569</v>
      </c>
      <c r="W657" s="563"/>
      <c r="X657" s="563"/>
      <c r="Y657" s="563"/>
      <c r="Z657" s="563"/>
      <c r="AA657" s="563"/>
      <c r="AB657" s="563"/>
      <c r="AC657" s="563"/>
      <c r="AD657" s="563"/>
      <c r="AE657" s="563"/>
    </row>
    <row r="658" spans="3:31" x14ac:dyDescent="0.2">
      <c r="C658" s="5" t="s">
        <v>379</v>
      </c>
      <c r="D658" s="5"/>
      <c r="F658" s="1" t="s">
        <v>55</v>
      </c>
      <c r="G658" s="21">
        <f t="shared" si="564"/>
        <v>2.8160556255000002</v>
      </c>
      <c r="I658" s="21">
        <f t="shared" ref="I658" si="571">I614</f>
        <v>0</v>
      </c>
      <c r="J658" s="21">
        <f t="shared" ref="J658" si="572">J614</f>
        <v>0</v>
      </c>
      <c r="K658" s="21">
        <f t="shared" si="570"/>
        <v>0</v>
      </c>
      <c r="L658" s="21">
        <f t="shared" si="570"/>
        <v>0</v>
      </c>
      <c r="M658" s="21">
        <f t="shared" si="570"/>
        <v>0</v>
      </c>
      <c r="N658" s="21">
        <f t="shared" si="570"/>
        <v>0</v>
      </c>
      <c r="O658" s="21">
        <f t="shared" si="570"/>
        <v>0</v>
      </c>
      <c r="P658" s="21">
        <f t="shared" si="570"/>
        <v>0</v>
      </c>
      <c r="Q658" s="21">
        <f t="shared" si="570"/>
        <v>0</v>
      </c>
      <c r="R658" s="21">
        <f t="shared" si="570"/>
        <v>0</v>
      </c>
      <c r="S658" s="21">
        <f t="shared" si="570"/>
        <v>0.43323932700000001</v>
      </c>
      <c r="T658" s="21">
        <f t="shared" si="570"/>
        <v>0.64985899050000007</v>
      </c>
      <c r="U658" s="21">
        <f t="shared" si="570"/>
        <v>0.86647865400000001</v>
      </c>
      <c r="V658" s="21">
        <f t="shared" si="570"/>
        <v>0.86647865400000001</v>
      </c>
      <c r="W658" s="563"/>
      <c r="X658" s="563"/>
      <c r="Y658" s="563"/>
      <c r="Z658" s="563"/>
      <c r="AA658" s="563"/>
      <c r="AB658" s="563"/>
      <c r="AC658" s="563"/>
      <c r="AD658" s="563"/>
      <c r="AE658" s="563"/>
    </row>
    <row r="659" spans="3:31" x14ac:dyDescent="0.2">
      <c r="C659" s="5" t="s">
        <v>575</v>
      </c>
      <c r="D659" s="5"/>
      <c r="F659" s="1" t="s">
        <v>55</v>
      </c>
      <c r="G659" s="21">
        <f t="shared" si="564"/>
        <v>0.105625</v>
      </c>
      <c r="I659" s="21">
        <f t="shared" ref="I659" si="573">I615</f>
        <v>0</v>
      </c>
      <c r="J659" s="21">
        <f t="shared" ref="J659" si="574">J615</f>
        <v>0</v>
      </c>
      <c r="K659" s="21">
        <f t="shared" si="570"/>
        <v>0</v>
      </c>
      <c r="L659" s="21">
        <f t="shared" si="570"/>
        <v>0</v>
      </c>
      <c r="M659" s="21">
        <f t="shared" si="570"/>
        <v>0</v>
      </c>
      <c r="N659" s="21">
        <f t="shared" si="570"/>
        <v>0</v>
      </c>
      <c r="O659" s="21">
        <f t="shared" si="570"/>
        <v>0</v>
      </c>
      <c r="P659" s="21">
        <f t="shared" si="570"/>
        <v>0</v>
      </c>
      <c r="Q659" s="21">
        <f t="shared" si="570"/>
        <v>0</v>
      </c>
      <c r="R659" s="21">
        <f t="shared" si="570"/>
        <v>0</v>
      </c>
      <c r="S659" s="21">
        <f t="shared" si="570"/>
        <v>1.6250000000000001E-2</v>
      </c>
      <c r="T659" s="21">
        <f t="shared" si="570"/>
        <v>2.4375000000000001E-2</v>
      </c>
      <c r="U659" s="21">
        <f t="shared" si="570"/>
        <v>3.2500000000000001E-2</v>
      </c>
      <c r="V659" s="21">
        <f t="shared" si="570"/>
        <v>3.2500000000000001E-2</v>
      </c>
      <c r="W659" s="563"/>
      <c r="X659" s="563"/>
      <c r="Y659" s="563"/>
      <c r="Z659" s="563"/>
      <c r="AA659" s="563"/>
      <c r="AB659" s="563"/>
      <c r="AC659" s="563"/>
      <c r="AD659" s="563"/>
      <c r="AE659" s="563"/>
    </row>
    <row r="660" spans="3:31" x14ac:dyDescent="0.2">
      <c r="C660" s="5" t="s">
        <v>21</v>
      </c>
      <c r="D660" s="5"/>
      <c r="F660" s="1" t="s">
        <v>55</v>
      </c>
      <c r="G660" s="21">
        <f t="shared" si="564"/>
        <v>6.4173000805847202</v>
      </c>
      <c r="I660" s="21">
        <f t="shared" ref="I660" si="575">I620+I627+I639+I640+I651</f>
        <v>0</v>
      </c>
      <c r="J660" s="21">
        <f t="shared" ref="J660" si="576">J620+J627+J639+J640+J651</f>
        <v>0</v>
      </c>
      <c r="K660" s="21">
        <f t="shared" ref="K660:V660" si="577">K620+K627+K639+K640+K651</f>
        <v>0</v>
      </c>
      <c r="L660" s="21">
        <f t="shared" si="577"/>
        <v>0</v>
      </c>
      <c r="M660" s="21">
        <f t="shared" si="577"/>
        <v>0</v>
      </c>
      <c r="N660" s="21">
        <f t="shared" si="577"/>
        <v>0</v>
      </c>
      <c r="O660" s="21">
        <f t="shared" si="577"/>
        <v>0</v>
      </c>
      <c r="P660" s="21">
        <f t="shared" si="577"/>
        <v>0</v>
      </c>
      <c r="Q660" s="21">
        <f t="shared" si="577"/>
        <v>0</v>
      </c>
      <c r="R660" s="21">
        <f t="shared" si="577"/>
        <v>0</v>
      </c>
      <c r="S660" s="21">
        <f t="shared" si="577"/>
        <v>0.98727693547457229</v>
      </c>
      <c r="T660" s="21">
        <f t="shared" si="577"/>
        <v>1.4809154032118585</v>
      </c>
      <c r="U660" s="21">
        <f t="shared" si="577"/>
        <v>1.9745538709491446</v>
      </c>
      <c r="V660" s="21">
        <f t="shared" si="577"/>
        <v>1.9745538709491446</v>
      </c>
      <c r="W660" s="563"/>
      <c r="X660" s="563"/>
      <c r="Y660" s="563"/>
      <c r="Z660" s="563"/>
      <c r="AA660" s="563"/>
      <c r="AB660" s="563"/>
      <c r="AC660" s="563"/>
      <c r="AD660" s="563"/>
      <c r="AE660" s="563"/>
    </row>
    <row r="661" spans="3:31" x14ac:dyDescent="0.2">
      <c r="C661" s="5" t="s">
        <v>23</v>
      </c>
      <c r="D661" s="5"/>
      <c r="F661" s="1" t="s">
        <v>55</v>
      </c>
      <c r="G661" s="21">
        <f t="shared" si="564"/>
        <v>13.908837910599393</v>
      </c>
      <c r="I661" s="21">
        <f>I626</f>
        <v>0</v>
      </c>
      <c r="J661" s="21">
        <f>J626</f>
        <v>0</v>
      </c>
      <c r="K661" s="21">
        <f>K626</f>
        <v>0</v>
      </c>
      <c r="L661" s="21">
        <f t="shared" ref="L661:V661" si="578">L626</f>
        <v>0</v>
      </c>
      <c r="M661" s="21">
        <f t="shared" si="578"/>
        <v>0</v>
      </c>
      <c r="N661" s="21">
        <f t="shared" si="578"/>
        <v>0</v>
      </c>
      <c r="O661" s="21">
        <f t="shared" si="578"/>
        <v>0</v>
      </c>
      <c r="P661" s="21">
        <f t="shared" si="578"/>
        <v>0</v>
      </c>
      <c r="Q661" s="21">
        <f t="shared" si="578"/>
        <v>0</v>
      </c>
      <c r="R661" s="21">
        <f t="shared" si="578"/>
        <v>0</v>
      </c>
      <c r="S661" s="21">
        <f t="shared" si="578"/>
        <v>2.1742994281397183</v>
      </c>
      <c r="T661" s="21">
        <f t="shared" si="578"/>
        <v>3.2614491422095773</v>
      </c>
      <c r="U661" s="21">
        <f t="shared" si="578"/>
        <v>4.3485988562794367</v>
      </c>
      <c r="V661" s="21">
        <f t="shared" si="578"/>
        <v>4.1244904839706624</v>
      </c>
      <c r="W661" s="563"/>
      <c r="X661" s="563"/>
      <c r="Y661" s="563"/>
      <c r="Z661" s="563"/>
      <c r="AA661" s="563"/>
      <c r="AB661" s="563"/>
      <c r="AC661" s="563"/>
      <c r="AD661" s="563"/>
      <c r="AE661" s="563"/>
    </row>
    <row r="662" spans="3:31" x14ac:dyDescent="0.2">
      <c r="C662" s="5" t="s">
        <v>397</v>
      </c>
      <c r="D662" s="5"/>
      <c r="F662" s="1" t="s">
        <v>55</v>
      </c>
      <c r="G662" s="21">
        <f t="shared" si="564"/>
        <v>2.4386000000000001</v>
      </c>
      <c r="I662" s="21">
        <f>I621+I628+I643+I648</f>
        <v>0</v>
      </c>
      <c r="J662" s="21">
        <f>J621+J628+J643+J648</f>
        <v>0</v>
      </c>
      <c r="K662" s="21">
        <f>K621+K628+K643+K648</f>
        <v>0</v>
      </c>
      <c r="L662" s="21">
        <f>L621+L628+L643+L648</f>
        <v>0</v>
      </c>
      <c r="M662" s="21">
        <f t="shared" ref="M662:V662" si="579">M621++M628+M643+M648</f>
        <v>0</v>
      </c>
      <c r="N662" s="21">
        <f t="shared" si="579"/>
        <v>0</v>
      </c>
      <c r="O662" s="21">
        <f t="shared" si="579"/>
        <v>0</v>
      </c>
      <c r="P662" s="21">
        <f t="shared" si="579"/>
        <v>0</v>
      </c>
      <c r="Q662" s="21">
        <f t="shared" si="579"/>
        <v>0</v>
      </c>
      <c r="R662" s="21">
        <f t="shared" si="579"/>
        <v>0</v>
      </c>
      <c r="S662" s="21">
        <f t="shared" si="579"/>
        <v>0.60965000000000003</v>
      </c>
      <c r="T662" s="21">
        <f t="shared" si="579"/>
        <v>0.60965000000000003</v>
      </c>
      <c r="U662" s="21">
        <f t="shared" si="579"/>
        <v>0.60965000000000003</v>
      </c>
      <c r="V662" s="21">
        <f t="shared" si="579"/>
        <v>0.60965000000000003</v>
      </c>
      <c r="W662" s="563"/>
      <c r="X662" s="563"/>
      <c r="Y662" s="563"/>
      <c r="Z662" s="563"/>
      <c r="AA662" s="563"/>
      <c r="AB662" s="563"/>
      <c r="AC662" s="563"/>
      <c r="AD662" s="563"/>
      <c r="AE662" s="563"/>
    </row>
    <row r="663" spans="3:31" x14ac:dyDescent="0.2">
      <c r="C663" s="5" t="s">
        <v>399</v>
      </c>
      <c r="D663" s="5"/>
      <c r="F663" s="1" t="s">
        <v>55</v>
      </c>
      <c r="G663" s="21">
        <f t="shared" si="564"/>
        <v>8.4566234999999992</v>
      </c>
      <c r="I663" s="21">
        <f t="shared" ref="I663" si="580">I634</f>
        <v>0</v>
      </c>
      <c r="J663" s="21">
        <f t="shared" ref="J663" si="581">J634</f>
        <v>0</v>
      </c>
      <c r="K663" s="21">
        <f t="shared" ref="K663:V663" si="582">K634</f>
        <v>0</v>
      </c>
      <c r="L663" s="21">
        <f t="shared" si="582"/>
        <v>0</v>
      </c>
      <c r="M663" s="21">
        <f t="shared" si="582"/>
        <v>0</v>
      </c>
      <c r="N663" s="21">
        <f t="shared" si="582"/>
        <v>0</v>
      </c>
      <c r="O663" s="21">
        <f t="shared" si="582"/>
        <v>0</v>
      </c>
      <c r="P663" s="21">
        <f t="shared" si="582"/>
        <v>0</v>
      </c>
      <c r="Q663" s="21">
        <f t="shared" si="582"/>
        <v>0</v>
      </c>
      <c r="R663" s="21">
        <f t="shared" si="582"/>
        <v>0</v>
      </c>
      <c r="S663" s="21">
        <f t="shared" si="582"/>
        <v>1.3010189999999999</v>
      </c>
      <c r="T663" s="21">
        <f t="shared" si="582"/>
        <v>1.9515284999999998</v>
      </c>
      <c r="U663" s="21">
        <f t="shared" si="582"/>
        <v>2.6020379999999999</v>
      </c>
      <c r="V663" s="21">
        <f t="shared" si="582"/>
        <v>2.6020379999999999</v>
      </c>
      <c r="W663" s="563"/>
      <c r="X663" s="563"/>
      <c r="Y663" s="563"/>
      <c r="Z663" s="563"/>
      <c r="AA663" s="563"/>
      <c r="AB663" s="563"/>
      <c r="AC663" s="563"/>
      <c r="AD663" s="563"/>
      <c r="AE663" s="563"/>
    </row>
    <row r="664" spans="3:31" x14ac:dyDescent="0.2">
      <c r="C664" s="5" t="s">
        <v>396</v>
      </c>
      <c r="D664" s="5"/>
      <c r="F664" s="1" t="s">
        <v>55</v>
      </c>
      <c r="G664" s="21">
        <f t="shared" si="564"/>
        <v>3.5263562954825871</v>
      </c>
      <c r="I664" s="21">
        <f>I636+I637+I635+I638</f>
        <v>0</v>
      </c>
      <c r="J664" s="21">
        <f>J636+J637+J635+J638</f>
        <v>0</v>
      </c>
      <c r="K664" s="21">
        <f>K636+K637+K635+K638</f>
        <v>0</v>
      </c>
      <c r="L664" s="21">
        <f t="shared" ref="L664:V664" si="583">L636+L637+L635+L638</f>
        <v>0</v>
      </c>
      <c r="M664" s="21">
        <f t="shared" si="583"/>
        <v>0</v>
      </c>
      <c r="N664" s="21">
        <f t="shared" si="583"/>
        <v>0</v>
      </c>
      <c r="O664" s="21">
        <f t="shared" si="583"/>
        <v>0</v>
      </c>
      <c r="P664" s="21">
        <f t="shared" si="583"/>
        <v>0</v>
      </c>
      <c r="Q664" s="21">
        <f t="shared" si="583"/>
        <v>0</v>
      </c>
      <c r="R664" s="21">
        <f t="shared" si="583"/>
        <v>0</v>
      </c>
      <c r="S664" s="21">
        <f t="shared" si="583"/>
        <v>0.54322491084347502</v>
      </c>
      <c r="T664" s="21">
        <f t="shared" si="583"/>
        <v>0.81391624126521234</v>
      </c>
      <c r="U664" s="21">
        <f t="shared" si="583"/>
        <v>1.0846075716869499</v>
      </c>
      <c r="V664" s="21">
        <f t="shared" si="583"/>
        <v>1.0846075716869499</v>
      </c>
      <c r="W664" s="563"/>
      <c r="X664" s="563"/>
      <c r="Y664" s="563"/>
      <c r="Z664" s="563"/>
      <c r="AA664" s="563"/>
      <c r="AB664" s="563"/>
      <c r="AC664" s="563"/>
      <c r="AD664" s="563"/>
      <c r="AE664" s="563"/>
    </row>
    <row r="665" spans="3:31" x14ac:dyDescent="0.2">
      <c r="C665" s="5" t="s">
        <v>402</v>
      </c>
      <c r="D665" s="5"/>
      <c r="F665" s="1" t="s">
        <v>55</v>
      </c>
      <c r="G665" s="21">
        <f t="shared" si="564"/>
        <v>1.1187625391027647</v>
      </c>
      <c r="I665" s="21">
        <f t="shared" ref="I665" si="584">I641</f>
        <v>0</v>
      </c>
      <c r="J665" s="21">
        <f t="shared" ref="J665" si="585">J641</f>
        <v>0</v>
      </c>
      <c r="K665" s="21">
        <f t="shared" ref="K665:V666" si="586">K641</f>
        <v>0</v>
      </c>
      <c r="L665" s="21">
        <f t="shared" si="586"/>
        <v>0</v>
      </c>
      <c r="M665" s="21">
        <f t="shared" si="586"/>
        <v>0</v>
      </c>
      <c r="N665" s="21">
        <f t="shared" si="586"/>
        <v>0</v>
      </c>
      <c r="O665" s="21">
        <f t="shared" si="586"/>
        <v>0</v>
      </c>
      <c r="P665" s="21">
        <f t="shared" si="586"/>
        <v>0</v>
      </c>
      <c r="Q665" s="21">
        <f t="shared" si="586"/>
        <v>0</v>
      </c>
      <c r="R665" s="21">
        <f t="shared" si="586"/>
        <v>0</v>
      </c>
      <c r="S665" s="21">
        <f t="shared" si="586"/>
        <v>0.17211731370811764</v>
      </c>
      <c r="T665" s="21">
        <f t="shared" si="586"/>
        <v>0.25817597056217645</v>
      </c>
      <c r="U665" s="21">
        <f t="shared" si="586"/>
        <v>0.34423462741623528</v>
      </c>
      <c r="V665" s="21">
        <f t="shared" si="586"/>
        <v>0.34423462741623528</v>
      </c>
      <c r="W665" s="563"/>
      <c r="X665" s="563"/>
      <c r="Y665" s="563"/>
      <c r="Z665" s="563"/>
      <c r="AA665" s="563"/>
      <c r="AB665" s="563"/>
      <c r="AC665" s="563"/>
      <c r="AD665" s="563"/>
      <c r="AE665" s="563"/>
    </row>
    <row r="666" spans="3:31" x14ac:dyDescent="0.2">
      <c r="C666" s="5" t="s">
        <v>693</v>
      </c>
      <c r="D666" s="5"/>
      <c r="F666" s="1" t="s">
        <v>55</v>
      </c>
      <c r="G666" s="21">
        <f t="shared" si="564"/>
        <v>0.08</v>
      </c>
      <c r="I666" s="21">
        <f t="shared" ref="I666" si="587">I642</f>
        <v>0</v>
      </c>
      <c r="J666" s="21">
        <f t="shared" ref="J666" si="588">J642</f>
        <v>0</v>
      </c>
      <c r="K666" s="21">
        <f t="shared" si="586"/>
        <v>0</v>
      </c>
      <c r="L666" s="21">
        <f t="shared" si="586"/>
        <v>0</v>
      </c>
      <c r="M666" s="21">
        <f t="shared" si="586"/>
        <v>0</v>
      </c>
      <c r="N666" s="21">
        <f t="shared" si="586"/>
        <v>0</v>
      </c>
      <c r="O666" s="21">
        <f t="shared" si="586"/>
        <v>0</v>
      </c>
      <c r="P666" s="21">
        <f t="shared" si="586"/>
        <v>0</v>
      </c>
      <c r="Q666" s="21">
        <f t="shared" si="586"/>
        <v>0</v>
      </c>
      <c r="R666" s="21">
        <f t="shared" si="586"/>
        <v>0</v>
      </c>
      <c r="S666" s="21">
        <f t="shared" si="586"/>
        <v>0.02</v>
      </c>
      <c r="T666" s="21">
        <f t="shared" si="586"/>
        <v>0.02</v>
      </c>
      <c r="U666" s="21">
        <f t="shared" si="586"/>
        <v>0.02</v>
      </c>
      <c r="V666" s="21">
        <f t="shared" si="586"/>
        <v>0.02</v>
      </c>
      <c r="W666" s="563"/>
      <c r="X666" s="563"/>
      <c r="Y666" s="563"/>
      <c r="Z666" s="563"/>
      <c r="AA666" s="563"/>
      <c r="AB666" s="563"/>
      <c r="AC666" s="563"/>
      <c r="AD666" s="563"/>
      <c r="AE666" s="563"/>
    </row>
    <row r="667" spans="3:31" x14ac:dyDescent="0.2">
      <c r="C667" s="5" t="s">
        <v>682</v>
      </c>
      <c r="D667" s="5"/>
      <c r="F667" s="1" t="s">
        <v>55</v>
      </c>
      <c r="G667" s="21">
        <f t="shared" si="564"/>
        <v>0.61662879687499994</v>
      </c>
      <c r="I667" s="21">
        <f t="shared" ref="I667" si="589">I649</f>
        <v>0</v>
      </c>
      <c r="J667" s="21">
        <f t="shared" ref="J667" si="590">J649</f>
        <v>0</v>
      </c>
      <c r="K667" s="21">
        <f t="shared" ref="K667:V668" si="591">K649</f>
        <v>0</v>
      </c>
      <c r="L667" s="21">
        <f t="shared" si="591"/>
        <v>0</v>
      </c>
      <c r="M667" s="21">
        <f t="shared" si="591"/>
        <v>0</v>
      </c>
      <c r="N667" s="21">
        <f t="shared" si="591"/>
        <v>0</v>
      </c>
      <c r="O667" s="21">
        <f t="shared" si="591"/>
        <v>0</v>
      </c>
      <c r="P667" s="21">
        <f t="shared" si="591"/>
        <v>0</v>
      </c>
      <c r="Q667" s="21">
        <f t="shared" si="591"/>
        <v>0</v>
      </c>
      <c r="R667" s="21">
        <f t="shared" si="591"/>
        <v>0</v>
      </c>
      <c r="S667" s="21">
        <f t="shared" si="591"/>
        <v>9.4865968750000002E-2</v>
      </c>
      <c r="T667" s="21">
        <f t="shared" si="591"/>
        <v>0.14229895312499999</v>
      </c>
      <c r="U667" s="21">
        <f t="shared" si="591"/>
        <v>0.1897319375</v>
      </c>
      <c r="V667" s="21">
        <f t="shared" si="591"/>
        <v>0.1897319375</v>
      </c>
      <c r="W667" s="563"/>
      <c r="X667" s="563"/>
      <c r="Y667" s="563"/>
      <c r="Z667" s="563"/>
      <c r="AA667" s="563"/>
      <c r="AB667" s="563"/>
      <c r="AC667" s="563"/>
      <c r="AD667" s="563"/>
      <c r="AE667" s="563"/>
    </row>
    <row r="668" spans="3:31" x14ac:dyDescent="0.2">
      <c r="C668" s="5" t="s">
        <v>517</v>
      </c>
      <c r="D668" s="5"/>
      <c r="F668" s="1" t="s">
        <v>55</v>
      </c>
      <c r="G668" s="21">
        <f t="shared" si="564"/>
        <v>0.15592876093540703</v>
      </c>
      <c r="I668" s="21">
        <f>I650</f>
        <v>0</v>
      </c>
      <c r="J668" s="21">
        <f>J650</f>
        <v>0</v>
      </c>
      <c r="K668" s="21">
        <f>K650</f>
        <v>0</v>
      </c>
      <c r="L668" s="21">
        <f t="shared" si="591"/>
        <v>0</v>
      </c>
      <c r="M668" s="21">
        <f t="shared" si="591"/>
        <v>0</v>
      </c>
      <c r="N668" s="21">
        <f t="shared" si="591"/>
        <v>0</v>
      </c>
      <c r="O668" s="21">
        <f t="shared" si="591"/>
        <v>0</v>
      </c>
      <c r="P668" s="21">
        <f t="shared" si="591"/>
        <v>0</v>
      </c>
      <c r="Q668" s="21">
        <f t="shared" si="591"/>
        <v>0</v>
      </c>
      <c r="R668" s="21">
        <f t="shared" si="591"/>
        <v>0</v>
      </c>
      <c r="S668" s="21">
        <f t="shared" si="591"/>
        <v>2.3989040143908773E-2</v>
      </c>
      <c r="T668" s="21">
        <f t="shared" si="591"/>
        <v>3.5983560215863158E-2</v>
      </c>
      <c r="U668" s="21">
        <f t="shared" si="591"/>
        <v>4.7978080287817547E-2</v>
      </c>
      <c r="V668" s="21">
        <f t="shared" si="591"/>
        <v>4.7978080287817547E-2</v>
      </c>
      <c r="W668" s="563"/>
      <c r="X668" s="563"/>
      <c r="Y668" s="563"/>
      <c r="Z668" s="563"/>
      <c r="AA668" s="563"/>
      <c r="AB668" s="563"/>
      <c r="AC668" s="563"/>
      <c r="AD668" s="563"/>
      <c r="AE668" s="563"/>
    </row>
    <row r="669" spans="3:31" x14ac:dyDescent="0.2">
      <c r="C669" s="5" t="s">
        <v>683</v>
      </c>
      <c r="D669" s="5"/>
      <c r="F669" s="1" t="s">
        <v>55</v>
      </c>
      <c r="G669" s="21">
        <f t="shared" si="564"/>
        <v>1.7794145281249998</v>
      </c>
      <c r="I669" s="21">
        <f t="shared" ref="I669" si="592">I629</f>
        <v>0</v>
      </c>
      <c r="J669" s="21">
        <f t="shared" ref="J669" si="593">J629</f>
        <v>0</v>
      </c>
      <c r="K669" s="21">
        <f t="shared" ref="K669:V669" si="594">K629</f>
        <v>0</v>
      </c>
      <c r="L669" s="21">
        <f t="shared" si="594"/>
        <v>0</v>
      </c>
      <c r="M669" s="21">
        <f t="shared" si="594"/>
        <v>0</v>
      </c>
      <c r="N669" s="21">
        <f t="shared" si="594"/>
        <v>0</v>
      </c>
      <c r="O669" s="21">
        <f t="shared" si="594"/>
        <v>0</v>
      </c>
      <c r="P669" s="21">
        <f t="shared" si="594"/>
        <v>0</v>
      </c>
      <c r="Q669" s="21">
        <f t="shared" si="594"/>
        <v>0</v>
      </c>
      <c r="R669" s="21">
        <f t="shared" si="594"/>
        <v>0</v>
      </c>
      <c r="S669" s="21">
        <f t="shared" si="594"/>
        <v>0.27375608124999995</v>
      </c>
      <c r="T669" s="21">
        <f t="shared" si="594"/>
        <v>0.41063412187499998</v>
      </c>
      <c r="U669" s="21">
        <f t="shared" si="594"/>
        <v>0.5475121624999999</v>
      </c>
      <c r="V669" s="21">
        <f t="shared" si="594"/>
        <v>0.5475121624999999</v>
      </c>
      <c r="W669" s="563"/>
      <c r="X669" s="563"/>
      <c r="Y669" s="563"/>
      <c r="Z669" s="563"/>
      <c r="AA669" s="563"/>
      <c r="AB669" s="563"/>
      <c r="AC669" s="563"/>
      <c r="AD669" s="563"/>
      <c r="AE669" s="563"/>
    </row>
    <row r="670" spans="3:31" x14ac:dyDescent="0.2">
      <c r="C670" s="20" t="s">
        <v>366</v>
      </c>
      <c r="D670" s="20"/>
      <c r="F670" s="9" t="s">
        <v>55</v>
      </c>
      <c r="G670" s="44">
        <f t="shared" si="564"/>
        <v>114.13406488292355</v>
      </c>
      <c r="I670" s="44">
        <f t="shared" ref="I670" si="595">SUM(I656:I669)</f>
        <v>0</v>
      </c>
      <c r="J670" s="44">
        <f t="shared" ref="J670" si="596">SUM(J656:J669)</f>
        <v>0</v>
      </c>
      <c r="K670" s="44">
        <f t="shared" ref="K670:V670" si="597">SUM(K656:K669)</f>
        <v>0</v>
      </c>
      <c r="L670" s="44">
        <f t="shared" si="597"/>
        <v>0</v>
      </c>
      <c r="M670" s="44">
        <f t="shared" si="597"/>
        <v>0</v>
      </c>
      <c r="N670" s="44">
        <f t="shared" si="597"/>
        <v>0</v>
      </c>
      <c r="O670" s="44">
        <f t="shared" si="597"/>
        <v>0</v>
      </c>
      <c r="P670" s="44">
        <f t="shared" si="597"/>
        <v>0</v>
      </c>
      <c r="Q670" s="44">
        <f t="shared" si="597"/>
        <v>0</v>
      </c>
      <c r="R670" s="44">
        <f t="shared" si="597"/>
        <v>0</v>
      </c>
      <c r="S670" s="44">
        <f t="shared" si="597"/>
        <v>18.445144605160223</v>
      </c>
      <c r="T670" s="44">
        <f t="shared" si="597"/>
        <v>26.560663572078507</v>
      </c>
      <c r="U670" s="44">
        <f t="shared" si="597"/>
        <v>34.676182538996805</v>
      </c>
      <c r="V670" s="44">
        <f t="shared" si="597"/>
        <v>34.452074166688028</v>
      </c>
      <c r="W670" s="580"/>
      <c r="X670" s="580"/>
      <c r="Y670" s="580"/>
      <c r="Z670" s="580"/>
      <c r="AA670" s="580"/>
      <c r="AB670" s="580"/>
      <c r="AC670" s="580"/>
      <c r="AD670" s="580"/>
      <c r="AE670" s="580"/>
    </row>
    <row r="671" spans="3:31" x14ac:dyDescent="0.2">
      <c r="C671" s="5"/>
      <c r="D671" s="5"/>
      <c r="J671" s="33"/>
    </row>
    <row r="672" spans="3:31" x14ac:dyDescent="0.2">
      <c r="C672" s="5" t="str">
        <f t="shared" ref="C672:C686" si="598">C656</f>
        <v>Labor - ex SGA</v>
      </c>
      <c r="D672" s="5"/>
      <c r="F672" s="1" t="s">
        <v>3</v>
      </c>
      <c r="G672" s="21">
        <f t="shared" ref="G672:G686" si="599">G656/$G$104</f>
        <v>17.965915645537507</v>
      </c>
      <c r="I672" s="21">
        <f>IFERROR(I656/I$104,0)</f>
        <v>0</v>
      </c>
      <c r="J672" s="21">
        <f t="shared" ref="J672:V672" si="600">IFERROR(J656/J$104,0)</f>
        <v>0</v>
      </c>
      <c r="K672" s="21">
        <f t="shared" si="600"/>
        <v>0</v>
      </c>
      <c r="L672" s="21">
        <f t="shared" si="600"/>
        <v>0</v>
      </c>
      <c r="M672" s="21">
        <f t="shared" si="600"/>
        <v>0</v>
      </c>
      <c r="N672" s="21">
        <f t="shared" si="600"/>
        <v>0</v>
      </c>
      <c r="O672" s="21">
        <f t="shared" si="600"/>
        <v>0</v>
      </c>
      <c r="P672" s="21">
        <f t="shared" si="600"/>
        <v>0</v>
      </c>
      <c r="Q672" s="21">
        <f t="shared" si="600"/>
        <v>0</v>
      </c>
      <c r="R672" s="21">
        <f t="shared" si="600"/>
        <v>0</v>
      </c>
      <c r="S672" s="21">
        <f t="shared" si="600"/>
        <v>29.194612923998449</v>
      </c>
      <c r="T672" s="21">
        <f t="shared" si="600"/>
        <v>19.463075282665631</v>
      </c>
      <c r="U672" s="21">
        <f t="shared" si="600"/>
        <v>14.597306461999224</v>
      </c>
      <c r="V672" s="21">
        <f t="shared" si="600"/>
        <v>14.597306461999224</v>
      </c>
      <c r="W672" s="563"/>
      <c r="X672" s="563"/>
      <c r="Y672" s="563"/>
      <c r="Z672" s="563"/>
      <c r="AA672" s="563"/>
      <c r="AB672" s="563"/>
      <c r="AC672" s="563"/>
      <c r="AD672" s="563"/>
      <c r="AE672" s="563"/>
    </row>
    <row r="673" spans="2:31" x14ac:dyDescent="0.2">
      <c r="C673" s="5" t="str">
        <f t="shared" si="598"/>
        <v>Iron Ore Pellets</v>
      </c>
      <c r="D673" s="5"/>
      <c r="F673" s="1" t="s">
        <v>3</v>
      </c>
      <c r="G673" s="21">
        <f t="shared" si="599"/>
        <v>188.39710433486587</v>
      </c>
      <c r="I673" s="21">
        <f t="shared" ref="I673:V673" si="601">IFERROR(I657/I$104,0)</f>
        <v>0</v>
      </c>
      <c r="J673" s="21">
        <f t="shared" si="601"/>
        <v>0</v>
      </c>
      <c r="K673" s="21">
        <f t="shared" si="601"/>
        <v>0</v>
      </c>
      <c r="L673" s="21">
        <f t="shared" si="601"/>
        <v>0</v>
      </c>
      <c r="M673" s="21">
        <f t="shared" si="601"/>
        <v>0</v>
      </c>
      <c r="N673" s="21">
        <f t="shared" si="601"/>
        <v>0</v>
      </c>
      <c r="O673" s="21">
        <f t="shared" si="601"/>
        <v>0</v>
      </c>
      <c r="P673" s="21">
        <f t="shared" si="601"/>
        <v>0</v>
      </c>
      <c r="Q673" s="21">
        <f t="shared" si="601"/>
        <v>0</v>
      </c>
      <c r="R673" s="21">
        <f t="shared" si="601"/>
        <v>0</v>
      </c>
      <c r="S673" s="21">
        <f t="shared" si="601"/>
        <v>188.39710433486587</v>
      </c>
      <c r="T673" s="21">
        <f t="shared" si="601"/>
        <v>188.39710433486584</v>
      </c>
      <c r="U673" s="21">
        <f t="shared" si="601"/>
        <v>188.39710433486587</v>
      </c>
      <c r="V673" s="21">
        <f t="shared" si="601"/>
        <v>188.39710433486587</v>
      </c>
      <c r="W673" s="563"/>
      <c r="X673" s="563"/>
      <c r="Y673" s="563"/>
      <c r="Z673" s="563"/>
      <c r="AA673" s="563"/>
      <c r="AB673" s="563"/>
      <c r="AC673" s="563"/>
      <c r="AD673" s="563"/>
      <c r="AE673" s="563"/>
    </row>
    <row r="674" spans="2:31" x14ac:dyDescent="0.2">
      <c r="C674" s="5" t="str">
        <f t="shared" si="598"/>
        <v>Lime</v>
      </c>
      <c r="D674" s="5"/>
      <c r="F674" s="1" t="s">
        <v>3</v>
      </c>
      <c r="G674" s="21">
        <f t="shared" si="599"/>
        <v>7.9920000000000018</v>
      </c>
      <c r="I674" s="21">
        <f t="shared" ref="I674:V674" si="602">IFERROR(I658/I$104,0)</f>
        <v>0</v>
      </c>
      <c r="J674" s="21">
        <f t="shared" si="602"/>
        <v>0</v>
      </c>
      <c r="K674" s="21">
        <f t="shared" si="602"/>
        <v>0</v>
      </c>
      <c r="L674" s="21">
        <f t="shared" si="602"/>
        <v>0</v>
      </c>
      <c r="M674" s="21">
        <f t="shared" si="602"/>
        <v>0</v>
      </c>
      <c r="N674" s="21">
        <f t="shared" si="602"/>
        <v>0</v>
      </c>
      <c r="O674" s="21">
        <f t="shared" si="602"/>
        <v>0</v>
      </c>
      <c r="P674" s="21">
        <f t="shared" si="602"/>
        <v>0</v>
      </c>
      <c r="Q674" s="21">
        <f t="shared" si="602"/>
        <v>0</v>
      </c>
      <c r="R674" s="21">
        <f t="shared" si="602"/>
        <v>0</v>
      </c>
      <c r="S674" s="21">
        <f t="shared" si="602"/>
        <v>7.9920000000000009</v>
      </c>
      <c r="T674" s="21">
        <f t="shared" si="602"/>
        <v>7.9920000000000009</v>
      </c>
      <c r="U674" s="21">
        <f t="shared" si="602"/>
        <v>7.9920000000000009</v>
      </c>
      <c r="V674" s="21">
        <f t="shared" si="602"/>
        <v>7.9920000000000009</v>
      </c>
      <c r="W674" s="563"/>
      <c r="X674" s="563"/>
      <c r="Y674" s="563"/>
      <c r="Z674" s="563"/>
      <c r="AA674" s="563"/>
      <c r="AB674" s="563"/>
      <c r="AC674" s="563"/>
      <c r="AD674" s="563"/>
      <c r="AE674" s="563"/>
    </row>
    <row r="675" spans="2:31" x14ac:dyDescent="0.2">
      <c r="C675" s="5" t="str">
        <f t="shared" si="598"/>
        <v>Briquettes</v>
      </c>
      <c r="D675" s="5"/>
      <c r="F675" s="1" t="s">
        <v>3</v>
      </c>
      <c r="G675" s="21">
        <f t="shared" si="599"/>
        <v>0.29976503033391522</v>
      </c>
      <c r="I675" s="21">
        <f t="shared" ref="I675:V675" si="603">IFERROR(I659/I$104,0)</f>
        <v>0</v>
      </c>
      <c r="J675" s="21">
        <f t="shared" si="603"/>
        <v>0</v>
      </c>
      <c r="K675" s="21">
        <f t="shared" si="603"/>
        <v>0</v>
      </c>
      <c r="L675" s="21">
        <f t="shared" si="603"/>
        <v>0</v>
      </c>
      <c r="M675" s="21">
        <f t="shared" si="603"/>
        <v>0</v>
      </c>
      <c r="N675" s="21">
        <f t="shared" si="603"/>
        <v>0</v>
      </c>
      <c r="O675" s="21">
        <f t="shared" si="603"/>
        <v>0</v>
      </c>
      <c r="P675" s="21">
        <f t="shared" si="603"/>
        <v>0</v>
      </c>
      <c r="Q675" s="21">
        <f t="shared" si="603"/>
        <v>0</v>
      </c>
      <c r="R675" s="21">
        <f t="shared" si="603"/>
        <v>0</v>
      </c>
      <c r="S675" s="21">
        <f t="shared" si="603"/>
        <v>0.29976503033391522</v>
      </c>
      <c r="T675" s="21">
        <f t="shared" si="603"/>
        <v>0.29976503033391522</v>
      </c>
      <c r="U675" s="21">
        <f t="shared" si="603"/>
        <v>0.29976503033391522</v>
      </c>
      <c r="V675" s="21">
        <f t="shared" si="603"/>
        <v>0.29976503033391522</v>
      </c>
      <c r="W675" s="563"/>
      <c r="X675" s="563"/>
      <c r="Y675" s="563"/>
      <c r="Z675" s="563"/>
      <c r="AA675" s="563"/>
      <c r="AB675" s="563"/>
      <c r="AC675" s="563"/>
      <c r="AD675" s="563"/>
      <c r="AE675" s="563"/>
    </row>
    <row r="676" spans="2:31" x14ac:dyDescent="0.2">
      <c r="C676" s="5" t="str">
        <f t="shared" si="598"/>
        <v>Electricity</v>
      </c>
      <c r="D676" s="5"/>
      <c r="F676" s="1" t="s">
        <v>3</v>
      </c>
      <c r="G676" s="21">
        <f t="shared" si="599"/>
        <v>18.212375416031385</v>
      </c>
      <c r="I676" s="21">
        <f t="shared" ref="I676:V676" si="604">IFERROR(I660/I$104,0)</f>
        <v>0</v>
      </c>
      <c r="J676" s="21">
        <f t="shared" si="604"/>
        <v>0</v>
      </c>
      <c r="K676" s="21">
        <f t="shared" si="604"/>
        <v>0</v>
      </c>
      <c r="L676" s="21">
        <f t="shared" si="604"/>
        <v>0</v>
      </c>
      <c r="M676" s="21">
        <f t="shared" si="604"/>
        <v>0</v>
      </c>
      <c r="N676" s="21">
        <f t="shared" si="604"/>
        <v>0</v>
      </c>
      <c r="O676" s="21">
        <f t="shared" si="604"/>
        <v>0</v>
      </c>
      <c r="P676" s="21">
        <f t="shared" si="604"/>
        <v>0</v>
      </c>
      <c r="Q676" s="21">
        <f t="shared" si="604"/>
        <v>0</v>
      </c>
      <c r="R676" s="21">
        <f t="shared" si="604"/>
        <v>0</v>
      </c>
      <c r="S676" s="21">
        <f t="shared" si="604"/>
        <v>18.212375416031385</v>
      </c>
      <c r="T676" s="21">
        <f t="shared" si="604"/>
        <v>18.212375416031385</v>
      </c>
      <c r="U676" s="21">
        <f t="shared" si="604"/>
        <v>18.212375416031385</v>
      </c>
      <c r="V676" s="21">
        <f t="shared" si="604"/>
        <v>18.212375416031385</v>
      </c>
      <c r="W676" s="563"/>
      <c r="X676" s="563"/>
      <c r="Y676" s="563"/>
      <c r="Z676" s="563"/>
      <c r="AA676" s="563"/>
      <c r="AB676" s="563"/>
      <c r="AC676" s="563"/>
      <c r="AD676" s="563"/>
      <c r="AE676" s="563"/>
    </row>
    <row r="677" spans="2:31" x14ac:dyDescent="0.2">
      <c r="C677" s="5" t="str">
        <f t="shared" si="598"/>
        <v>Natural Gas</v>
      </c>
      <c r="D677" s="5"/>
      <c r="F677" s="1" t="s">
        <v>3</v>
      </c>
      <c r="G677" s="21">
        <f t="shared" si="599"/>
        <v>39.47345058632272</v>
      </c>
      <c r="I677" s="21">
        <f t="shared" ref="I677:V677" si="605">IFERROR(I661/I$104,0)</f>
        <v>0</v>
      </c>
      <c r="J677" s="21">
        <f t="shared" si="605"/>
        <v>0</v>
      </c>
      <c r="K677" s="21">
        <f t="shared" si="605"/>
        <v>0</v>
      </c>
      <c r="L677" s="21">
        <f t="shared" si="605"/>
        <v>0</v>
      </c>
      <c r="M677" s="21">
        <f t="shared" si="605"/>
        <v>0</v>
      </c>
      <c r="N677" s="21">
        <f t="shared" si="605"/>
        <v>0</v>
      </c>
      <c r="O677" s="21">
        <f t="shared" si="605"/>
        <v>0</v>
      </c>
      <c r="P677" s="21">
        <f t="shared" si="605"/>
        <v>0</v>
      </c>
      <c r="Q677" s="21">
        <f t="shared" si="605"/>
        <v>0</v>
      </c>
      <c r="R677" s="21">
        <f t="shared" si="605"/>
        <v>0</v>
      </c>
      <c r="S677" s="21">
        <f t="shared" si="605"/>
        <v>40.109472863465669</v>
      </c>
      <c r="T677" s="21">
        <f t="shared" si="605"/>
        <v>40.109472863465669</v>
      </c>
      <c r="U677" s="21">
        <f t="shared" si="605"/>
        <v>40.109472863465669</v>
      </c>
      <c r="V677" s="21">
        <f t="shared" si="605"/>
        <v>38.042400462751083</v>
      </c>
      <c r="W677" s="563"/>
      <c r="X677" s="563"/>
      <c r="Y677" s="563"/>
      <c r="Z677" s="563"/>
      <c r="AA677" s="563"/>
      <c r="AB677" s="563"/>
      <c r="AC677" s="563"/>
      <c r="AD677" s="563"/>
      <c r="AE677" s="563"/>
    </row>
    <row r="678" spans="2:31" x14ac:dyDescent="0.2">
      <c r="C678" s="5" t="str">
        <f t="shared" si="598"/>
        <v>Maintenance</v>
      </c>
      <c r="D678" s="5"/>
      <c r="F678" s="1" t="s">
        <v>3</v>
      </c>
      <c r="G678" s="21">
        <f t="shared" si="599"/>
        <v>6.9207763595009295</v>
      </c>
      <c r="I678" s="21">
        <f t="shared" ref="I678:V678" si="606">IFERROR(I662/I$104,0)</f>
        <v>0</v>
      </c>
      <c r="J678" s="21">
        <f t="shared" si="606"/>
        <v>0</v>
      </c>
      <c r="K678" s="21">
        <f t="shared" si="606"/>
        <v>0</v>
      </c>
      <c r="L678" s="21">
        <f t="shared" si="606"/>
        <v>0</v>
      </c>
      <c r="M678" s="21">
        <f t="shared" si="606"/>
        <v>0</v>
      </c>
      <c r="N678" s="21">
        <f t="shared" si="606"/>
        <v>0</v>
      </c>
      <c r="O678" s="21">
        <f t="shared" si="606"/>
        <v>0</v>
      </c>
      <c r="P678" s="21">
        <f t="shared" si="606"/>
        <v>0</v>
      </c>
      <c r="Q678" s="21">
        <f t="shared" si="606"/>
        <v>0</v>
      </c>
      <c r="R678" s="21">
        <f t="shared" si="606"/>
        <v>0</v>
      </c>
      <c r="S678" s="21">
        <f t="shared" si="606"/>
        <v>11.246261584189011</v>
      </c>
      <c r="T678" s="21">
        <f t="shared" si="606"/>
        <v>7.4975077227926734</v>
      </c>
      <c r="U678" s="21">
        <f t="shared" si="606"/>
        <v>5.6231307920945053</v>
      </c>
      <c r="V678" s="21">
        <f t="shared" si="606"/>
        <v>5.6231307920945053</v>
      </c>
      <c r="W678" s="563"/>
      <c r="X678" s="563"/>
      <c r="Y678" s="563"/>
      <c r="Z678" s="563"/>
      <c r="AA678" s="563"/>
      <c r="AB678" s="563"/>
      <c r="AC678" s="563"/>
      <c r="AD678" s="563"/>
      <c r="AE678" s="563"/>
    </row>
    <row r="679" spans="2:31" x14ac:dyDescent="0.2">
      <c r="B679" s="21"/>
      <c r="C679" s="5" t="str">
        <f t="shared" si="598"/>
        <v>Electrodes</v>
      </c>
      <c r="D679" s="5"/>
      <c r="F679" s="1" t="s">
        <v>3</v>
      </c>
      <c r="G679" s="21">
        <f t="shared" si="599"/>
        <v>24</v>
      </c>
      <c r="I679" s="21">
        <f t="shared" ref="I679:V679" si="607">IFERROR(I663/I$104,0)</f>
        <v>0</v>
      </c>
      <c r="J679" s="21">
        <f t="shared" si="607"/>
        <v>0</v>
      </c>
      <c r="K679" s="21">
        <f t="shared" si="607"/>
        <v>0</v>
      </c>
      <c r="L679" s="21">
        <f t="shared" si="607"/>
        <v>0</v>
      </c>
      <c r="M679" s="21">
        <f t="shared" si="607"/>
        <v>0</v>
      </c>
      <c r="N679" s="21">
        <f t="shared" si="607"/>
        <v>0</v>
      </c>
      <c r="O679" s="21">
        <f t="shared" si="607"/>
        <v>0</v>
      </c>
      <c r="P679" s="21">
        <f t="shared" si="607"/>
        <v>0</v>
      </c>
      <c r="Q679" s="21">
        <f t="shared" si="607"/>
        <v>0</v>
      </c>
      <c r="R679" s="21">
        <f t="shared" si="607"/>
        <v>0</v>
      </c>
      <c r="S679" s="21">
        <f t="shared" si="607"/>
        <v>24</v>
      </c>
      <c r="T679" s="21">
        <f t="shared" si="607"/>
        <v>24</v>
      </c>
      <c r="U679" s="21">
        <f t="shared" si="607"/>
        <v>24</v>
      </c>
      <c r="V679" s="21">
        <f t="shared" si="607"/>
        <v>24</v>
      </c>
      <c r="W679" s="563"/>
      <c r="X679" s="563"/>
      <c r="Y679" s="563"/>
      <c r="Z679" s="563"/>
      <c r="AA679" s="563"/>
      <c r="AB679" s="563"/>
      <c r="AC679" s="563"/>
      <c r="AD679" s="563"/>
      <c r="AE679" s="563"/>
    </row>
    <row r="680" spans="2:31" x14ac:dyDescent="0.2">
      <c r="C680" s="5" t="str">
        <f t="shared" si="598"/>
        <v>Refractories</v>
      </c>
      <c r="D680" s="5"/>
      <c r="F680" s="1" t="s">
        <v>3</v>
      </c>
      <c r="G680" s="21">
        <f t="shared" si="599"/>
        <v>10.007841911323366</v>
      </c>
      <c r="I680" s="21">
        <f t="shared" ref="I680:V680" si="608">IFERROR(I664/I$104,0)</f>
        <v>0</v>
      </c>
      <c r="J680" s="21">
        <f t="shared" si="608"/>
        <v>0</v>
      </c>
      <c r="K680" s="21">
        <f t="shared" si="608"/>
        <v>0</v>
      </c>
      <c r="L680" s="21">
        <f t="shared" si="608"/>
        <v>0</v>
      </c>
      <c r="M680" s="21">
        <f t="shared" si="608"/>
        <v>0</v>
      </c>
      <c r="N680" s="21">
        <f t="shared" si="608"/>
        <v>0</v>
      </c>
      <c r="O680" s="21">
        <f t="shared" si="608"/>
        <v>0</v>
      </c>
      <c r="P680" s="21">
        <f t="shared" si="608"/>
        <v>0</v>
      </c>
      <c r="Q680" s="21">
        <f t="shared" si="608"/>
        <v>0</v>
      </c>
      <c r="R680" s="21">
        <f t="shared" si="608"/>
        <v>0</v>
      </c>
      <c r="S680" s="21">
        <f t="shared" si="608"/>
        <v>10.020912730900472</v>
      </c>
      <c r="T680" s="21">
        <f t="shared" si="608"/>
        <v>10.00958468726698</v>
      </c>
      <c r="U680" s="21">
        <f t="shared" si="608"/>
        <v>10.003920665450234</v>
      </c>
      <c r="V680" s="21">
        <f t="shared" si="608"/>
        <v>10.003920665450234</v>
      </c>
      <c r="W680" s="563"/>
      <c r="X680" s="563"/>
      <c r="Y680" s="563"/>
      <c r="Z680" s="563"/>
      <c r="AA680" s="563"/>
      <c r="AB680" s="563"/>
      <c r="AC680" s="563"/>
      <c r="AD680" s="563"/>
      <c r="AE680" s="563"/>
    </row>
    <row r="681" spans="2:31" x14ac:dyDescent="0.2">
      <c r="C681" s="5" t="str">
        <f t="shared" si="598"/>
        <v>Slag processing</v>
      </c>
      <c r="D681" s="5"/>
      <c r="F681" s="1" t="s">
        <v>3</v>
      </c>
      <c r="G681" s="21">
        <f t="shared" si="599"/>
        <v>3.1750616470588238</v>
      </c>
      <c r="I681" s="21">
        <f t="shared" ref="I681:V681" si="609">IFERROR(I665/I$104,0)</f>
        <v>0</v>
      </c>
      <c r="J681" s="21">
        <f t="shared" si="609"/>
        <v>0</v>
      </c>
      <c r="K681" s="21">
        <f t="shared" si="609"/>
        <v>0</v>
      </c>
      <c r="L681" s="21">
        <f t="shared" si="609"/>
        <v>0</v>
      </c>
      <c r="M681" s="21">
        <f t="shared" si="609"/>
        <v>0</v>
      </c>
      <c r="N681" s="21">
        <f t="shared" si="609"/>
        <v>0</v>
      </c>
      <c r="O681" s="21">
        <f t="shared" si="609"/>
        <v>0</v>
      </c>
      <c r="P681" s="21">
        <f t="shared" si="609"/>
        <v>0</v>
      </c>
      <c r="Q681" s="21">
        <f t="shared" si="609"/>
        <v>0</v>
      </c>
      <c r="R681" s="21">
        <f t="shared" si="609"/>
        <v>0</v>
      </c>
      <c r="S681" s="21">
        <f t="shared" si="609"/>
        <v>3.1750616470588238</v>
      </c>
      <c r="T681" s="21">
        <f t="shared" si="609"/>
        <v>3.1750616470588233</v>
      </c>
      <c r="U681" s="21">
        <f t="shared" si="609"/>
        <v>3.1750616470588238</v>
      </c>
      <c r="V681" s="21">
        <f t="shared" si="609"/>
        <v>3.1750616470588238</v>
      </c>
      <c r="W681" s="563"/>
      <c r="X681" s="563"/>
      <c r="Y681" s="563"/>
      <c r="Z681" s="563"/>
      <c r="AA681" s="563"/>
      <c r="AB681" s="563"/>
      <c r="AC681" s="563"/>
      <c r="AD681" s="563"/>
      <c r="AE681" s="563"/>
    </row>
    <row r="682" spans="2:31" x14ac:dyDescent="0.2">
      <c r="C682" s="5" t="str">
        <f t="shared" si="598"/>
        <v>Other gases and supplies</v>
      </c>
      <c r="D682" s="5"/>
      <c r="F682" s="1" t="s">
        <v>3</v>
      </c>
      <c r="G682" s="21">
        <f t="shared" si="599"/>
        <v>0.22704096972036183</v>
      </c>
      <c r="I682" s="21">
        <f t="shared" ref="I682:V682" si="610">IFERROR(I666/I$104,0)</f>
        <v>0</v>
      </c>
      <c r="J682" s="21">
        <f t="shared" si="610"/>
        <v>0</v>
      </c>
      <c r="K682" s="21">
        <f t="shared" si="610"/>
        <v>0</v>
      </c>
      <c r="L682" s="21">
        <f t="shared" si="610"/>
        <v>0</v>
      </c>
      <c r="M682" s="21">
        <f t="shared" si="610"/>
        <v>0</v>
      </c>
      <c r="N682" s="21">
        <f t="shared" si="610"/>
        <v>0</v>
      </c>
      <c r="O682" s="21">
        <f t="shared" si="610"/>
        <v>0</v>
      </c>
      <c r="P682" s="21">
        <f t="shared" si="610"/>
        <v>0</v>
      </c>
      <c r="Q682" s="21">
        <f t="shared" si="610"/>
        <v>0</v>
      </c>
      <c r="R682" s="21">
        <f t="shared" si="610"/>
        <v>0</v>
      </c>
      <c r="S682" s="21">
        <f t="shared" si="610"/>
        <v>0.36894157579558795</v>
      </c>
      <c r="T682" s="21">
        <f t="shared" si="610"/>
        <v>0.24596105053039197</v>
      </c>
      <c r="U682" s="21">
        <f t="shared" si="610"/>
        <v>0.18447078789779398</v>
      </c>
      <c r="V682" s="21">
        <f t="shared" si="610"/>
        <v>0.18447078789779398</v>
      </c>
      <c r="W682" s="563"/>
      <c r="X682" s="563"/>
      <c r="Y682" s="563"/>
      <c r="Z682" s="563"/>
      <c r="AA682" s="563"/>
      <c r="AB682" s="563"/>
      <c r="AC682" s="563"/>
      <c r="AD682" s="563"/>
      <c r="AE682" s="563"/>
    </row>
    <row r="683" spans="2:31" x14ac:dyDescent="0.2">
      <c r="C683" s="5" t="str">
        <f t="shared" si="598"/>
        <v>General services and mobile equipment</v>
      </c>
      <c r="D683" s="5"/>
      <c r="F683" s="1" t="s">
        <v>3</v>
      </c>
      <c r="G683" s="21">
        <f t="shared" si="599"/>
        <v>1.75</v>
      </c>
      <c r="I683" s="21">
        <f t="shared" ref="I683:V683" si="611">IFERROR(I667/I$104,0)</f>
        <v>0</v>
      </c>
      <c r="J683" s="21">
        <f t="shared" si="611"/>
        <v>0</v>
      </c>
      <c r="K683" s="21">
        <f t="shared" si="611"/>
        <v>0</v>
      </c>
      <c r="L683" s="21">
        <f t="shared" si="611"/>
        <v>0</v>
      </c>
      <c r="M683" s="21">
        <f t="shared" si="611"/>
        <v>0</v>
      </c>
      <c r="N683" s="21">
        <f t="shared" si="611"/>
        <v>0</v>
      </c>
      <c r="O683" s="21">
        <f t="shared" si="611"/>
        <v>0</v>
      </c>
      <c r="P683" s="21">
        <f t="shared" si="611"/>
        <v>0</v>
      </c>
      <c r="Q683" s="21">
        <f t="shared" si="611"/>
        <v>0</v>
      </c>
      <c r="R683" s="21">
        <f t="shared" si="611"/>
        <v>0</v>
      </c>
      <c r="S683" s="21">
        <f t="shared" si="611"/>
        <v>1.7500000000000002</v>
      </c>
      <c r="T683" s="21">
        <f t="shared" si="611"/>
        <v>1.75</v>
      </c>
      <c r="U683" s="21">
        <f t="shared" si="611"/>
        <v>1.7500000000000002</v>
      </c>
      <c r="V683" s="21">
        <f t="shared" si="611"/>
        <v>1.7500000000000002</v>
      </c>
      <c r="W683" s="563"/>
      <c r="X683" s="563"/>
      <c r="Y683" s="563"/>
      <c r="Z683" s="563"/>
      <c r="AA683" s="563"/>
      <c r="AB683" s="563"/>
      <c r="AC683" s="563"/>
      <c r="AD683" s="563"/>
      <c r="AE683" s="563"/>
    </row>
    <row r="684" spans="2:31" x14ac:dyDescent="0.2">
      <c r="C684" s="5" t="str">
        <f t="shared" si="598"/>
        <v>Industrial Water</v>
      </c>
      <c r="D684" s="5"/>
      <c r="F684" s="1" t="s">
        <v>3</v>
      </c>
      <c r="G684" s="21">
        <f t="shared" si="599"/>
        <v>0.44252771362586607</v>
      </c>
      <c r="I684" s="21">
        <f t="shared" ref="I684:V684" si="612">IFERROR(I668/I$104,0)</f>
        <v>0</v>
      </c>
      <c r="J684" s="21">
        <f t="shared" si="612"/>
        <v>0</v>
      </c>
      <c r="K684" s="21">
        <f t="shared" si="612"/>
        <v>0</v>
      </c>
      <c r="L684" s="21">
        <f t="shared" si="612"/>
        <v>0</v>
      </c>
      <c r="M684" s="21">
        <f t="shared" si="612"/>
        <v>0</v>
      </c>
      <c r="N684" s="21">
        <f t="shared" si="612"/>
        <v>0</v>
      </c>
      <c r="O684" s="21">
        <f t="shared" si="612"/>
        <v>0</v>
      </c>
      <c r="P684" s="21">
        <f t="shared" si="612"/>
        <v>0</v>
      </c>
      <c r="Q684" s="21">
        <f t="shared" si="612"/>
        <v>0</v>
      </c>
      <c r="R684" s="21">
        <f t="shared" si="612"/>
        <v>0</v>
      </c>
      <c r="S684" s="21">
        <f t="shared" si="612"/>
        <v>0.44252771362586601</v>
      </c>
      <c r="T684" s="21">
        <f t="shared" si="612"/>
        <v>0.44252771362586601</v>
      </c>
      <c r="U684" s="21">
        <f t="shared" si="612"/>
        <v>0.44252771362586601</v>
      </c>
      <c r="V684" s="21">
        <f t="shared" si="612"/>
        <v>0.44252771362586601</v>
      </c>
      <c r="W684" s="563"/>
      <c r="X684" s="563"/>
      <c r="Y684" s="563"/>
      <c r="Z684" s="563"/>
      <c r="AA684" s="563"/>
      <c r="AB684" s="563"/>
      <c r="AC684" s="563"/>
      <c r="AD684" s="563"/>
      <c r="AE684" s="563"/>
    </row>
    <row r="685" spans="2:31" x14ac:dyDescent="0.2">
      <c r="C685" s="5" t="str">
        <f t="shared" si="598"/>
        <v>O2, N2, others</v>
      </c>
      <c r="D685" s="5"/>
      <c r="F685" s="1" t="s">
        <v>3</v>
      </c>
      <c r="G685" s="21">
        <f t="shared" si="599"/>
        <v>5.05</v>
      </c>
      <c r="I685" s="21">
        <f t="shared" ref="I685:V685" si="613">IFERROR(I669/I$104,0)</f>
        <v>0</v>
      </c>
      <c r="J685" s="21">
        <f t="shared" si="613"/>
        <v>0</v>
      </c>
      <c r="K685" s="21">
        <f t="shared" si="613"/>
        <v>0</v>
      </c>
      <c r="L685" s="21">
        <f t="shared" si="613"/>
        <v>0</v>
      </c>
      <c r="M685" s="21">
        <f t="shared" si="613"/>
        <v>0</v>
      </c>
      <c r="N685" s="21">
        <f t="shared" si="613"/>
        <v>0</v>
      </c>
      <c r="O685" s="21">
        <f t="shared" si="613"/>
        <v>0</v>
      </c>
      <c r="P685" s="21">
        <f t="shared" si="613"/>
        <v>0</v>
      </c>
      <c r="Q685" s="21">
        <f t="shared" si="613"/>
        <v>0</v>
      </c>
      <c r="R685" s="21">
        <f t="shared" si="613"/>
        <v>0</v>
      </c>
      <c r="S685" s="21">
        <f t="shared" si="613"/>
        <v>5.0499999999999989</v>
      </c>
      <c r="T685" s="21">
        <f t="shared" si="613"/>
        <v>5.05</v>
      </c>
      <c r="U685" s="21">
        <f t="shared" si="613"/>
        <v>5.0499999999999989</v>
      </c>
      <c r="V685" s="21">
        <f t="shared" si="613"/>
        <v>5.0499999999999989</v>
      </c>
      <c r="W685" s="563"/>
      <c r="X685" s="563"/>
      <c r="Y685" s="563"/>
      <c r="Z685" s="563"/>
      <c r="AA685" s="563"/>
      <c r="AB685" s="563"/>
      <c r="AC685" s="563"/>
      <c r="AD685" s="563"/>
      <c r="AE685" s="563"/>
    </row>
    <row r="686" spans="2:31" x14ac:dyDescent="0.2">
      <c r="C686" s="20" t="str">
        <f t="shared" si="598"/>
        <v>Total Pig Iron plant production cost</v>
      </c>
      <c r="D686" s="20"/>
      <c r="F686" s="9" t="s">
        <v>3</v>
      </c>
      <c r="G686" s="44">
        <f t="shared" si="599"/>
        <v>323.9138596143207</v>
      </c>
      <c r="I686" s="44">
        <f>IFERROR(I670/I$104,0)</f>
        <v>0</v>
      </c>
      <c r="J686" s="44">
        <f t="shared" ref="J686:V686" si="614">IFERROR(J670/J$104,0)</f>
        <v>0</v>
      </c>
      <c r="K686" s="44">
        <f t="shared" si="614"/>
        <v>0</v>
      </c>
      <c r="L686" s="44">
        <f t="shared" si="614"/>
        <v>0</v>
      </c>
      <c r="M686" s="44">
        <f t="shared" si="614"/>
        <v>0</v>
      </c>
      <c r="N686" s="44">
        <f t="shared" si="614"/>
        <v>0</v>
      </c>
      <c r="O686" s="44">
        <f t="shared" si="614"/>
        <v>0</v>
      </c>
      <c r="P686" s="44">
        <f t="shared" si="614"/>
        <v>0</v>
      </c>
      <c r="Q686" s="44">
        <f t="shared" si="614"/>
        <v>0</v>
      </c>
      <c r="R686" s="44">
        <f t="shared" si="614"/>
        <v>0</v>
      </c>
      <c r="S686" s="44">
        <f t="shared" si="614"/>
        <v>340.25903582026501</v>
      </c>
      <c r="T686" s="44">
        <f t="shared" si="614"/>
        <v>326.64443574863714</v>
      </c>
      <c r="U686" s="44">
        <f t="shared" si="614"/>
        <v>319.83713571282334</v>
      </c>
      <c r="V686" s="44">
        <f t="shared" si="614"/>
        <v>317.77006331210873</v>
      </c>
      <c r="W686" s="580"/>
      <c r="X686" s="580"/>
      <c r="Y686" s="580"/>
      <c r="Z686" s="580"/>
      <c r="AA686" s="580"/>
      <c r="AB686" s="580"/>
      <c r="AC686" s="580"/>
      <c r="AD686" s="580"/>
      <c r="AE686" s="580"/>
    </row>
    <row r="687" spans="2:31" x14ac:dyDescent="0.2">
      <c r="C687" s="5"/>
      <c r="D687" s="5"/>
    </row>
    <row r="688" spans="2:31" x14ac:dyDescent="0.2">
      <c r="C688" s="5" t="s">
        <v>47</v>
      </c>
      <c r="D688" s="5"/>
      <c r="F688" s="1" t="s">
        <v>55</v>
      </c>
      <c r="G688" s="21">
        <f>SUM(K688:AE688)</f>
        <v>6.3304576852945891</v>
      </c>
      <c r="I688" s="21">
        <f t="shared" ref="I688" si="615">I656</f>
        <v>0</v>
      </c>
      <c r="J688" s="21">
        <f t="shared" ref="J688" si="616">J656</f>
        <v>0</v>
      </c>
      <c r="K688" s="21">
        <f t="shared" ref="K688:V688" si="617">K656</f>
        <v>0</v>
      </c>
      <c r="L688" s="21">
        <f t="shared" si="617"/>
        <v>0</v>
      </c>
      <c r="M688" s="21">
        <f t="shared" si="617"/>
        <v>0</v>
      </c>
      <c r="N688" s="21">
        <f t="shared" si="617"/>
        <v>0</v>
      </c>
      <c r="O688" s="21">
        <f t="shared" si="617"/>
        <v>0</v>
      </c>
      <c r="P688" s="21">
        <f t="shared" si="617"/>
        <v>0</v>
      </c>
      <c r="Q688" s="21">
        <f t="shared" si="617"/>
        <v>0</v>
      </c>
      <c r="R688" s="21">
        <f t="shared" si="617"/>
        <v>0</v>
      </c>
      <c r="S688" s="21">
        <f t="shared" si="617"/>
        <v>1.5826144213236473</v>
      </c>
      <c r="T688" s="21">
        <f t="shared" si="617"/>
        <v>1.5826144213236473</v>
      </c>
      <c r="U688" s="21">
        <f t="shared" si="617"/>
        <v>1.5826144213236473</v>
      </c>
      <c r="V688" s="21">
        <f t="shared" si="617"/>
        <v>1.5826144213236473</v>
      </c>
      <c r="W688" s="563"/>
      <c r="X688" s="563"/>
      <c r="Y688" s="563"/>
      <c r="Z688" s="563"/>
      <c r="AA688" s="563"/>
      <c r="AB688" s="563"/>
      <c r="AC688" s="563"/>
      <c r="AD688" s="563"/>
      <c r="AE688" s="563"/>
    </row>
    <row r="689" spans="2:36" x14ac:dyDescent="0.2">
      <c r="C689" s="5" t="str">
        <f>C612</f>
        <v>Raw Material Costs</v>
      </c>
      <c r="D689" s="5"/>
      <c r="F689" s="1" t="s">
        <v>55</v>
      </c>
      <c r="G689" s="21">
        <f t="shared" ref="G689:G694" si="618">SUM(K689:AE689)</f>
        <v>69.305154785924103</v>
      </c>
      <c r="I689" s="52">
        <f t="shared" ref="I689" si="619">I616</f>
        <v>0</v>
      </c>
      <c r="J689" s="52">
        <f t="shared" ref="J689" si="620">J616</f>
        <v>0</v>
      </c>
      <c r="K689" s="52">
        <f t="shared" ref="K689:V689" si="621">K616</f>
        <v>0</v>
      </c>
      <c r="L689" s="52">
        <f t="shared" si="621"/>
        <v>0</v>
      </c>
      <c r="M689" s="52">
        <f t="shared" si="621"/>
        <v>0</v>
      </c>
      <c r="N689" s="52">
        <f t="shared" si="621"/>
        <v>0</v>
      </c>
      <c r="O689" s="52">
        <f t="shared" si="621"/>
        <v>0</v>
      </c>
      <c r="P689" s="52">
        <f t="shared" si="621"/>
        <v>0</v>
      </c>
      <c r="Q689" s="52">
        <f t="shared" si="621"/>
        <v>0</v>
      </c>
      <c r="R689" s="52">
        <f t="shared" si="621"/>
        <v>0</v>
      </c>
      <c r="S689" s="52">
        <f t="shared" si="621"/>
        <v>10.662331505526785</v>
      </c>
      <c r="T689" s="52">
        <f t="shared" si="621"/>
        <v>15.993497258290175</v>
      </c>
      <c r="U689" s="52">
        <f t="shared" si="621"/>
        <v>21.32466301105357</v>
      </c>
      <c r="V689" s="52">
        <f t="shared" si="621"/>
        <v>21.32466301105357</v>
      </c>
      <c r="W689" s="563"/>
      <c r="X689" s="563"/>
      <c r="Y689" s="563"/>
      <c r="Z689" s="563"/>
      <c r="AA689" s="563"/>
      <c r="AB689" s="563"/>
      <c r="AC689" s="563"/>
      <c r="AD689" s="563"/>
      <c r="AE689" s="563"/>
    </row>
    <row r="690" spans="2:36" x14ac:dyDescent="0.2">
      <c r="C690" s="5" t="str">
        <f>C618</f>
        <v>Storage &amp; Cold Processing</v>
      </c>
      <c r="D690" s="5"/>
      <c r="F690" s="1" t="s">
        <v>55</v>
      </c>
      <c r="G690" s="21">
        <f t="shared" si="618"/>
        <v>0.15539866438947336</v>
      </c>
      <c r="I690" s="52">
        <f t="shared" ref="I690" si="622">I622</f>
        <v>0</v>
      </c>
      <c r="J690" s="52">
        <f t="shared" ref="J690" si="623">J622</f>
        <v>0</v>
      </c>
      <c r="K690" s="52">
        <f t="shared" ref="K690:V690" si="624">K622</f>
        <v>0</v>
      </c>
      <c r="L690" s="52">
        <f t="shared" si="624"/>
        <v>0</v>
      </c>
      <c r="M690" s="52">
        <f t="shared" si="624"/>
        <v>0</v>
      </c>
      <c r="N690" s="52">
        <f t="shared" si="624"/>
        <v>0</v>
      </c>
      <c r="O690" s="52">
        <f t="shared" si="624"/>
        <v>0</v>
      </c>
      <c r="P690" s="52">
        <f t="shared" si="624"/>
        <v>0</v>
      </c>
      <c r="Q690" s="52">
        <f t="shared" si="624"/>
        <v>0</v>
      </c>
      <c r="R690" s="52">
        <f t="shared" si="624"/>
        <v>0</v>
      </c>
      <c r="S690" s="52">
        <f t="shared" si="624"/>
        <v>3.5333352213765129E-2</v>
      </c>
      <c r="T690" s="52">
        <f t="shared" si="624"/>
        <v>3.8146403320647698E-2</v>
      </c>
      <c r="U690" s="52">
        <f t="shared" si="624"/>
        <v>4.0959454427530267E-2</v>
      </c>
      <c r="V690" s="52">
        <f t="shared" si="624"/>
        <v>4.0959454427530267E-2</v>
      </c>
      <c r="W690" s="563"/>
      <c r="X690" s="563"/>
      <c r="Y690" s="563"/>
      <c r="Z690" s="563"/>
      <c r="AA690" s="563"/>
      <c r="AB690" s="563"/>
      <c r="AC690" s="563"/>
      <c r="AD690" s="563"/>
      <c r="AE690" s="563"/>
    </row>
    <row r="691" spans="2:36" x14ac:dyDescent="0.2">
      <c r="C691" s="5" t="str">
        <f>C624</f>
        <v>Shaft Furnace</v>
      </c>
      <c r="D691" s="5"/>
      <c r="F691" s="1" t="s">
        <v>55</v>
      </c>
      <c r="G691" s="21">
        <f t="shared" si="618"/>
        <v>17.853391954503707</v>
      </c>
      <c r="I691" s="52">
        <f t="shared" ref="I691" si="625">I630</f>
        <v>0</v>
      </c>
      <c r="J691" s="52">
        <f t="shared" ref="J691" si="626">J630</f>
        <v>0</v>
      </c>
      <c r="K691" s="52">
        <f t="shared" ref="K691:V691" si="627">K630</f>
        <v>0</v>
      </c>
      <c r="L691" s="52">
        <f t="shared" si="627"/>
        <v>0</v>
      </c>
      <c r="M691" s="52">
        <f t="shared" si="627"/>
        <v>0</v>
      </c>
      <c r="N691" s="52">
        <f t="shared" si="627"/>
        <v>0</v>
      </c>
      <c r="O691" s="52">
        <f t="shared" si="627"/>
        <v>0</v>
      </c>
      <c r="P691" s="52">
        <f t="shared" si="627"/>
        <v>0</v>
      </c>
      <c r="Q691" s="52">
        <f t="shared" si="627"/>
        <v>0</v>
      </c>
      <c r="R691" s="52">
        <f t="shared" si="627"/>
        <v>0</v>
      </c>
      <c r="S691" s="52">
        <f t="shared" si="627"/>
        <v>2.9104219733557661</v>
      </c>
      <c r="T691" s="52">
        <f t="shared" si="627"/>
        <v>4.1975844600336494</v>
      </c>
      <c r="U691" s="52">
        <f t="shared" si="627"/>
        <v>5.4847469467115317</v>
      </c>
      <c r="V691" s="52">
        <f t="shared" si="627"/>
        <v>5.2606385744027584</v>
      </c>
      <c r="W691" s="563"/>
      <c r="X691" s="563"/>
      <c r="Y691" s="563"/>
      <c r="Z691" s="563"/>
      <c r="AA691" s="563"/>
      <c r="AB691" s="563"/>
      <c r="AC691" s="563"/>
      <c r="AD691" s="563"/>
      <c r="AE691" s="563"/>
    </row>
    <row r="692" spans="2:36" x14ac:dyDescent="0.2">
      <c r="C692" s="5" t="str">
        <f>C632</f>
        <v>EAF</v>
      </c>
      <c r="D692" s="5"/>
      <c r="F692" s="1" t="s">
        <v>55</v>
      </c>
      <c r="G692" s="21">
        <f t="shared" si="618"/>
        <v>17.989501014156094</v>
      </c>
      <c r="I692" s="52">
        <f t="shared" ref="I692" si="628">I644</f>
        <v>0</v>
      </c>
      <c r="J692" s="52">
        <f t="shared" ref="J692" si="629">J644</f>
        <v>0</v>
      </c>
      <c r="K692" s="52">
        <f t="shared" ref="K692:V692" si="630">K644</f>
        <v>0</v>
      </c>
      <c r="L692" s="52">
        <f t="shared" si="630"/>
        <v>0</v>
      </c>
      <c r="M692" s="52">
        <f t="shared" si="630"/>
        <v>0</v>
      </c>
      <c r="N692" s="52">
        <f t="shared" si="630"/>
        <v>0</v>
      </c>
      <c r="O692" s="52">
        <f t="shared" si="630"/>
        <v>0</v>
      </c>
      <c r="P692" s="52">
        <f t="shared" si="630"/>
        <v>0</v>
      </c>
      <c r="Q692" s="52">
        <f t="shared" si="630"/>
        <v>0</v>
      </c>
      <c r="R692" s="52">
        <f t="shared" si="630"/>
        <v>0</v>
      </c>
      <c r="S692" s="52">
        <f t="shared" si="630"/>
        <v>2.7898989060240145</v>
      </c>
      <c r="T692" s="52">
        <f t="shared" si="630"/>
        <v>4.1558799840360221</v>
      </c>
      <c r="U692" s="52">
        <f t="shared" si="630"/>
        <v>5.5218610620480284</v>
      </c>
      <c r="V692" s="52">
        <f t="shared" si="630"/>
        <v>5.5218610620480284</v>
      </c>
      <c r="W692" s="563"/>
      <c r="X692" s="563"/>
      <c r="Y692" s="563"/>
      <c r="Z692" s="563"/>
      <c r="AA692" s="563"/>
      <c r="AB692" s="563"/>
      <c r="AC692" s="563"/>
      <c r="AD692" s="563"/>
      <c r="AE692" s="563"/>
    </row>
    <row r="693" spans="2:36" x14ac:dyDescent="0.2">
      <c r="C693" s="5" t="str">
        <f>C646</f>
        <v>Auxiliaries</v>
      </c>
      <c r="D693" s="5"/>
      <c r="F693" s="1" t="s">
        <v>55</v>
      </c>
      <c r="G693" s="21">
        <f t="shared" si="618"/>
        <v>2.5001607786555993</v>
      </c>
      <c r="I693" s="52">
        <f t="shared" ref="I693" si="631">I652</f>
        <v>0</v>
      </c>
      <c r="J693" s="52">
        <f t="shared" ref="J693" si="632">J652</f>
        <v>0</v>
      </c>
      <c r="K693" s="52">
        <f t="shared" ref="K693:V693" si="633">K652</f>
        <v>0</v>
      </c>
      <c r="L693" s="52">
        <f t="shared" si="633"/>
        <v>0</v>
      </c>
      <c r="M693" s="52">
        <f t="shared" si="633"/>
        <v>0</v>
      </c>
      <c r="N693" s="52">
        <f t="shared" si="633"/>
        <v>0</v>
      </c>
      <c r="O693" s="52">
        <f t="shared" si="633"/>
        <v>0</v>
      </c>
      <c r="P693" s="52">
        <f t="shared" si="633"/>
        <v>0</v>
      </c>
      <c r="Q693" s="52">
        <f t="shared" si="633"/>
        <v>0</v>
      </c>
      <c r="R693" s="52">
        <f t="shared" si="633"/>
        <v>0</v>
      </c>
      <c r="S693" s="52">
        <f t="shared" si="633"/>
        <v>0.46454444671624612</v>
      </c>
      <c r="T693" s="52">
        <f t="shared" si="633"/>
        <v>0.59294104507436907</v>
      </c>
      <c r="U693" s="52">
        <f t="shared" si="633"/>
        <v>0.72133764343249207</v>
      </c>
      <c r="V693" s="52">
        <f t="shared" si="633"/>
        <v>0.72133764343249207</v>
      </c>
      <c r="W693" s="563"/>
      <c r="X693" s="563"/>
      <c r="Y693" s="563"/>
      <c r="Z693" s="563"/>
      <c r="AA693" s="563"/>
      <c r="AB693" s="563"/>
      <c r="AC693" s="563"/>
      <c r="AD693" s="563"/>
      <c r="AE693" s="563"/>
    </row>
    <row r="694" spans="2:36" x14ac:dyDescent="0.2">
      <c r="C694" s="20" t="str">
        <f>C654</f>
        <v>Total Pig Iron Production Cost</v>
      </c>
      <c r="D694" s="20"/>
      <c r="F694" s="9" t="s">
        <v>55</v>
      </c>
      <c r="G694" s="44">
        <f t="shared" si="618"/>
        <v>114.13406488292355</v>
      </c>
      <c r="I694" s="44">
        <f>SUM(I688:I693)</f>
        <v>0</v>
      </c>
      <c r="J694" s="44">
        <f>SUM(J688:J693)</f>
        <v>0</v>
      </c>
      <c r="K694" s="44">
        <f>SUM(K688:K693)</f>
        <v>0</v>
      </c>
      <c r="L694" s="44">
        <f>SUM(L688:L693)</f>
        <v>0</v>
      </c>
      <c r="M694" s="44">
        <f t="shared" ref="M694:V694" si="634">SUM(M688:M693)</f>
        <v>0</v>
      </c>
      <c r="N694" s="44">
        <f>SUM(N688:N693)</f>
        <v>0</v>
      </c>
      <c r="O694" s="44">
        <f t="shared" si="634"/>
        <v>0</v>
      </c>
      <c r="P694" s="44">
        <f t="shared" si="634"/>
        <v>0</v>
      </c>
      <c r="Q694" s="44">
        <f t="shared" si="634"/>
        <v>0</v>
      </c>
      <c r="R694" s="44">
        <f t="shared" si="634"/>
        <v>0</v>
      </c>
      <c r="S694" s="44">
        <f t="shared" si="634"/>
        <v>18.445144605160223</v>
      </c>
      <c r="T694" s="44">
        <f t="shared" si="634"/>
        <v>26.560663572078511</v>
      </c>
      <c r="U694" s="44">
        <f t="shared" si="634"/>
        <v>34.676182538996798</v>
      </c>
      <c r="V694" s="44">
        <f t="shared" si="634"/>
        <v>34.452074166688021</v>
      </c>
      <c r="W694" s="580"/>
      <c r="X694" s="580"/>
      <c r="Y694" s="580"/>
      <c r="Z694" s="580"/>
      <c r="AA694" s="580"/>
      <c r="AB694" s="580"/>
      <c r="AC694" s="580"/>
      <c r="AD694" s="580"/>
      <c r="AE694" s="580"/>
    </row>
    <row r="695" spans="2:36" x14ac:dyDescent="0.2">
      <c r="C695" s="5"/>
      <c r="D695" s="5"/>
      <c r="I695" s="33"/>
    </row>
    <row r="696" spans="2:36" x14ac:dyDescent="0.2">
      <c r="C696" s="5" t="s">
        <v>47</v>
      </c>
      <c r="D696" s="5"/>
      <c r="F696" s="1" t="s">
        <v>3</v>
      </c>
      <c r="G696" s="52">
        <f>G688/$G$104</f>
        <v>17.965915645537507</v>
      </c>
      <c r="I696" s="52">
        <f>IFERROR(I688/I$104,0)</f>
        <v>0</v>
      </c>
      <c r="J696" s="52">
        <f t="shared" ref="J696:V696" si="635">IFERROR(J688/J$104,0)</f>
        <v>0</v>
      </c>
      <c r="K696" s="52">
        <f t="shared" si="635"/>
        <v>0</v>
      </c>
      <c r="L696" s="52">
        <f t="shared" si="635"/>
        <v>0</v>
      </c>
      <c r="M696" s="52">
        <f t="shared" si="635"/>
        <v>0</v>
      </c>
      <c r="N696" s="52">
        <f t="shared" si="635"/>
        <v>0</v>
      </c>
      <c r="O696" s="52">
        <f t="shared" si="635"/>
        <v>0</v>
      </c>
      <c r="P696" s="52">
        <f t="shared" si="635"/>
        <v>0</v>
      </c>
      <c r="Q696" s="52">
        <f t="shared" si="635"/>
        <v>0</v>
      </c>
      <c r="R696" s="52">
        <f t="shared" si="635"/>
        <v>0</v>
      </c>
      <c r="S696" s="52">
        <f t="shared" si="635"/>
        <v>29.194612923998449</v>
      </c>
      <c r="T696" s="52">
        <f t="shared" si="635"/>
        <v>19.463075282665631</v>
      </c>
      <c r="U696" s="52">
        <f t="shared" si="635"/>
        <v>14.597306461999224</v>
      </c>
      <c r="V696" s="52">
        <f t="shared" si="635"/>
        <v>14.597306461999224</v>
      </c>
      <c r="W696" s="563"/>
      <c r="X696" s="563"/>
      <c r="Y696" s="563"/>
      <c r="Z696" s="563"/>
      <c r="AA696" s="563"/>
      <c r="AB696" s="563"/>
      <c r="AC696" s="563"/>
      <c r="AD696" s="563"/>
      <c r="AE696" s="563"/>
      <c r="AF696" s="563"/>
      <c r="AG696" s="563"/>
      <c r="AH696" s="563"/>
      <c r="AI696" s="563"/>
      <c r="AJ696" s="563"/>
    </row>
    <row r="697" spans="2:36" x14ac:dyDescent="0.2">
      <c r="C697" s="5" t="str">
        <f t="shared" ref="C697:C702" si="636">C689</f>
        <v>Raw Material Costs</v>
      </c>
      <c r="D697" s="5"/>
      <c r="F697" s="1" t="s">
        <v>3</v>
      </c>
      <c r="G697" s="21">
        <f t="shared" ref="G697:G702" si="637">G689/$G$104</f>
        <v>196.68886936519979</v>
      </c>
      <c r="I697" s="52">
        <f t="shared" ref="I697:V697" si="638">IFERROR(I689/I$104,0)</f>
        <v>0</v>
      </c>
      <c r="J697" s="52">
        <f t="shared" si="638"/>
        <v>0</v>
      </c>
      <c r="K697" s="52">
        <f t="shared" si="638"/>
        <v>0</v>
      </c>
      <c r="L697" s="52">
        <f t="shared" si="638"/>
        <v>0</v>
      </c>
      <c r="M697" s="52">
        <f t="shared" si="638"/>
        <v>0</v>
      </c>
      <c r="N697" s="52">
        <f t="shared" si="638"/>
        <v>0</v>
      </c>
      <c r="O697" s="52">
        <f t="shared" si="638"/>
        <v>0</v>
      </c>
      <c r="P697" s="52">
        <f t="shared" si="638"/>
        <v>0</v>
      </c>
      <c r="Q697" s="52">
        <f t="shared" si="638"/>
        <v>0</v>
      </c>
      <c r="R697" s="52">
        <f t="shared" si="638"/>
        <v>0</v>
      </c>
      <c r="S697" s="52">
        <f t="shared" si="638"/>
        <v>196.68886936519979</v>
      </c>
      <c r="T697" s="52">
        <f t="shared" si="638"/>
        <v>196.68886936519974</v>
      </c>
      <c r="U697" s="52">
        <f t="shared" si="638"/>
        <v>196.68886936519979</v>
      </c>
      <c r="V697" s="52">
        <f t="shared" si="638"/>
        <v>196.68886936519979</v>
      </c>
      <c r="W697" s="563"/>
      <c r="X697" s="563"/>
      <c r="Y697" s="563"/>
      <c r="Z697" s="563"/>
      <c r="AA697" s="563"/>
      <c r="AB697" s="563"/>
      <c r="AC697" s="563"/>
      <c r="AD697" s="563"/>
      <c r="AE697" s="563"/>
      <c r="AF697" s="563"/>
      <c r="AG697" s="563"/>
      <c r="AH697" s="563"/>
      <c r="AI697" s="563"/>
      <c r="AJ697" s="563"/>
    </row>
    <row r="698" spans="2:36" x14ac:dyDescent="0.2">
      <c r="C698" s="5" t="str">
        <f t="shared" si="636"/>
        <v>Storage &amp; Cold Processing</v>
      </c>
      <c r="D698" s="5"/>
      <c r="F698" s="1" t="s">
        <v>3</v>
      </c>
      <c r="G698" s="21">
        <f t="shared" si="637"/>
        <v>0.44102329320293865</v>
      </c>
      <c r="I698" s="52">
        <f t="shared" ref="I698:V698" si="639">IFERROR(I690/I$104,0)</f>
        <v>0</v>
      </c>
      <c r="J698" s="52">
        <f t="shared" si="639"/>
        <v>0</v>
      </c>
      <c r="K698" s="52">
        <f t="shared" si="639"/>
        <v>0</v>
      </c>
      <c r="L698" s="52">
        <f t="shared" si="639"/>
        <v>0</v>
      </c>
      <c r="M698" s="52">
        <f t="shared" si="639"/>
        <v>0</v>
      </c>
      <c r="N698" s="52">
        <f t="shared" si="639"/>
        <v>0</v>
      </c>
      <c r="O698" s="52">
        <f t="shared" si="639"/>
        <v>0</v>
      </c>
      <c r="P698" s="52">
        <f t="shared" si="639"/>
        <v>0</v>
      </c>
      <c r="Q698" s="52">
        <f t="shared" si="639"/>
        <v>0</v>
      </c>
      <c r="R698" s="52">
        <f t="shared" si="639"/>
        <v>0</v>
      </c>
      <c r="S698" s="52">
        <f t="shared" si="639"/>
        <v>0.65179713219435165</v>
      </c>
      <c r="T698" s="52">
        <f t="shared" si="639"/>
        <v>0.469126471735127</v>
      </c>
      <c r="U698" s="52">
        <f t="shared" si="639"/>
        <v>0.37779114150551468</v>
      </c>
      <c r="V698" s="52">
        <f t="shared" si="639"/>
        <v>0.37779114150551468</v>
      </c>
      <c r="W698" s="563"/>
      <c r="X698" s="563"/>
      <c r="Y698" s="563"/>
      <c r="Z698" s="563"/>
      <c r="AA698" s="563"/>
      <c r="AB698" s="563"/>
      <c r="AC698" s="563"/>
      <c r="AD698" s="563"/>
      <c r="AE698" s="563"/>
      <c r="AF698" s="563"/>
      <c r="AG698" s="563"/>
      <c r="AH698" s="563"/>
      <c r="AI698" s="563"/>
      <c r="AJ698" s="563"/>
    </row>
    <row r="699" spans="2:36" x14ac:dyDescent="0.2">
      <c r="C699" s="5" t="str">
        <f t="shared" si="636"/>
        <v>Shaft Furnace</v>
      </c>
      <c r="D699" s="5"/>
      <c r="F699" s="1" t="s">
        <v>3</v>
      </c>
      <c r="G699" s="21">
        <f t="shared" si="637"/>
        <v>50.668142776852839</v>
      </c>
      <c r="I699" s="52">
        <f t="shared" ref="I699:V699" si="640">IFERROR(I691/I$104,0)</f>
        <v>0</v>
      </c>
      <c r="J699" s="52">
        <f t="shared" si="640"/>
        <v>0</v>
      </c>
      <c r="K699" s="52">
        <f t="shared" si="640"/>
        <v>0</v>
      </c>
      <c r="L699" s="52">
        <f t="shared" si="640"/>
        <v>0</v>
      </c>
      <c r="M699" s="52">
        <f t="shared" si="640"/>
        <v>0</v>
      </c>
      <c r="N699" s="52">
        <f t="shared" si="640"/>
        <v>0</v>
      </c>
      <c r="O699" s="52">
        <f t="shared" si="640"/>
        <v>0</v>
      </c>
      <c r="P699" s="52">
        <f t="shared" si="640"/>
        <v>0</v>
      </c>
      <c r="Q699" s="52">
        <f t="shared" si="640"/>
        <v>0</v>
      </c>
      <c r="R699" s="52">
        <f t="shared" si="640"/>
        <v>0</v>
      </c>
      <c r="S699" s="52">
        <f t="shared" si="640"/>
        <v>53.688783453999051</v>
      </c>
      <c r="T699" s="52">
        <f t="shared" si="640"/>
        <v>51.622114173996223</v>
      </c>
      <c r="U699" s="52">
        <f t="shared" si="640"/>
        <v>50.588779533994803</v>
      </c>
      <c r="V699" s="52">
        <f t="shared" si="640"/>
        <v>48.521707133280223</v>
      </c>
      <c r="W699" s="563"/>
      <c r="X699" s="563"/>
      <c r="Y699" s="563"/>
      <c r="Z699" s="563"/>
      <c r="AA699" s="563"/>
      <c r="AB699" s="563"/>
      <c r="AC699" s="563"/>
      <c r="AD699" s="563"/>
      <c r="AE699" s="563"/>
      <c r="AF699" s="563"/>
      <c r="AG699" s="563"/>
      <c r="AH699" s="563"/>
      <c r="AI699" s="563"/>
      <c r="AJ699" s="563"/>
    </row>
    <row r="700" spans="2:36" x14ac:dyDescent="0.2">
      <c r="C700" s="5" t="str">
        <f>C692</f>
        <v>EAF</v>
      </c>
      <c r="D700" s="5"/>
      <c r="F700" s="1" t="s">
        <v>3</v>
      </c>
      <c r="G700" s="21">
        <f t="shared" si="637"/>
        <v>51.054421937992899</v>
      </c>
      <c r="I700" s="52">
        <f t="shared" ref="I700:V700" si="641">IFERROR(I692/I$104,0)</f>
        <v>0</v>
      </c>
      <c r="J700" s="52">
        <f t="shared" si="641"/>
        <v>0</v>
      </c>
      <c r="K700" s="52">
        <f t="shared" si="641"/>
        <v>0</v>
      </c>
      <c r="L700" s="52">
        <f t="shared" si="641"/>
        <v>0</v>
      </c>
      <c r="M700" s="52">
        <f t="shared" si="641"/>
        <v>0</v>
      </c>
      <c r="N700" s="52">
        <f t="shared" si="641"/>
        <v>0</v>
      </c>
      <c r="O700" s="52">
        <f t="shared" si="641"/>
        <v>0</v>
      </c>
      <c r="P700" s="52">
        <f t="shared" si="641"/>
        <v>0</v>
      </c>
      <c r="Q700" s="52">
        <f t="shared" si="641"/>
        <v>0</v>
      </c>
      <c r="R700" s="52">
        <f t="shared" si="641"/>
        <v>0</v>
      </c>
      <c r="S700" s="52">
        <f t="shared" si="641"/>
        <v>51.465484934944342</v>
      </c>
      <c r="T700" s="52">
        <f t="shared" si="641"/>
        <v>51.109230337586432</v>
      </c>
      <c r="U700" s="52">
        <f t="shared" si="641"/>
        <v>50.931103038907459</v>
      </c>
      <c r="V700" s="52">
        <f t="shared" si="641"/>
        <v>50.931103038907459</v>
      </c>
      <c r="W700" s="563"/>
      <c r="X700" s="563"/>
      <c r="Y700" s="563"/>
      <c r="Z700" s="563"/>
      <c r="AA700" s="563"/>
      <c r="AB700" s="563"/>
      <c r="AC700" s="563"/>
      <c r="AD700" s="563"/>
      <c r="AE700" s="563"/>
      <c r="AF700" s="563"/>
      <c r="AG700" s="563"/>
      <c r="AH700" s="563"/>
      <c r="AI700" s="563"/>
      <c r="AJ700" s="563"/>
    </row>
    <row r="701" spans="2:36" x14ac:dyDescent="0.2">
      <c r="C701" s="5" t="str">
        <f t="shared" si="636"/>
        <v>Auxiliaries</v>
      </c>
      <c r="D701" s="5"/>
      <c r="F701" s="1" t="s">
        <v>3</v>
      </c>
      <c r="G701" s="52">
        <f t="shared" si="637"/>
        <v>7.0954865955347763</v>
      </c>
      <c r="I701" s="52">
        <f t="shared" ref="I701:V701" si="642">IFERROR(I693/I$104,0)</f>
        <v>0</v>
      </c>
      <c r="J701" s="52">
        <f t="shared" si="642"/>
        <v>0</v>
      </c>
      <c r="K701" s="52">
        <f t="shared" si="642"/>
        <v>0</v>
      </c>
      <c r="L701" s="52">
        <f t="shared" si="642"/>
        <v>0</v>
      </c>
      <c r="M701" s="52">
        <f t="shared" si="642"/>
        <v>0</v>
      </c>
      <c r="N701" s="52">
        <f t="shared" si="642"/>
        <v>0</v>
      </c>
      <c r="O701" s="52">
        <f t="shared" si="642"/>
        <v>0</v>
      </c>
      <c r="P701" s="52">
        <f t="shared" si="642"/>
        <v>0</v>
      </c>
      <c r="Q701" s="52">
        <f t="shared" si="642"/>
        <v>0</v>
      </c>
      <c r="R701" s="52">
        <f t="shared" si="642"/>
        <v>0</v>
      </c>
      <c r="S701" s="52">
        <f t="shared" si="642"/>
        <v>8.5694880099290689</v>
      </c>
      <c r="T701" s="52">
        <f t="shared" si="642"/>
        <v>7.2920201174540153</v>
      </c>
      <c r="U701" s="52">
        <f t="shared" si="642"/>
        <v>6.6532861712164895</v>
      </c>
      <c r="V701" s="52">
        <f t="shared" si="642"/>
        <v>6.6532861712164895</v>
      </c>
      <c r="W701" s="563"/>
      <c r="X701" s="563"/>
      <c r="Y701" s="563"/>
      <c r="Z701" s="563"/>
      <c r="AA701" s="563"/>
      <c r="AB701" s="563"/>
      <c r="AC701" s="563"/>
      <c r="AD701" s="563"/>
      <c r="AE701" s="563"/>
      <c r="AF701" s="563"/>
      <c r="AG701" s="563"/>
      <c r="AH701" s="563"/>
      <c r="AI701" s="563"/>
      <c r="AJ701" s="563"/>
    </row>
    <row r="702" spans="2:36" x14ac:dyDescent="0.2">
      <c r="C702" s="20" t="str">
        <f t="shared" si="636"/>
        <v>Total Pig Iron Production Cost</v>
      </c>
      <c r="D702" s="20"/>
      <c r="F702" s="9" t="s">
        <v>3</v>
      </c>
      <c r="G702" s="44">
        <f t="shared" si="637"/>
        <v>323.9138596143207</v>
      </c>
      <c r="I702" s="52">
        <f t="shared" ref="I702:V702" si="643">IFERROR(I694/I$104,0)</f>
        <v>0</v>
      </c>
      <c r="J702" s="52">
        <f t="shared" si="643"/>
        <v>0</v>
      </c>
      <c r="K702" s="52">
        <f t="shared" si="643"/>
        <v>0</v>
      </c>
      <c r="L702" s="52">
        <f t="shared" si="643"/>
        <v>0</v>
      </c>
      <c r="M702" s="52">
        <f t="shared" si="643"/>
        <v>0</v>
      </c>
      <c r="N702" s="52">
        <f t="shared" si="643"/>
        <v>0</v>
      </c>
      <c r="O702" s="52">
        <f t="shared" si="643"/>
        <v>0</v>
      </c>
      <c r="P702" s="52">
        <f t="shared" si="643"/>
        <v>0</v>
      </c>
      <c r="Q702" s="52">
        <f t="shared" si="643"/>
        <v>0</v>
      </c>
      <c r="R702" s="52">
        <f t="shared" si="643"/>
        <v>0</v>
      </c>
      <c r="S702" s="52">
        <f t="shared" si="643"/>
        <v>340.25903582026501</v>
      </c>
      <c r="T702" s="52">
        <f t="shared" si="643"/>
        <v>326.64443574863719</v>
      </c>
      <c r="U702" s="52">
        <f t="shared" si="643"/>
        <v>319.83713571282328</v>
      </c>
      <c r="V702" s="52">
        <f t="shared" si="643"/>
        <v>317.77006331210862</v>
      </c>
      <c r="W702" s="580"/>
      <c r="X702" s="580"/>
      <c r="Y702" s="580"/>
      <c r="Z702" s="580"/>
      <c r="AA702" s="580"/>
      <c r="AB702" s="580"/>
      <c r="AC702" s="580"/>
      <c r="AD702" s="580"/>
      <c r="AE702" s="580"/>
    </row>
    <row r="703" spans="2:36" x14ac:dyDescent="0.2">
      <c r="C703" s="5"/>
      <c r="D703" s="5"/>
      <c r="J703" s="21"/>
      <c r="K703" s="21"/>
    </row>
    <row r="704" spans="2:36" x14ac:dyDescent="0.2">
      <c r="B704" s="6"/>
      <c r="C704" s="6"/>
      <c r="D704" s="6"/>
      <c r="E704" s="7"/>
      <c r="F704" s="6"/>
      <c r="G704" s="6"/>
      <c r="H704" s="6"/>
      <c r="I704" s="6"/>
      <c r="J704" s="6"/>
      <c r="K704" s="6"/>
      <c r="L704" s="6"/>
      <c r="M704" s="6"/>
      <c r="N704" s="6"/>
      <c r="O704" s="6"/>
      <c r="P704" s="6"/>
      <c r="Q704" s="6"/>
      <c r="R704" s="6"/>
      <c r="S704" s="6"/>
      <c r="T704" s="6"/>
      <c r="U704" s="6"/>
      <c r="V704" s="6"/>
    </row>
    <row r="705" spans="2:31" x14ac:dyDescent="0.2">
      <c r="C705" s="5"/>
      <c r="D705" s="5"/>
    </row>
    <row r="706" spans="2:31" x14ac:dyDescent="0.2">
      <c r="B706" s="8">
        <f>B187+1</f>
        <v>4</v>
      </c>
      <c r="C706" s="20" t="s">
        <v>66</v>
      </c>
      <c r="D706" s="20"/>
    </row>
    <row r="707" spans="2:31" x14ac:dyDescent="0.2">
      <c r="C707" s="5"/>
      <c r="D707" s="5"/>
      <c r="I707" s="33"/>
    </row>
    <row r="708" spans="2:31" x14ac:dyDescent="0.2">
      <c r="B708" s="10">
        <f>B706+0.1</f>
        <v>4.0999999999999996</v>
      </c>
      <c r="C708" s="20" t="s">
        <v>67</v>
      </c>
      <c r="D708" s="20"/>
      <c r="I708" s="33"/>
    </row>
    <row r="709" spans="2:31" x14ac:dyDescent="0.2">
      <c r="C709" s="5"/>
      <c r="D709" s="5"/>
      <c r="I709" s="45"/>
    </row>
    <row r="710" spans="2:31" x14ac:dyDescent="0.2">
      <c r="C710" s="20" t="s">
        <v>789</v>
      </c>
      <c r="D710" s="11" t="s">
        <v>685</v>
      </c>
      <c r="E710" s="11" t="s">
        <v>704</v>
      </c>
      <c r="I710" s="45"/>
    </row>
    <row r="711" spans="2:31" x14ac:dyDescent="0.2">
      <c r="C711" s="5" t="s">
        <v>782</v>
      </c>
      <c r="D711" s="269">
        <f>'Plant model'!D711</f>
        <v>1.5</v>
      </c>
      <c r="E711" s="431">
        <f>D711*E14</f>
        <v>1.155</v>
      </c>
      <c r="F711" s="1" t="s">
        <v>3</v>
      </c>
      <c r="G711" s="21">
        <f>AVERAGE(K711:AE711)</f>
        <v>1.1549999999999998</v>
      </c>
      <c r="I711" s="45">
        <f t="shared" ref="I711" si="644">$D$711*I14</f>
        <v>1.155</v>
      </c>
      <c r="J711" s="45">
        <f t="shared" ref="J711" si="645">$D$711*J14</f>
        <v>1.155</v>
      </c>
      <c r="K711" s="45">
        <f t="shared" ref="K711:V711" si="646">$D$711*K14</f>
        <v>1.155</v>
      </c>
      <c r="L711" s="45">
        <f t="shared" si="646"/>
        <v>1.155</v>
      </c>
      <c r="M711" s="45">
        <f t="shared" si="646"/>
        <v>1.155</v>
      </c>
      <c r="N711" s="45">
        <f t="shared" si="646"/>
        <v>1.155</v>
      </c>
      <c r="O711" s="45">
        <f t="shared" si="646"/>
        <v>1.155</v>
      </c>
      <c r="P711" s="45">
        <f t="shared" si="646"/>
        <v>1.155</v>
      </c>
      <c r="Q711" s="45">
        <f t="shared" si="646"/>
        <v>1.155</v>
      </c>
      <c r="R711" s="45">
        <f t="shared" si="646"/>
        <v>1.155</v>
      </c>
      <c r="S711" s="45">
        <f t="shared" si="646"/>
        <v>1.155</v>
      </c>
      <c r="T711" s="45">
        <f t="shared" si="646"/>
        <v>1.155</v>
      </c>
      <c r="U711" s="45">
        <f t="shared" si="646"/>
        <v>1.155</v>
      </c>
      <c r="V711" s="45">
        <f t="shared" si="646"/>
        <v>1.155</v>
      </c>
      <c r="W711" s="568"/>
      <c r="X711" s="568"/>
      <c r="Y711" s="568"/>
      <c r="Z711" s="568"/>
      <c r="AA711" s="568"/>
      <c r="AB711" s="568"/>
      <c r="AC711" s="568"/>
      <c r="AD711" s="568"/>
      <c r="AE711" s="568"/>
    </row>
    <row r="712" spans="2:31" x14ac:dyDescent="0.2">
      <c r="C712" s="5" t="s">
        <v>781</v>
      </c>
      <c r="D712" s="269">
        <f>'Plant model'!D712</f>
        <v>2.41</v>
      </c>
      <c r="E712" s="431">
        <f>D712*E14</f>
        <v>1.8557000000000001</v>
      </c>
      <c r="F712" s="1" t="s">
        <v>3</v>
      </c>
      <c r="G712" s="21">
        <f>AVERAGE(K712:AE712)</f>
        <v>1.8556999999999999</v>
      </c>
      <c r="I712" s="45">
        <f t="shared" ref="I712" si="647">$D$712*I14</f>
        <v>1.8557000000000001</v>
      </c>
      <c r="J712" s="45">
        <f t="shared" ref="J712" si="648">$D$712*J14</f>
        <v>1.8557000000000001</v>
      </c>
      <c r="K712" s="45">
        <f t="shared" ref="K712:V712" si="649">$D$712*K14</f>
        <v>1.8557000000000001</v>
      </c>
      <c r="L712" s="45">
        <f t="shared" si="649"/>
        <v>1.8557000000000001</v>
      </c>
      <c r="M712" s="45">
        <f t="shared" si="649"/>
        <v>1.8557000000000001</v>
      </c>
      <c r="N712" s="45">
        <f t="shared" si="649"/>
        <v>1.8557000000000001</v>
      </c>
      <c r="O712" s="45">
        <f t="shared" si="649"/>
        <v>1.8557000000000001</v>
      </c>
      <c r="P712" s="45">
        <f t="shared" si="649"/>
        <v>1.8557000000000001</v>
      </c>
      <c r="Q712" s="45">
        <f t="shared" si="649"/>
        <v>1.8557000000000001</v>
      </c>
      <c r="R712" s="45">
        <f t="shared" si="649"/>
        <v>1.8557000000000001</v>
      </c>
      <c r="S712" s="45">
        <f t="shared" si="649"/>
        <v>1.8557000000000001</v>
      </c>
      <c r="T712" s="45">
        <f t="shared" si="649"/>
        <v>1.8557000000000001</v>
      </c>
      <c r="U712" s="45">
        <f t="shared" si="649"/>
        <v>1.8557000000000001</v>
      </c>
      <c r="V712" s="45">
        <f t="shared" si="649"/>
        <v>1.8557000000000001</v>
      </c>
      <c r="W712" s="568"/>
      <c r="X712" s="568"/>
      <c r="Y712" s="568"/>
      <c r="Z712" s="568"/>
      <c r="AA712" s="568"/>
      <c r="AB712" s="568"/>
      <c r="AC712" s="568"/>
      <c r="AD712" s="568"/>
      <c r="AE712" s="568"/>
    </row>
    <row r="713" spans="2:31" x14ac:dyDescent="0.2">
      <c r="C713" s="5"/>
      <c r="D713" s="120"/>
      <c r="E713" s="432"/>
      <c r="G713" s="21"/>
      <c r="K713" s="45"/>
      <c r="L713" s="45"/>
      <c r="M713" s="45"/>
      <c r="N713" s="45"/>
      <c r="O713" s="45"/>
      <c r="P713" s="45"/>
      <c r="Q713" s="45"/>
      <c r="R713" s="45"/>
      <c r="S713" s="45"/>
      <c r="T713" s="45"/>
      <c r="U713" s="45"/>
      <c r="V713" s="45"/>
      <c r="W713" s="568"/>
      <c r="X713" s="568"/>
      <c r="Y713" s="568"/>
      <c r="Z713" s="568"/>
      <c r="AA713" s="568"/>
      <c r="AB713" s="568"/>
      <c r="AC713" s="568"/>
      <c r="AD713" s="568"/>
      <c r="AE713" s="568"/>
    </row>
    <row r="714" spans="2:31" x14ac:dyDescent="0.2">
      <c r="B714" s="24">
        <f>B708+0.01</f>
        <v>4.1099999999999994</v>
      </c>
      <c r="C714" s="20" t="s">
        <v>862</v>
      </c>
      <c r="D714" s="120"/>
      <c r="E714" s="432"/>
      <c r="G714" s="21"/>
      <c r="K714" s="45"/>
      <c r="L714" s="45"/>
      <c r="M714" s="45"/>
      <c r="N714" s="45"/>
      <c r="O714" s="45"/>
      <c r="P714" s="45"/>
      <c r="Q714" s="45"/>
      <c r="R714" s="45"/>
      <c r="S714" s="45"/>
      <c r="T714" s="45"/>
      <c r="U714" s="45"/>
      <c r="V714" s="45"/>
      <c r="W714" s="568"/>
      <c r="X714" s="568"/>
      <c r="Y714" s="568"/>
      <c r="Z714" s="568"/>
      <c r="AA714" s="568"/>
      <c r="AB714" s="568"/>
      <c r="AC714" s="568"/>
      <c r="AD714" s="568"/>
      <c r="AE714" s="568"/>
    </row>
    <row r="715" spans="2:31" x14ac:dyDescent="0.2">
      <c r="C715" s="20" t="s">
        <v>788</v>
      </c>
      <c r="D715" s="120"/>
      <c r="E715" s="432"/>
      <c r="G715" s="21"/>
      <c r="K715" s="45"/>
      <c r="L715" s="45"/>
      <c r="M715" s="45"/>
      <c r="N715" s="45"/>
      <c r="O715" s="45"/>
      <c r="P715" s="45"/>
      <c r="Q715" s="45"/>
      <c r="R715" s="45"/>
      <c r="S715" s="45"/>
      <c r="T715" s="45"/>
      <c r="U715" s="45"/>
      <c r="V715" s="45"/>
      <c r="W715" s="568"/>
      <c r="X715" s="568"/>
      <c r="Y715" s="568"/>
      <c r="Z715" s="568"/>
      <c r="AA715" s="568"/>
      <c r="AB715" s="568"/>
      <c r="AC715" s="568"/>
      <c r="AD715" s="568"/>
      <c r="AE715" s="568"/>
    </row>
    <row r="716" spans="2:31" x14ac:dyDescent="0.2">
      <c r="C716" s="30" t="s">
        <v>712</v>
      </c>
      <c r="D716" s="120"/>
      <c r="E716" s="269">
        <f>'Plant model'!E716</f>
        <v>25000</v>
      </c>
      <c r="F716" s="1" t="s">
        <v>51</v>
      </c>
      <c r="G716" s="21"/>
      <c r="I716" s="45">
        <f t="shared" ref="I716:K719" si="650">$E716</f>
        <v>25000</v>
      </c>
      <c r="J716" s="45">
        <f t="shared" si="650"/>
        <v>25000</v>
      </c>
      <c r="K716" s="45">
        <f t="shared" si="650"/>
        <v>25000</v>
      </c>
      <c r="L716" s="45">
        <f t="shared" ref="L716:V719" si="651">$E716</f>
        <v>25000</v>
      </c>
      <c r="M716" s="45">
        <f t="shared" si="651"/>
        <v>25000</v>
      </c>
      <c r="N716" s="45">
        <f t="shared" si="651"/>
        <v>25000</v>
      </c>
      <c r="O716" s="45">
        <f t="shared" si="651"/>
        <v>25000</v>
      </c>
      <c r="P716" s="45">
        <f t="shared" si="651"/>
        <v>25000</v>
      </c>
      <c r="Q716" s="45">
        <f t="shared" si="651"/>
        <v>25000</v>
      </c>
      <c r="R716" s="45">
        <f t="shared" si="651"/>
        <v>25000</v>
      </c>
      <c r="S716" s="45">
        <f t="shared" si="651"/>
        <v>25000</v>
      </c>
      <c r="T716" s="45">
        <f t="shared" si="651"/>
        <v>25000</v>
      </c>
      <c r="U716" s="45">
        <f t="shared" si="651"/>
        <v>25000</v>
      </c>
      <c r="V716" s="45">
        <f t="shared" si="651"/>
        <v>25000</v>
      </c>
      <c r="W716" s="568"/>
      <c r="X716" s="568"/>
      <c r="Y716" s="568"/>
      <c r="Z716" s="568"/>
      <c r="AA716" s="568"/>
      <c r="AB716" s="568"/>
      <c r="AC716" s="568"/>
      <c r="AD716" s="568"/>
      <c r="AE716" s="568"/>
    </row>
    <row r="717" spans="2:31" x14ac:dyDescent="0.2">
      <c r="C717" s="30" t="s">
        <v>784</v>
      </c>
      <c r="D717" s="120"/>
      <c r="E717" s="269">
        <f>'Plant model'!E717</f>
        <v>3</v>
      </c>
      <c r="F717" s="1" t="s">
        <v>6</v>
      </c>
      <c r="G717" s="21"/>
      <c r="I717" s="45">
        <f t="shared" si="650"/>
        <v>3</v>
      </c>
      <c r="J717" s="45">
        <f t="shared" si="650"/>
        <v>3</v>
      </c>
      <c r="K717" s="45">
        <f t="shared" si="650"/>
        <v>3</v>
      </c>
      <c r="L717" s="45">
        <f t="shared" si="651"/>
        <v>3</v>
      </c>
      <c r="M717" s="45">
        <f t="shared" si="651"/>
        <v>3</v>
      </c>
      <c r="N717" s="45">
        <f t="shared" si="651"/>
        <v>3</v>
      </c>
      <c r="O717" s="45">
        <f t="shared" si="651"/>
        <v>3</v>
      </c>
      <c r="P717" s="45">
        <f t="shared" si="651"/>
        <v>3</v>
      </c>
      <c r="Q717" s="45">
        <f t="shared" si="651"/>
        <v>3</v>
      </c>
      <c r="R717" s="45">
        <f t="shared" si="651"/>
        <v>3</v>
      </c>
      <c r="S717" s="45">
        <f t="shared" si="651"/>
        <v>3</v>
      </c>
      <c r="T717" s="45">
        <f t="shared" si="651"/>
        <v>3</v>
      </c>
      <c r="U717" s="45">
        <f t="shared" si="651"/>
        <v>3</v>
      </c>
      <c r="V717" s="45">
        <f t="shared" si="651"/>
        <v>3</v>
      </c>
      <c r="W717" s="568"/>
      <c r="X717" s="568"/>
      <c r="Y717" s="568"/>
      <c r="Z717" s="568"/>
      <c r="AA717" s="568"/>
      <c r="AB717" s="568"/>
      <c r="AC717" s="568"/>
      <c r="AD717" s="568"/>
      <c r="AE717" s="568"/>
    </row>
    <row r="718" spans="2:31" x14ac:dyDescent="0.2">
      <c r="C718" s="30" t="s">
        <v>785</v>
      </c>
      <c r="D718" s="120"/>
      <c r="E718" s="269">
        <f>'Plant model'!E718</f>
        <v>2</v>
      </c>
      <c r="F718" s="1" t="s">
        <v>6</v>
      </c>
      <c r="G718" s="21"/>
      <c r="I718" s="45">
        <f t="shared" si="650"/>
        <v>2</v>
      </c>
      <c r="J718" s="45">
        <f t="shared" si="650"/>
        <v>2</v>
      </c>
      <c r="K718" s="45">
        <f t="shared" si="650"/>
        <v>2</v>
      </c>
      <c r="L718" s="45">
        <f t="shared" si="651"/>
        <v>2</v>
      </c>
      <c r="M718" s="45">
        <f t="shared" si="651"/>
        <v>2</v>
      </c>
      <c r="N718" s="45">
        <f t="shared" si="651"/>
        <v>2</v>
      </c>
      <c r="O718" s="45">
        <f t="shared" si="651"/>
        <v>2</v>
      </c>
      <c r="P718" s="45">
        <f t="shared" si="651"/>
        <v>2</v>
      </c>
      <c r="Q718" s="45">
        <f t="shared" si="651"/>
        <v>2</v>
      </c>
      <c r="R718" s="45">
        <f t="shared" si="651"/>
        <v>2</v>
      </c>
      <c r="S718" s="45">
        <f t="shared" si="651"/>
        <v>2</v>
      </c>
      <c r="T718" s="45">
        <f t="shared" si="651"/>
        <v>2</v>
      </c>
      <c r="U718" s="45">
        <f t="shared" si="651"/>
        <v>2</v>
      </c>
      <c r="V718" s="45">
        <f t="shared" si="651"/>
        <v>2</v>
      </c>
      <c r="W718" s="568"/>
      <c r="X718" s="568"/>
      <c r="Y718" s="568"/>
      <c r="Z718" s="568"/>
      <c r="AA718" s="568"/>
      <c r="AB718" s="568"/>
      <c r="AC718" s="568"/>
      <c r="AD718" s="568"/>
      <c r="AE718" s="568"/>
    </row>
    <row r="719" spans="2:31" x14ac:dyDescent="0.2">
      <c r="C719" s="30" t="s">
        <v>714</v>
      </c>
      <c r="D719" s="120"/>
      <c r="E719" s="269">
        <f>'Plant model'!E719</f>
        <v>22500</v>
      </c>
      <c r="F719" s="1" t="s">
        <v>715</v>
      </c>
      <c r="G719" s="21"/>
      <c r="I719" s="45">
        <f t="shared" si="650"/>
        <v>22500</v>
      </c>
      <c r="J719" s="45">
        <f t="shared" si="650"/>
        <v>22500</v>
      </c>
      <c r="K719" s="45">
        <f t="shared" si="650"/>
        <v>22500</v>
      </c>
      <c r="L719" s="45">
        <f t="shared" si="651"/>
        <v>22500</v>
      </c>
      <c r="M719" s="45">
        <f t="shared" si="651"/>
        <v>22500</v>
      </c>
      <c r="N719" s="45">
        <f t="shared" si="651"/>
        <v>22500</v>
      </c>
      <c r="O719" s="45">
        <f t="shared" si="651"/>
        <v>22500</v>
      </c>
      <c r="P719" s="45">
        <f t="shared" si="651"/>
        <v>22500</v>
      </c>
      <c r="Q719" s="45">
        <f t="shared" si="651"/>
        <v>22500</v>
      </c>
      <c r="R719" s="45">
        <f t="shared" si="651"/>
        <v>22500</v>
      </c>
      <c r="S719" s="45">
        <f t="shared" si="651"/>
        <v>22500</v>
      </c>
      <c r="T719" s="45">
        <f t="shared" si="651"/>
        <v>22500</v>
      </c>
      <c r="U719" s="45">
        <f t="shared" si="651"/>
        <v>22500</v>
      </c>
      <c r="V719" s="45">
        <f t="shared" si="651"/>
        <v>22500</v>
      </c>
      <c r="W719" s="568"/>
      <c r="X719" s="568"/>
      <c r="Y719" s="568"/>
      <c r="Z719" s="568"/>
      <c r="AA719" s="568"/>
      <c r="AB719" s="568"/>
      <c r="AC719" s="568"/>
      <c r="AD719" s="568"/>
      <c r="AE719" s="568"/>
    </row>
    <row r="720" spans="2:31" x14ac:dyDescent="0.2">
      <c r="C720" s="30" t="s">
        <v>786</v>
      </c>
      <c r="D720" s="120"/>
      <c r="E720" s="431">
        <f>E716*(E717+E718)/E719</f>
        <v>5.5555555555555554</v>
      </c>
      <c r="F720" s="1" t="s">
        <v>3</v>
      </c>
      <c r="G720" s="21"/>
      <c r="I720" s="45">
        <f>I716*(I717+I718)/I719</f>
        <v>5.5555555555555554</v>
      </c>
      <c r="J720" s="45">
        <f>J716*(J717+J718)/J719</f>
        <v>5.5555555555555554</v>
      </c>
      <c r="K720" s="45">
        <f>K716*(K717+K718)/K719</f>
        <v>5.5555555555555554</v>
      </c>
      <c r="L720" s="45">
        <f t="shared" ref="L720:V720" si="652">L716*(L717+L718)/L719</f>
        <v>5.5555555555555554</v>
      </c>
      <c r="M720" s="45">
        <f t="shared" si="652"/>
        <v>5.5555555555555554</v>
      </c>
      <c r="N720" s="45">
        <f t="shared" si="652"/>
        <v>5.5555555555555554</v>
      </c>
      <c r="O720" s="45">
        <f t="shared" si="652"/>
        <v>5.5555555555555554</v>
      </c>
      <c r="P720" s="45">
        <f t="shared" si="652"/>
        <v>5.5555555555555554</v>
      </c>
      <c r="Q720" s="45">
        <f t="shared" si="652"/>
        <v>5.5555555555555554</v>
      </c>
      <c r="R720" s="45">
        <f t="shared" si="652"/>
        <v>5.5555555555555554</v>
      </c>
      <c r="S720" s="45">
        <f t="shared" si="652"/>
        <v>5.5555555555555554</v>
      </c>
      <c r="T720" s="45">
        <f t="shared" si="652"/>
        <v>5.5555555555555554</v>
      </c>
      <c r="U720" s="45">
        <f t="shared" si="652"/>
        <v>5.5555555555555554</v>
      </c>
      <c r="V720" s="45">
        <f t="shared" si="652"/>
        <v>5.5555555555555554</v>
      </c>
      <c r="W720" s="568"/>
      <c r="X720" s="568"/>
      <c r="Y720" s="568"/>
      <c r="Z720" s="568"/>
      <c r="AA720" s="568"/>
      <c r="AB720" s="568"/>
      <c r="AC720" s="568"/>
      <c r="AD720" s="568"/>
      <c r="AE720" s="568"/>
    </row>
    <row r="721" spans="3:31" x14ac:dyDescent="0.2">
      <c r="C721" s="30" t="s">
        <v>797</v>
      </c>
      <c r="D721" s="120"/>
      <c r="E721" s="269">
        <f>'Plant model'!E721</f>
        <v>24000</v>
      </c>
      <c r="F721" s="1" t="s">
        <v>715</v>
      </c>
      <c r="G721" s="21"/>
      <c r="I721" s="45">
        <f>$E721</f>
        <v>24000</v>
      </c>
      <c r="J721" s="45">
        <f>$E721</f>
        <v>24000</v>
      </c>
      <c r="K721" s="45">
        <f>$E721</f>
        <v>24000</v>
      </c>
      <c r="L721" s="45">
        <f t="shared" ref="L721:V721" si="653">$E721</f>
        <v>24000</v>
      </c>
      <c r="M721" s="45">
        <f t="shared" si="653"/>
        <v>24000</v>
      </c>
      <c r="N721" s="45">
        <f t="shared" si="653"/>
        <v>24000</v>
      </c>
      <c r="O721" s="45">
        <f t="shared" si="653"/>
        <v>24000</v>
      </c>
      <c r="P721" s="45">
        <f t="shared" si="653"/>
        <v>24000</v>
      </c>
      <c r="Q721" s="45">
        <f t="shared" si="653"/>
        <v>24000</v>
      </c>
      <c r="R721" s="45">
        <f t="shared" si="653"/>
        <v>24000</v>
      </c>
      <c r="S721" s="45">
        <f t="shared" si="653"/>
        <v>24000</v>
      </c>
      <c r="T721" s="45">
        <f t="shared" si="653"/>
        <v>24000</v>
      </c>
      <c r="U721" s="45">
        <f t="shared" si="653"/>
        <v>24000</v>
      </c>
      <c r="V721" s="45">
        <f t="shared" si="653"/>
        <v>24000</v>
      </c>
      <c r="W721" s="568"/>
      <c r="X721" s="568"/>
      <c r="Y721" s="568"/>
      <c r="Z721" s="568"/>
      <c r="AA721" s="568"/>
      <c r="AB721" s="568"/>
      <c r="AC721" s="568"/>
      <c r="AD721" s="568"/>
      <c r="AE721" s="568"/>
    </row>
    <row r="722" spans="3:31" x14ac:dyDescent="0.2">
      <c r="C722" s="30"/>
      <c r="D722" s="120"/>
      <c r="E722" s="432"/>
      <c r="G722" s="21"/>
      <c r="K722" s="45"/>
      <c r="L722" s="45"/>
      <c r="M722" s="45"/>
      <c r="N722" s="45"/>
      <c r="O722" s="45"/>
      <c r="P722" s="45"/>
      <c r="Q722" s="45"/>
      <c r="R722" s="45"/>
      <c r="S722" s="45"/>
      <c r="T722" s="45"/>
      <c r="U722" s="45"/>
      <c r="V722" s="45"/>
      <c r="W722" s="568"/>
      <c r="X722" s="568"/>
      <c r="Y722" s="568"/>
      <c r="Z722" s="568"/>
      <c r="AA722" s="568"/>
      <c r="AB722" s="568"/>
      <c r="AC722" s="568"/>
      <c r="AD722" s="568"/>
      <c r="AE722" s="568"/>
    </row>
    <row r="723" spans="3:31" x14ac:dyDescent="0.2">
      <c r="C723" s="42" t="s">
        <v>787</v>
      </c>
      <c r="D723" s="120"/>
      <c r="E723" s="432"/>
      <c r="G723" s="21"/>
      <c r="K723" s="45"/>
      <c r="L723" s="45"/>
      <c r="M723" s="45"/>
      <c r="N723" s="45"/>
      <c r="O723" s="45"/>
      <c r="P723" s="45"/>
      <c r="Q723" s="45"/>
      <c r="R723" s="45"/>
      <c r="S723" s="45"/>
      <c r="T723" s="45"/>
      <c r="U723" s="45"/>
      <c r="V723" s="45"/>
      <c r="W723" s="568"/>
      <c r="X723" s="568"/>
      <c r="Y723" s="568"/>
      <c r="Z723" s="568"/>
      <c r="AA723" s="568"/>
      <c r="AB723" s="568"/>
      <c r="AC723" s="568"/>
      <c r="AD723" s="568"/>
      <c r="AE723" s="568"/>
    </row>
    <row r="724" spans="3:31" x14ac:dyDescent="0.2">
      <c r="C724" s="30" t="s">
        <v>794</v>
      </c>
      <c r="D724" s="269">
        <f>'Plant model'!D724</f>
        <v>0.1061</v>
      </c>
      <c r="E724" s="431">
        <f>D724*$E$14</f>
        <v>8.1697000000000006E-2</v>
      </c>
      <c r="F724" s="1" t="s">
        <v>791</v>
      </c>
      <c r="G724" s="21"/>
      <c r="I724" s="45">
        <f t="shared" ref="I724:K728" si="654">$D724*I$14</f>
        <v>8.1697000000000006E-2</v>
      </c>
      <c r="J724" s="45">
        <f t="shared" si="654"/>
        <v>8.1697000000000006E-2</v>
      </c>
      <c r="K724" s="45">
        <f t="shared" si="654"/>
        <v>8.1697000000000006E-2</v>
      </c>
      <c r="L724" s="45">
        <f t="shared" ref="L724:V728" si="655">$D724*L$14</f>
        <v>8.1697000000000006E-2</v>
      </c>
      <c r="M724" s="45">
        <f t="shared" si="655"/>
        <v>8.1697000000000006E-2</v>
      </c>
      <c r="N724" s="45">
        <f t="shared" si="655"/>
        <v>8.1697000000000006E-2</v>
      </c>
      <c r="O724" s="45">
        <f t="shared" si="655"/>
        <v>8.1697000000000006E-2</v>
      </c>
      <c r="P724" s="45">
        <f t="shared" si="655"/>
        <v>8.1697000000000006E-2</v>
      </c>
      <c r="Q724" s="45">
        <f t="shared" si="655"/>
        <v>8.1697000000000006E-2</v>
      </c>
      <c r="R724" s="45">
        <f t="shared" si="655"/>
        <v>8.1697000000000006E-2</v>
      </c>
      <c r="S724" s="45">
        <f t="shared" si="655"/>
        <v>8.1697000000000006E-2</v>
      </c>
      <c r="T724" s="45">
        <f t="shared" si="655"/>
        <v>8.1697000000000006E-2</v>
      </c>
      <c r="U724" s="45">
        <f t="shared" si="655"/>
        <v>8.1697000000000006E-2</v>
      </c>
      <c r="V724" s="45">
        <f t="shared" si="655"/>
        <v>8.1697000000000006E-2</v>
      </c>
      <c r="W724" s="568"/>
      <c r="X724" s="568"/>
      <c r="Y724" s="568"/>
      <c r="Z724" s="568"/>
      <c r="AA724" s="568"/>
      <c r="AB724" s="568"/>
      <c r="AC724" s="568"/>
      <c r="AD724" s="568"/>
      <c r="AE724" s="568"/>
    </row>
    <row r="725" spans="3:31" x14ac:dyDescent="0.2">
      <c r="C725" s="30" t="s">
        <v>795</v>
      </c>
      <c r="D725" s="269">
        <f>'Plant model'!D725</f>
        <v>0.16980000000000001</v>
      </c>
      <c r="E725" s="431">
        <f>D725*$E$14</f>
        <v>0.130746</v>
      </c>
      <c r="F725" s="1" t="s">
        <v>791</v>
      </c>
      <c r="G725" s="21"/>
      <c r="I725" s="45">
        <f t="shared" si="654"/>
        <v>0.130746</v>
      </c>
      <c r="J725" s="45">
        <f t="shared" si="654"/>
        <v>0.130746</v>
      </c>
      <c r="K725" s="45">
        <f t="shared" si="654"/>
        <v>0.130746</v>
      </c>
      <c r="L725" s="45">
        <f t="shared" si="655"/>
        <v>0.130746</v>
      </c>
      <c r="M725" s="45">
        <f t="shared" si="655"/>
        <v>0.130746</v>
      </c>
      <c r="N725" s="45">
        <f t="shared" si="655"/>
        <v>0.130746</v>
      </c>
      <c r="O725" s="45">
        <f t="shared" si="655"/>
        <v>0.130746</v>
      </c>
      <c r="P725" s="45">
        <f t="shared" si="655"/>
        <v>0.130746</v>
      </c>
      <c r="Q725" s="45">
        <f t="shared" si="655"/>
        <v>0.130746</v>
      </c>
      <c r="R725" s="45">
        <f t="shared" si="655"/>
        <v>0.130746</v>
      </c>
      <c r="S725" s="45">
        <f t="shared" si="655"/>
        <v>0.130746</v>
      </c>
      <c r="T725" s="45">
        <f t="shared" si="655"/>
        <v>0.130746</v>
      </c>
      <c r="U725" s="45">
        <f t="shared" si="655"/>
        <v>0.130746</v>
      </c>
      <c r="V725" s="45">
        <f t="shared" si="655"/>
        <v>0.130746</v>
      </c>
      <c r="W725" s="568"/>
      <c r="X725" s="568"/>
      <c r="Y725" s="568"/>
      <c r="Z725" s="568"/>
      <c r="AA725" s="568"/>
      <c r="AB725" s="568"/>
      <c r="AC725" s="568"/>
      <c r="AD725" s="568"/>
      <c r="AE725" s="568"/>
    </row>
    <row r="726" spans="3:31" x14ac:dyDescent="0.2">
      <c r="C726" s="30" t="s">
        <v>792</v>
      </c>
      <c r="D726" s="269">
        <f>'Plant model'!D726</f>
        <v>1.0996999999999999</v>
      </c>
      <c r="E726" s="431">
        <f>D726*$E$14</f>
        <v>0.84676899999999999</v>
      </c>
      <c r="F726" s="1" t="s">
        <v>796</v>
      </c>
      <c r="G726" s="21"/>
      <c r="I726" s="45">
        <f t="shared" si="654"/>
        <v>0.84676899999999999</v>
      </c>
      <c r="J726" s="45">
        <f t="shared" si="654"/>
        <v>0.84676899999999999</v>
      </c>
      <c r="K726" s="45">
        <f t="shared" si="654"/>
        <v>0.84676899999999999</v>
      </c>
      <c r="L726" s="45">
        <f t="shared" si="655"/>
        <v>0.84676899999999999</v>
      </c>
      <c r="M726" s="45">
        <f t="shared" si="655"/>
        <v>0.84676899999999999</v>
      </c>
      <c r="N726" s="45">
        <f t="shared" si="655"/>
        <v>0.84676899999999999</v>
      </c>
      <c r="O726" s="45">
        <f t="shared" si="655"/>
        <v>0.84676899999999999</v>
      </c>
      <c r="P726" s="45">
        <f t="shared" si="655"/>
        <v>0.84676899999999999</v>
      </c>
      <c r="Q726" s="45">
        <f t="shared" si="655"/>
        <v>0.84676899999999999</v>
      </c>
      <c r="R726" s="45">
        <f t="shared" si="655"/>
        <v>0.84676899999999999</v>
      </c>
      <c r="S726" s="45">
        <f t="shared" si="655"/>
        <v>0.84676899999999999</v>
      </c>
      <c r="T726" s="45">
        <f t="shared" si="655"/>
        <v>0.84676899999999999</v>
      </c>
      <c r="U726" s="45">
        <f t="shared" si="655"/>
        <v>0.84676899999999999</v>
      </c>
      <c r="V726" s="45">
        <f t="shared" si="655"/>
        <v>0.84676899999999999</v>
      </c>
      <c r="W726" s="568"/>
      <c r="X726" s="568"/>
      <c r="Y726" s="568"/>
      <c r="Z726" s="568"/>
      <c r="AA726" s="568"/>
      <c r="AB726" s="568"/>
      <c r="AC726" s="568"/>
      <c r="AD726" s="568"/>
      <c r="AE726" s="568"/>
    </row>
    <row r="727" spans="3:31" x14ac:dyDescent="0.2">
      <c r="C727" s="30" t="s">
        <v>793</v>
      </c>
      <c r="D727" s="269">
        <f>'Plant model'!D727</f>
        <v>0.75060000000000004</v>
      </c>
      <c r="E727" s="431">
        <f>D727*$E$14</f>
        <v>0.57796200000000009</v>
      </c>
      <c r="F727" s="1" t="s">
        <v>796</v>
      </c>
      <c r="G727" s="21"/>
      <c r="I727" s="45">
        <f t="shared" si="654"/>
        <v>0.57796200000000009</v>
      </c>
      <c r="J727" s="45">
        <f t="shared" si="654"/>
        <v>0.57796200000000009</v>
      </c>
      <c r="K727" s="45">
        <f t="shared" si="654"/>
        <v>0.57796200000000009</v>
      </c>
      <c r="L727" s="45">
        <f t="shared" si="655"/>
        <v>0.57796200000000009</v>
      </c>
      <c r="M727" s="45">
        <f t="shared" si="655"/>
        <v>0.57796200000000009</v>
      </c>
      <c r="N727" s="45">
        <f t="shared" si="655"/>
        <v>0.57796200000000009</v>
      </c>
      <c r="O727" s="45">
        <f t="shared" si="655"/>
        <v>0.57796200000000009</v>
      </c>
      <c r="P727" s="45">
        <f t="shared" si="655"/>
        <v>0.57796200000000009</v>
      </c>
      <c r="Q727" s="45">
        <f t="shared" si="655"/>
        <v>0.57796200000000009</v>
      </c>
      <c r="R727" s="45">
        <f t="shared" si="655"/>
        <v>0.57796200000000009</v>
      </c>
      <c r="S727" s="45">
        <f t="shared" si="655"/>
        <v>0.57796200000000009</v>
      </c>
      <c r="T727" s="45">
        <f t="shared" si="655"/>
        <v>0.57796200000000009</v>
      </c>
      <c r="U727" s="45">
        <f t="shared" si="655"/>
        <v>0.57796200000000009</v>
      </c>
      <c r="V727" s="45">
        <f t="shared" si="655"/>
        <v>0.57796200000000009</v>
      </c>
      <c r="W727" s="568"/>
      <c r="X727" s="568"/>
      <c r="Y727" s="568"/>
      <c r="Z727" s="568"/>
      <c r="AA727" s="568"/>
      <c r="AB727" s="568"/>
      <c r="AC727" s="568"/>
      <c r="AD727" s="568"/>
      <c r="AE727" s="568"/>
    </row>
    <row r="728" spans="3:31" x14ac:dyDescent="0.2">
      <c r="C728" s="30" t="s">
        <v>790</v>
      </c>
      <c r="D728" s="269">
        <f>'Plant model'!D728</f>
        <v>3955</v>
      </c>
      <c r="E728" s="431">
        <f>D728*$E$14</f>
        <v>3045.35</v>
      </c>
      <c r="F728" s="1" t="s">
        <v>51</v>
      </c>
      <c r="G728" s="21"/>
      <c r="I728" s="45">
        <f t="shared" si="654"/>
        <v>3045.35</v>
      </c>
      <c r="J728" s="45">
        <f t="shared" si="654"/>
        <v>3045.35</v>
      </c>
      <c r="K728" s="45">
        <f t="shared" si="654"/>
        <v>3045.35</v>
      </c>
      <c r="L728" s="45">
        <f t="shared" si="655"/>
        <v>3045.35</v>
      </c>
      <c r="M728" s="45">
        <f t="shared" si="655"/>
        <v>3045.35</v>
      </c>
      <c r="N728" s="45">
        <f t="shared" si="655"/>
        <v>3045.35</v>
      </c>
      <c r="O728" s="45">
        <f t="shared" si="655"/>
        <v>3045.35</v>
      </c>
      <c r="P728" s="45">
        <f t="shared" si="655"/>
        <v>3045.35</v>
      </c>
      <c r="Q728" s="45">
        <f t="shared" si="655"/>
        <v>3045.35</v>
      </c>
      <c r="R728" s="45">
        <f t="shared" si="655"/>
        <v>3045.35</v>
      </c>
      <c r="S728" s="45">
        <f t="shared" si="655"/>
        <v>3045.35</v>
      </c>
      <c r="T728" s="45">
        <f t="shared" si="655"/>
        <v>3045.35</v>
      </c>
      <c r="U728" s="45">
        <f t="shared" si="655"/>
        <v>3045.35</v>
      </c>
      <c r="V728" s="45">
        <f t="shared" si="655"/>
        <v>3045.35</v>
      </c>
      <c r="W728" s="568"/>
      <c r="X728" s="568"/>
      <c r="Y728" s="568"/>
      <c r="Z728" s="568"/>
      <c r="AA728" s="568"/>
      <c r="AB728" s="568"/>
      <c r="AC728" s="568"/>
      <c r="AD728" s="568"/>
      <c r="AE728" s="568"/>
    </row>
    <row r="729" spans="3:31" x14ac:dyDescent="0.2">
      <c r="C729" s="30" t="s">
        <v>799</v>
      </c>
      <c r="D729" s="120"/>
      <c r="E729" s="431">
        <f>(E724+E725)*E721/E719+E726+E727+E728/E719</f>
        <v>1.7866857555555558</v>
      </c>
      <c r="F729" s="1" t="s">
        <v>3</v>
      </c>
      <c r="G729" s="21"/>
      <c r="I729" s="45">
        <f>(I724+I725)*I721/I719+I726+I727+I728/I719</f>
        <v>1.7866857555555558</v>
      </c>
      <c r="J729" s="45">
        <f>(J724+J725)*J721/J719+J726+J727+J728/J719</f>
        <v>1.7866857555555558</v>
      </c>
      <c r="K729" s="45">
        <f>(K724+K725)*K721/K719+K726+K727+K728/K719</f>
        <v>1.7866857555555558</v>
      </c>
      <c r="L729" s="45">
        <f t="shared" ref="L729:V729" si="656">(L724+L725)*L721/L719+L726+L727+L728/L719</f>
        <v>1.7866857555555558</v>
      </c>
      <c r="M729" s="45">
        <f t="shared" si="656"/>
        <v>1.7866857555555558</v>
      </c>
      <c r="N729" s="45">
        <f t="shared" si="656"/>
        <v>1.7866857555555558</v>
      </c>
      <c r="O729" s="45">
        <f t="shared" si="656"/>
        <v>1.7866857555555558</v>
      </c>
      <c r="P729" s="45">
        <f t="shared" si="656"/>
        <v>1.7866857555555558</v>
      </c>
      <c r="Q729" s="45">
        <f t="shared" si="656"/>
        <v>1.7866857555555558</v>
      </c>
      <c r="R729" s="45">
        <f t="shared" si="656"/>
        <v>1.7866857555555558</v>
      </c>
      <c r="S729" s="45">
        <f t="shared" si="656"/>
        <v>1.7866857555555558</v>
      </c>
      <c r="T729" s="45">
        <f t="shared" si="656"/>
        <v>1.7866857555555558</v>
      </c>
      <c r="U729" s="45">
        <f t="shared" si="656"/>
        <v>1.7866857555555558</v>
      </c>
      <c r="V729" s="45">
        <f t="shared" si="656"/>
        <v>1.7866857555555558</v>
      </c>
      <c r="W729" s="568"/>
      <c r="X729" s="568"/>
      <c r="Y729" s="568"/>
      <c r="Z729" s="568"/>
      <c r="AA729" s="568"/>
      <c r="AB729" s="568"/>
      <c r="AC729" s="568"/>
      <c r="AD729" s="568"/>
      <c r="AE729" s="568"/>
    </row>
    <row r="730" spans="3:31" x14ac:dyDescent="0.2">
      <c r="C730" s="30"/>
      <c r="D730" s="120"/>
      <c r="E730" s="432"/>
      <c r="G730" s="21"/>
      <c r="K730" s="45"/>
      <c r="L730" s="45"/>
      <c r="M730" s="45"/>
      <c r="N730" s="45"/>
      <c r="O730" s="45"/>
      <c r="P730" s="45"/>
      <c r="Q730" s="45"/>
      <c r="R730" s="45"/>
      <c r="S730" s="45"/>
      <c r="T730" s="45"/>
      <c r="U730" s="45"/>
      <c r="V730" s="45"/>
      <c r="W730" s="568"/>
      <c r="X730" s="568"/>
      <c r="Y730" s="568"/>
      <c r="Z730" s="568"/>
      <c r="AA730" s="568"/>
      <c r="AB730" s="568"/>
      <c r="AC730" s="568"/>
      <c r="AD730" s="568"/>
      <c r="AE730" s="568"/>
    </row>
    <row r="731" spans="3:31" x14ac:dyDescent="0.2">
      <c r="C731" s="42" t="s">
        <v>798</v>
      </c>
      <c r="D731" s="120"/>
      <c r="E731" s="432"/>
      <c r="G731" s="21"/>
      <c r="K731" s="45"/>
      <c r="L731" s="45"/>
      <c r="M731" s="45"/>
      <c r="N731" s="45"/>
      <c r="O731" s="45"/>
      <c r="P731" s="45"/>
      <c r="Q731" s="45"/>
      <c r="R731" s="45"/>
      <c r="S731" s="45"/>
      <c r="T731" s="45"/>
      <c r="U731" s="45"/>
      <c r="V731" s="45"/>
      <c r="W731" s="568"/>
      <c r="X731" s="568"/>
      <c r="Y731" s="568"/>
      <c r="Z731" s="568"/>
      <c r="AA731" s="568"/>
      <c r="AB731" s="568"/>
      <c r="AC731" s="568"/>
      <c r="AD731" s="568"/>
      <c r="AE731" s="568"/>
    </row>
    <row r="732" spans="3:31" x14ac:dyDescent="0.2">
      <c r="C732" s="30" t="s">
        <v>803</v>
      </c>
      <c r="D732" s="120"/>
      <c r="E732" s="269">
        <f>'Plant model'!E732</f>
        <v>5</v>
      </c>
      <c r="F732" s="1" t="s">
        <v>3</v>
      </c>
      <c r="G732" s="21"/>
      <c r="I732" s="45">
        <f>$E$732</f>
        <v>5</v>
      </c>
      <c r="J732" s="45">
        <f>$E$732</f>
        <v>5</v>
      </c>
      <c r="K732" s="45">
        <f>$E$732</f>
        <v>5</v>
      </c>
      <c r="L732" s="45">
        <f t="shared" ref="L732:V732" si="657">$E$732</f>
        <v>5</v>
      </c>
      <c r="M732" s="45">
        <f t="shared" si="657"/>
        <v>5</v>
      </c>
      <c r="N732" s="45">
        <f t="shared" si="657"/>
        <v>5</v>
      </c>
      <c r="O732" s="45">
        <f t="shared" si="657"/>
        <v>5</v>
      </c>
      <c r="P732" s="45">
        <f t="shared" si="657"/>
        <v>5</v>
      </c>
      <c r="Q732" s="45">
        <f t="shared" si="657"/>
        <v>5</v>
      </c>
      <c r="R732" s="45">
        <f t="shared" si="657"/>
        <v>5</v>
      </c>
      <c r="S732" s="45">
        <f t="shared" si="657"/>
        <v>5</v>
      </c>
      <c r="T732" s="45">
        <f t="shared" si="657"/>
        <v>5</v>
      </c>
      <c r="U732" s="45">
        <f t="shared" si="657"/>
        <v>5</v>
      </c>
      <c r="V732" s="45">
        <f t="shared" si="657"/>
        <v>5</v>
      </c>
      <c r="W732" s="568"/>
      <c r="X732" s="568"/>
      <c r="Y732" s="568"/>
      <c r="Z732" s="568"/>
      <c r="AA732" s="568"/>
      <c r="AB732" s="568"/>
      <c r="AC732" s="568"/>
      <c r="AD732" s="568"/>
      <c r="AE732" s="568"/>
    </row>
    <row r="733" spans="3:31" x14ac:dyDescent="0.2">
      <c r="C733" s="30"/>
      <c r="D733" s="120"/>
      <c r="E733" s="120"/>
      <c r="G733" s="21"/>
      <c r="K733" s="45"/>
      <c r="L733" s="45"/>
      <c r="M733" s="45"/>
      <c r="N733" s="45"/>
      <c r="O733" s="45"/>
      <c r="P733" s="45"/>
      <c r="Q733" s="45"/>
      <c r="R733" s="45"/>
      <c r="S733" s="45"/>
      <c r="T733" s="45"/>
      <c r="U733" s="45"/>
      <c r="V733" s="45"/>
      <c r="W733" s="568"/>
      <c r="X733" s="568"/>
      <c r="Y733" s="568"/>
      <c r="Z733" s="568"/>
      <c r="AA733" s="568"/>
      <c r="AB733" s="568"/>
      <c r="AC733" s="568"/>
      <c r="AD733" s="568"/>
      <c r="AE733" s="568"/>
    </row>
    <row r="734" spans="3:31" x14ac:dyDescent="0.2">
      <c r="C734" s="70" t="s">
        <v>800</v>
      </c>
      <c r="D734" s="70"/>
      <c r="E734" s="431">
        <f>E720+E729+E732</f>
        <v>12.342241311111112</v>
      </c>
      <c r="F734" s="1" t="s">
        <v>3</v>
      </c>
      <c r="G734" s="21">
        <f>AVERAGE(K734:AE734)</f>
        <v>12.342241311111112</v>
      </c>
      <c r="I734" s="45">
        <f>I720+I729+I732</f>
        <v>12.342241311111112</v>
      </c>
      <c r="J734" s="45">
        <f>J720+J729+J732</f>
        <v>12.342241311111112</v>
      </c>
      <c r="K734" s="45">
        <f>K720+K729+K732</f>
        <v>12.342241311111112</v>
      </c>
      <c r="L734" s="45">
        <f t="shared" ref="L734:V734" si="658">L720+L729+L732</f>
        <v>12.342241311111112</v>
      </c>
      <c r="M734" s="45">
        <f t="shared" si="658"/>
        <v>12.342241311111112</v>
      </c>
      <c r="N734" s="45">
        <f t="shared" si="658"/>
        <v>12.342241311111112</v>
      </c>
      <c r="O734" s="45">
        <f t="shared" si="658"/>
        <v>12.342241311111112</v>
      </c>
      <c r="P734" s="45">
        <f t="shared" si="658"/>
        <v>12.342241311111112</v>
      </c>
      <c r="Q734" s="45">
        <f t="shared" si="658"/>
        <v>12.342241311111112</v>
      </c>
      <c r="R734" s="45">
        <f t="shared" si="658"/>
        <v>12.342241311111112</v>
      </c>
      <c r="S734" s="45">
        <f t="shared" si="658"/>
        <v>12.342241311111112</v>
      </c>
      <c r="T734" s="45">
        <f t="shared" si="658"/>
        <v>12.342241311111112</v>
      </c>
      <c r="U734" s="45">
        <f t="shared" si="658"/>
        <v>12.342241311111112</v>
      </c>
      <c r="V734" s="45">
        <f t="shared" si="658"/>
        <v>12.342241311111112</v>
      </c>
      <c r="W734" s="568"/>
      <c r="X734" s="568"/>
      <c r="Y734" s="568"/>
      <c r="Z734" s="568"/>
      <c r="AA734" s="568"/>
      <c r="AB734" s="568"/>
      <c r="AC734" s="568"/>
      <c r="AD734" s="568"/>
      <c r="AE734" s="568"/>
    </row>
    <row r="735" spans="3:31" x14ac:dyDescent="0.2">
      <c r="C735" s="5"/>
      <c r="D735" s="5"/>
    </row>
    <row r="736" spans="3:31" x14ac:dyDescent="0.2">
      <c r="C736" s="20" t="s">
        <v>863</v>
      </c>
      <c r="D736" s="20"/>
    </row>
    <row r="737" spans="2:31" x14ac:dyDescent="0.2">
      <c r="C737" s="5" t="s">
        <v>886</v>
      </c>
      <c r="D737" s="5"/>
      <c r="F737" s="1" t="s">
        <v>15</v>
      </c>
      <c r="G737" s="21">
        <f>SUM(K737:AE737)</f>
        <v>0.17617965624999998</v>
      </c>
      <c r="I737" s="45">
        <f>I119</f>
        <v>0</v>
      </c>
      <c r="J737" s="45">
        <f>J119</f>
        <v>0</v>
      </c>
      <c r="K737" s="45">
        <f>K119</f>
        <v>0</v>
      </c>
      <c r="L737" s="45">
        <f t="shared" ref="L737:V737" si="659">L119</f>
        <v>0</v>
      </c>
      <c r="M737" s="45">
        <f t="shared" si="659"/>
        <v>0</v>
      </c>
      <c r="N737" s="45">
        <f t="shared" si="659"/>
        <v>0</v>
      </c>
      <c r="O737" s="45">
        <f t="shared" si="659"/>
        <v>0</v>
      </c>
      <c r="P737" s="45">
        <f t="shared" si="659"/>
        <v>0</v>
      </c>
      <c r="Q737" s="45">
        <f t="shared" si="659"/>
        <v>0</v>
      </c>
      <c r="R737" s="45">
        <f t="shared" si="659"/>
        <v>0</v>
      </c>
      <c r="S737" s="45">
        <f t="shared" si="659"/>
        <v>2.7104562499999998E-2</v>
      </c>
      <c r="T737" s="45">
        <f t="shared" si="659"/>
        <v>4.0656843749999998E-2</v>
      </c>
      <c r="U737" s="45">
        <f t="shared" si="659"/>
        <v>5.4209124999999997E-2</v>
      </c>
      <c r="V737" s="45">
        <f t="shared" si="659"/>
        <v>5.4209124999999997E-2</v>
      </c>
      <c r="W737" s="568"/>
      <c r="X737" s="568"/>
      <c r="Y737" s="568"/>
      <c r="Z737" s="568"/>
      <c r="AA737" s="568"/>
      <c r="AB737" s="568"/>
      <c r="AC737" s="568"/>
      <c r="AD737" s="568"/>
      <c r="AE737" s="568"/>
    </row>
    <row r="738" spans="2:31" x14ac:dyDescent="0.2">
      <c r="C738" s="5"/>
      <c r="D738" s="5"/>
      <c r="G738" s="21"/>
      <c r="K738" s="45"/>
      <c r="L738" s="45"/>
      <c r="M738" s="45"/>
      <c r="N738" s="45"/>
      <c r="O738" s="45"/>
      <c r="P738" s="45"/>
      <c r="Q738" s="45"/>
      <c r="R738" s="45"/>
      <c r="S738" s="45"/>
      <c r="T738" s="45"/>
      <c r="U738" s="45"/>
      <c r="V738" s="45"/>
      <c r="W738" s="568"/>
      <c r="X738" s="568"/>
      <c r="Y738" s="568"/>
      <c r="Z738" s="568"/>
      <c r="AA738" s="568"/>
      <c r="AB738" s="568"/>
      <c r="AC738" s="568"/>
      <c r="AD738" s="568"/>
      <c r="AE738" s="568"/>
    </row>
    <row r="739" spans="2:31" x14ac:dyDescent="0.2">
      <c r="C739" s="20" t="s">
        <v>880</v>
      </c>
      <c r="D739" s="5"/>
      <c r="G739" s="21"/>
      <c r="K739" s="45"/>
      <c r="L739" s="45"/>
      <c r="M739" s="45"/>
      <c r="N739" s="45"/>
      <c r="O739" s="45"/>
      <c r="P739" s="45"/>
      <c r="Q739" s="45"/>
      <c r="R739" s="45"/>
      <c r="S739" s="45"/>
      <c r="T739" s="45"/>
      <c r="U739" s="45"/>
      <c r="V739" s="45"/>
      <c r="W739" s="568"/>
      <c r="X739" s="568"/>
      <c r="Y739" s="568"/>
      <c r="Z739" s="568"/>
      <c r="AA739" s="568"/>
      <c r="AB739" s="568"/>
      <c r="AC739" s="568"/>
      <c r="AD739" s="568"/>
      <c r="AE739" s="568"/>
    </row>
    <row r="740" spans="2:31" x14ac:dyDescent="0.2">
      <c r="C740" s="5" t="s">
        <v>881</v>
      </c>
      <c r="D740" s="5"/>
      <c r="F740" s="1" t="s">
        <v>55</v>
      </c>
      <c r="G740" s="21">
        <f>SUM(K740:AE740)</f>
        <v>2.1744518315461052</v>
      </c>
      <c r="I740" s="45">
        <f>I737*I734</f>
        <v>0</v>
      </c>
      <c r="J740" s="45">
        <f>J737*J734</f>
        <v>0</v>
      </c>
      <c r="K740" s="45">
        <f>K737*K734</f>
        <v>0</v>
      </c>
      <c r="L740" s="45">
        <f t="shared" ref="L740:V740" si="660">L737*L734</f>
        <v>0</v>
      </c>
      <c r="M740" s="45">
        <f t="shared" si="660"/>
        <v>0</v>
      </c>
      <c r="N740" s="45">
        <f t="shared" si="660"/>
        <v>0</v>
      </c>
      <c r="O740" s="45">
        <f t="shared" si="660"/>
        <v>0</v>
      </c>
      <c r="P740" s="45">
        <f t="shared" si="660"/>
        <v>0</v>
      </c>
      <c r="Q740" s="45">
        <f t="shared" si="660"/>
        <v>0</v>
      </c>
      <c r="R740" s="45">
        <f t="shared" si="660"/>
        <v>0</v>
      </c>
      <c r="S740" s="45">
        <f t="shared" si="660"/>
        <v>0.33453105100709307</v>
      </c>
      <c r="T740" s="45">
        <f t="shared" si="660"/>
        <v>0.50179657651063958</v>
      </c>
      <c r="U740" s="45">
        <f t="shared" si="660"/>
        <v>0.66906210201418614</v>
      </c>
      <c r="V740" s="45">
        <f t="shared" si="660"/>
        <v>0.66906210201418614</v>
      </c>
      <c r="W740" s="568"/>
      <c r="X740" s="568"/>
      <c r="Y740" s="568"/>
      <c r="Z740" s="568"/>
      <c r="AA740" s="568"/>
      <c r="AB740" s="568"/>
      <c r="AC740" s="568"/>
      <c r="AD740" s="568"/>
      <c r="AE740" s="568"/>
    </row>
    <row r="741" spans="2:31" x14ac:dyDescent="0.2">
      <c r="C741" s="5"/>
      <c r="D741" s="5"/>
      <c r="K741" s="50"/>
      <c r="L741" s="50"/>
      <c r="M741" s="50"/>
      <c r="N741" s="50"/>
      <c r="O741" s="50"/>
      <c r="P741" s="50"/>
      <c r="Q741" s="50"/>
      <c r="R741" s="50"/>
      <c r="S741" s="50"/>
      <c r="T741" s="50"/>
      <c r="U741" s="50"/>
      <c r="V741" s="50"/>
      <c r="W741" s="582"/>
      <c r="X741" s="582"/>
      <c r="Y741" s="582"/>
      <c r="Z741" s="582"/>
      <c r="AA741" s="582"/>
      <c r="AB741" s="582"/>
      <c r="AC741" s="582"/>
      <c r="AD741" s="582"/>
      <c r="AE741" s="582"/>
    </row>
    <row r="742" spans="2:31" x14ac:dyDescent="0.2">
      <c r="B742" s="24">
        <f>B714+0.01</f>
        <v>4.1199999999999992</v>
      </c>
      <c r="C742" s="20" t="s">
        <v>882</v>
      </c>
      <c r="D742" s="5"/>
      <c r="K742" s="50"/>
      <c r="L742" s="50"/>
      <c r="M742" s="50"/>
      <c r="N742" s="50"/>
      <c r="O742" s="50"/>
      <c r="P742" s="50"/>
      <c r="Q742" s="50"/>
      <c r="R742" s="50"/>
      <c r="S742" s="50"/>
      <c r="T742" s="50"/>
      <c r="U742" s="50"/>
      <c r="V742" s="50"/>
      <c r="W742" s="582"/>
      <c r="X742" s="582"/>
      <c r="Y742" s="582"/>
      <c r="Z742" s="582"/>
      <c r="AA742" s="582"/>
      <c r="AB742" s="582"/>
      <c r="AC742" s="582"/>
      <c r="AD742" s="582"/>
      <c r="AE742" s="582"/>
    </row>
    <row r="743" spans="2:31" x14ac:dyDescent="0.2">
      <c r="C743" s="5" t="s">
        <v>786</v>
      </c>
      <c r="D743" s="5"/>
      <c r="E743" s="269">
        <f>'Plant model'!E743</f>
        <v>12</v>
      </c>
      <c r="F743" s="1" t="s">
        <v>3</v>
      </c>
      <c r="G743" s="21">
        <f>AVERAGE(K743:AE743)</f>
        <v>12</v>
      </c>
      <c r="I743" s="45">
        <f>$E743</f>
        <v>12</v>
      </c>
      <c r="J743" s="45">
        <f>$E743</f>
        <v>12</v>
      </c>
      <c r="K743" s="45">
        <f>$E743</f>
        <v>12</v>
      </c>
      <c r="L743" s="45">
        <f t="shared" ref="L743:V744" si="661">$E743</f>
        <v>12</v>
      </c>
      <c r="M743" s="45">
        <f t="shared" si="661"/>
        <v>12</v>
      </c>
      <c r="N743" s="45">
        <f t="shared" si="661"/>
        <v>12</v>
      </c>
      <c r="O743" s="45">
        <f t="shared" si="661"/>
        <v>12</v>
      </c>
      <c r="P743" s="45">
        <f t="shared" si="661"/>
        <v>12</v>
      </c>
      <c r="Q743" s="45">
        <f t="shared" si="661"/>
        <v>12</v>
      </c>
      <c r="R743" s="45">
        <f t="shared" si="661"/>
        <v>12</v>
      </c>
      <c r="S743" s="45">
        <f t="shared" si="661"/>
        <v>12</v>
      </c>
      <c r="T743" s="45">
        <f t="shared" si="661"/>
        <v>12</v>
      </c>
      <c r="U743" s="45">
        <f t="shared" si="661"/>
        <v>12</v>
      </c>
      <c r="V743" s="45">
        <f t="shared" si="661"/>
        <v>12</v>
      </c>
      <c r="W743" s="568"/>
      <c r="X743" s="568"/>
      <c r="Y743" s="568"/>
      <c r="Z743" s="568"/>
      <c r="AA743" s="568"/>
      <c r="AB743" s="568"/>
      <c r="AC743" s="568"/>
      <c r="AD743" s="568"/>
      <c r="AE743" s="568"/>
    </row>
    <row r="744" spans="2:31" x14ac:dyDescent="0.2">
      <c r="C744" s="30" t="s">
        <v>883</v>
      </c>
      <c r="D744" s="5"/>
      <c r="E744" s="269">
        <f>'Plant model'!E744</f>
        <v>0</v>
      </c>
      <c r="F744" s="1" t="s">
        <v>3</v>
      </c>
      <c r="G744" s="21">
        <f>AVERAGE(K744:AE744)</f>
        <v>0</v>
      </c>
      <c r="I744" s="45">
        <f t="shared" ref="I744:K744" si="662">$E744</f>
        <v>0</v>
      </c>
      <c r="J744" s="45">
        <f t="shared" si="662"/>
        <v>0</v>
      </c>
      <c r="K744" s="45">
        <f t="shared" si="662"/>
        <v>0</v>
      </c>
      <c r="L744" s="45">
        <f t="shared" si="661"/>
        <v>0</v>
      </c>
      <c r="M744" s="45">
        <f t="shared" si="661"/>
        <v>0</v>
      </c>
      <c r="N744" s="45">
        <f t="shared" si="661"/>
        <v>0</v>
      </c>
      <c r="O744" s="45">
        <f t="shared" si="661"/>
        <v>0</v>
      </c>
      <c r="P744" s="45">
        <f t="shared" si="661"/>
        <v>0</v>
      </c>
      <c r="Q744" s="45">
        <f t="shared" si="661"/>
        <v>0</v>
      </c>
      <c r="R744" s="45">
        <f t="shared" si="661"/>
        <v>0</v>
      </c>
      <c r="S744" s="45">
        <f t="shared" si="661"/>
        <v>0</v>
      </c>
      <c r="T744" s="45">
        <f t="shared" si="661"/>
        <v>0</v>
      </c>
      <c r="U744" s="45">
        <f t="shared" si="661"/>
        <v>0</v>
      </c>
      <c r="V744" s="45">
        <f t="shared" si="661"/>
        <v>0</v>
      </c>
      <c r="W744" s="568"/>
      <c r="X744" s="568"/>
      <c r="Y744" s="568"/>
      <c r="Z744" s="568"/>
      <c r="AA744" s="568"/>
      <c r="AB744" s="568"/>
      <c r="AC744" s="568"/>
      <c r="AD744" s="568"/>
      <c r="AE744" s="568"/>
    </row>
    <row r="745" spans="2:31" x14ac:dyDescent="0.2">
      <c r="C745" s="5" t="s">
        <v>884</v>
      </c>
      <c r="D745" s="5"/>
      <c r="E745" s="432">
        <f>SUM(E743:E744)</f>
        <v>12</v>
      </c>
      <c r="F745" s="1" t="s">
        <v>3</v>
      </c>
      <c r="G745" s="21">
        <f>AVERAGE(K745:AE745)</f>
        <v>12</v>
      </c>
      <c r="I745" s="45">
        <f>SUM(I743:I744)</f>
        <v>12</v>
      </c>
      <c r="J745" s="45">
        <f>SUM(J743:J744)</f>
        <v>12</v>
      </c>
      <c r="K745" s="45">
        <f>SUM(K743:K744)</f>
        <v>12</v>
      </c>
      <c r="L745" s="45">
        <f t="shared" ref="L745:V745" si="663">SUM(L743:L744)</f>
        <v>12</v>
      </c>
      <c r="M745" s="45">
        <f t="shared" si="663"/>
        <v>12</v>
      </c>
      <c r="N745" s="45">
        <f t="shared" si="663"/>
        <v>12</v>
      </c>
      <c r="O745" s="45">
        <f t="shared" si="663"/>
        <v>12</v>
      </c>
      <c r="P745" s="45">
        <f t="shared" si="663"/>
        <v>12</v>
      </c>
      <c r="Q745" s="45">
        <f t="shared" si="663"/>
        <v>12</v>
      </c>
      <c r="R745" s="45">
        <f t="shared" si="663"/>
        <v>12</v>
      </c>
      <c r="S745" s="45">
        <f t="shared" si="663"/>
        <v>12</v>
      </c>
      <c r="T745" s="45">
        <f t="shared" si="663"/>
        <v>12</v>
      </c>
      <c r="U745" s="45">
        <f t="shared" si="663"/>
        <v>12</v>
      </c>
      <c r="V745" s="45">
        <f t="shared" si="663"/>
        <v>12</v>
      </c>
      <c r="W745" s="568"/>
      <c r="X745" s="568"/>
      <c r="Y745" s="568"/>
      <c r="Z745" s="568"/>
      <c r="AA745" s="568"/>
      <c r="AB745" s="568"/>
      <c r="AC745" s="568"/>
      <c r="AD745" s="568"/>
      <c r="AE745" s="568"/>
    </row>
    <row r="746" spans="2:31" x14ac:dyDescent="0.2">
      <c r="C746" s="5"/>
      <c r="D746" s="5"/>
      <c r="E746" s="432"/>
      <c r="G746" s="21"/>
      <c r="K746" s="45"/>
      <c r="L746" s="45"/>
      <c r="M746" s="45"/>
      <c r="N746" s="45"/>
      <c r="O746" s="45"/>
      <c r="P746" s="45"/>
      <c r="Q746" s="45"/>
      <c r="R746" s="45"/>
      <c r="S746" s="45"/>
      <c r="T746" s="45"/>
      <c r="U746" s="45"/>
      <c r="V746" s="45"/>
      <c r="W746" s="568"/>
      <c r="X746" s="568"/>
      <c r="Y746" s="568"/>
      <c r="Z746" s="568"/>
      <c r="AA746" s="568"/>
      <c r="AB746" s="568"/>
      <c r="AC746" s="568"/>
      <c r="AD746" s="568"/>
      <c r="AE746" s="568"/>
    </row>
    <row r="747" spans="2:31" x14ac:dyDescent="0.2">
      <c r="C747" s="20" t="s">
        <v>885</v>
      </c>
      <c r="D747" s="5"/>
      <c r="E747" s="432"/>
      <c r="G747" s="21"/>
      <c r="K747" s="45"/>
      <c r="L747" s="45"/>
      <c r="M747" s="45"/>
      <c r="N747" s="45"/>
      <c r="O747" s="45"/>
      <c r="P747" s="45"/>
      <c r="Q747" s="45"/>
      <c r="R747" s="45"/>
      <c r="S747" s="45"/>
      <c r="T747" s="45"/>
      <c r="U747" s="45"/>
      <c r="V747" s="45"/>
      <c r="W747" s="568"/>
      <c r="X747" s="568"/>
      <c r="Y747" s="568"/>
      <c r="Z747" s="568"/>
      <c r="AA747" s="568"/>
      <c r="AB747" s="568"/>
      <c r="AC747" s="568"/>
      <c r="AD747" s="568"/>
      <c r="AE747" s="568"/>
    </row>
    <row r="748" spans="2:31" x14ac:dyDescent="0.2">
      <c r="C748" s="5" t="s">
        <v>886</v>
      </c>
      <c r="D748" s="5"/>
      <c r="E748" s="432"/>
      <c r="F748" s="1" t="s">
        <v>15</v>
      </c>
      <c r="G748" s="21">
        <f>SUM(I748:V748)</f>
        <v>0.17617965624999998</v>
      </c>
      <c r="I748" s="45">
        <f>I120</f>
        <v>0</v>
      </c>
      <c r="J748" s="45">
        <f>J120</f>
        <v>0</v>
      </c>
      <c r="K748" s="45">
        <f>K120</f>
        <v>0</v>
      </c>
      <c r="L748" s="45">
        <f t="shared" ref="L748:V748" si="664">L120</f>
        <v>0</v>
      </c>
      <c r="M748" s="45">
        <f t="shared" si="664"/>
        <v>0</v>
      </c>
      <c r="N748" s="45">
        <f t="shared" si="664"/>
        <v>0</v>
      </c>
      <c r="O748" s="45">
        <f t="shared" si="664"/>
        <v>0</v>
      </c>
      <c r="P748" s="45">
        <f t="shared" si="664"/>
        <v>0</v>
      </c>
      <c r="Q748" s="45">
        <f t="shared" si="664"/>
        <v>0</v>
      </c>
      <c r="R748" s="45">
        <f t="shared" si="664"/>
        <v>0</v>
      </c>
      <c r="S748" s="45">
        <f t="shared" si="664"/>
        <v>2.7104562499999998E-2</v>
      </c>
      <c r="T748" s="45">
        <f t="shared" si="664"/>
        <v>4.0656843749999998E-2</v>
      </c>
      <c r="U748" s="45">
        <f t="shared" si="664"/>
        <v>5.4209124999999997E-2</v>
      </c>
      <c r="V748" s="45">
        <f t="shared" si="664"/>
        <v>5.4209124999999997E-2</v>
      </c>
      <c r="W748" s="568"/>
      <c r="X748" s="568"/>
      <c r="Y748" s="568"/>
      <c r="Z748" s="568"/>
      <c r="AA748" s="568"/>
      <c r="AB748" s="568"/>
      <c r="AC748" s="568"/>
      <c r="AD748" s="568"/>
      <c r="AE748" s="568"/>
    </row>
    <row r="749" spans="2:31" x14ac:dyDescent="0.2">
      <c r="C749" s="5"/>
      <c r="D749" s="5"/>
      <c r="E749" s="432"/>
      <c r="G749" s="21"/>
      <c r="K749" s="45"/>
      <c r="L749" s="45"/>
      <c r="M749" s="45"/>
      <c r="N749" s="45"/>
      <c r="O749" s="45"/>
      <c r="P749" s="45"/>
      <c r="Q749" s="45"/>
      <c r="R749" s="45"/>
      <c r="S749" s="45"/>
      <c r="T749" s="45"/>
      <c r="U749" s="45"/>
      <c r="V749" s="45"/>
      <c r="W749" s="568"/>
      <c r="X749" s="568"/>
      <c r="Y749" s="568"/>
      <c r="Z749" s="568"/>
      <c r="AA749" s="568"/>
      <c r="AB749" s="568"/>
      <c r="AC749" s="568"/>
      <c r="AD749" s="568"/>
      <c r="AE749" s="568"/>
    </row>
    <row r="750" spans="2:31" x14ac:dyDescent="0.2">
      <c r="C750" s="20" t="s">
        <v>887</v>
      </c>
      <c r="D750" s="5"/>
      <c r="E750" s="432"/>
      <c r="G750" s="21"/>
      <c r="K750" s="45"/>
      <c r="L750" s="45"/>
      <c r="M750" s="45"/>
      <c r="N750" s="45"/>
      <c r="O750" s="45"/>
      <c r="P750" s="45"/>
      <c r="Q750" s="45"/>
      <c r="R750" s="45"/>
      <c r="S750" s="45"/>
      <c r="T750" s="45"/>
      <c r="U750" s="45"/>
      <c r="V750" s="45"/>
      <c r="W750" s="568"/>
      <c r="X750" s="568"/>
      <c r="Y750" s="568"/>
      <c r="Z750" s="568"/>
      <c r="AA750" s="568"/>
      <c r="AB750" s="568"/>
      <c r="AC750" s="568"/>
      <c r="AD750" s="568"/>
      <c r="AE750" s="568"/>
    </row>
    <row r="751" spans="2:31" x14ac:dyDescent="0.2">
      <c r="C751" s="5" t="s">
        <v>888</v>
      </c>
      <c r="D751" s="5"/>
      <c r="F751" s="1" t="s">
        <v>55</v>
      </c>
      <c r="G751" s="21">
        <f>SUM(I751:V751)</f>
        <v>2.1141558749999998</v>
      </c>
      <c r="I751" s="45">
        <f>I748*I745</f>
        <v>0</v>
      </c>
      <c r="J751" s="45">
        <f>J748*J745</f>
        <v>0</v>
      </c>
      <c r="K751" s="45">
        <f>K748*K745</f>
        <v>0</v>
      </c>
      <c r="L751" s="45">
        <f t="shared" ref="L751:V751" si="665">L748*L745</f>
        <v>0</v>
      </c>
      <c r="M751" s="45">
        <f t="shared" si="665"/>
        <v>0</v>
      </c>
      <c r="N751" s="45">
        <f t="shared" si="665"/>
        <v>0</v>
      </c>
      <c r="O751" s="45">
        <f t="shared" si="665"/>
        <v>0</v>
      </c>
      <c r="P751" s="45">
        <f t="shared" si="665"/>
        <v>0</v>
      </c>
      <c r="Q751" s="45">
        <f t="shared" si="665"/>
        <v>0</v>
      </c>
      <c r="R751" s="45">
        <f t="shared" si="665"/>
        <v>0</v>
      </c>
      <c r="S751" s="45">
        <f t="shared" si="665"/>
        <v>0.32525474999999998</v>
      </c>
      <c r="T751" s="45">
        <f t="shared" si="665"/>
        <v>0.48788212499999994</v>
      </c>
      <c r="U751" s="45">
        <f t="shared" si="665"/>
        <v>0.65050949999999996</v>
      </c>
      <c r="V751" s="45">
        <f t="shared" si="665"/>
        <v>0.65050949999999996</v>
      </c>
      <c r="W751" s="568"/>
      <c r="X751" s="568"/>
      <c r="Y751" s="568"/>
      <c r="Z751" s="568"/>
      <c r="AA751" s="568"/>
      <c r="AB751" s="568"/>
      <c r="AC751" s="568"/>
      <c r="AD751" s="568"/>
      <c r="AE751" s="568"/>
    </row>
    <row r="752" spans="2:31" x14ac:dyDescent="0.2">
      <c r="C752" s="5"/>
      <c r="D752" s="5"/>
      <c r="K752" s="50"/>
      <c r="L752" s="50"/>
      <c r="M752" s="50"/>
      <c r="N752" s="50"/>
      <c r="O752" s="50"/>
      <c r="P752" s="50"/>
      <c r="Q752" s="50"/>
      <c r="R752" s="50"/>
      <c r="S752" s="50"/>
      <c r="T752" s="50"/>
      <c r="U752" s="50"/>
      <c r="V752" s="50"/>
      <c r="W752" s="582"/>
      <c r="X752" s="582"/>
      <c r="Y752" s="582"/>
      <c r="Z752" s="582"/>
      <c r="AA752" s="582"/>
      <c r="AB752" s="582"/>
      <c r="AC752" s="582"/>
      <c r="AD752" s="582"/>
      <c r="AE752" s="582"/>
    </row>
    <row r="753" spans="2:31" x14ac:dyDescent="0.2">
      <c r="C753" s="20" t="s">
        <v>801</v>
      </c>
      <c r="D753" s="20"/>
      <c r="E753" s="9"/>
      <c r="F753" s="9" t="s">
        <v>55</v>
      </c>
      <c r="G753" s="44">
        <f>SUM(K753:AE753)</f>
        <v>5.3494558886898549</v>
      </c>
      <c r="I753" s="54">
        <f>(I711+I712)*I121+I740+I751</f>
        <v>0</v>
      </c>
      <c r="J753" s="54">
        <f>(J711+J712)*J121+J740+J751</f>
        <v>0</v>
      </c>
      <c r="K753" s="54">
        <f>(K711+K712)*K121+K740+K751</f>
        <v>0</v>
      </c>
      <c r="L753" s="54">
        <f t="shared" ref="L753:V753" si="666">(L711+L712)*L121+L740+L751</f>
        <v>0</v>
      </c>
      <c r="M753" s="54">
        <f t="shared" si="666"/>
        <v>0</v>
      </c>
      <c r="N753" s="54">
        <f t="shared" si="666"/>
        <v>0</v>
      </c>
      <c r="O753" s="54">
        <f t="shared" si="666"/>
        <v>0</v>
      </c>
      <c r="P753" s="54">
        <f t="shared" si="666"/>
        <v>0</v>
      </c>
      <c r="Q753" s="54">
        <f t="shared" si="666"/>
        <v>0</v>
      </c>
      <c r="R753" s="54">
        <f t="shared" si="666"/>
        <v>0</v>
      </c>
      <c r="S753" s="54">
        <f t="shared" si="666"/>
        <v>0.82299321364459299</v>
      </c>
      <c r="T753" s="54">
        <f t="shared" si="666"/>
        <v>1.2344898204668895</v>
      </c>
      <c r="U753" s="54">
        <f t="shared" si="666"/>
        <v>1.645986427289186</v>
      </c>
      <c r="V753" s="54">
        <f t="shared" si="666"/>
        <v>1.645986427289186</v>
      </c>
      <c r="W753" s="584"/>
      <c r="X753" s="584"/>
      <c r="Y753" s="584"/>
      <c r="Z753" s="584"/>
      <c r="AA753" s="584"/>
      <c r="AB753" s="584"/>
      <c r="AC753" s="584"/>
      <c r="AD753" s="584"/>
      <c r="AE753" s="584"/>
    </row>
    <row r="754" spans="2:31" x14ac:dyDescent="0.2">
      <c r="C754" s="5" t="s">
        <v>802</v>
      </c>
      <c r="D754" s="20"/>
      <c r="E754" s="9"/>
      <c r="F754" s="1" t="s">
        <v>3</v>
      </c>
      <c r="G754" s="21">
        <f>IFERROR(G753/G121,0)</f>
        <v>15.181820655555557</v>
      </c>
      <c r="I754" s="21">
        <f>IFERROR(I753/I121,0)</f>
        <v>0</v>
      </c>
      <c r="J754" s="21">
        <f t="shared" ref="J754:V754" si="667">IFERROR(J753/J121,0)</f>
        <v>0</v>
      </c>
      <c r="K754" s="21">
        <f t="shared" si="667"/>
        <v>0</v>
      </c>
      <c r="L754" s="21">
        <f t="shared" si="667"/>
        <v>0</v>
      </c>
      <c r="M754" s="21">
        <f t="shared" si="667"/>
        <v>0</v>
      </c>
      <c r="N754" s="21">
        <f t="shared" si="667"/>
        <v>0</v>
      </c>
      <c r="O754" s="21">
        <f t="shared" si="667"/>
        <v>0</v>
      </c>
      <c r="P754" s="21">
        <f t="shared" si="667"/>
        <v>0</v>
      </c>
      <c r="Q754" s="21">
        <f t="shared" si="667"/>
        <v>0</v>
      </c>
      <c r="R754" s="21">
        <f t="shared" si="667"/>
        <v>0</v>
      </c>
      <c r="S754" s="21">
        <f t="shared" si="667"/>
        <v>15.181820655555555</v>
      </c>
      <c r="T754" s="21">
        <f t="shared" si="667"/>
        <v>15.181820655555555</v>
      </c>
      <c r="U754" s="21">
        <f t="shared" si="667"/>
        <v>15.181820655555555</v>
      </c>
      <c r="V754" s="21">
        <f t="shared" si="667"/>
        <v>15.181820655555555</v>
      </c>
      <c r="W754" s="563"/>
      <c r="X754" s="563"/>
      <c r="Y754" s="563"/>
      <c r="Z754" s="563"/>
      <c r="AA754" s="563"/>
      <c r="AB754" s="563"/>
      <c r="AC754" s="563"/>
      <c r="AD754" s="563"/>
      <c r="AE754" s="563"/>
    </row>
    <row r="755" spans="2:31" x14ac:dyDescent="0.2">
      <c r="C755" s="5"/>
      <c r="D755" s="5"/>
    </row>
    <row r="756" spans="2:31" x14ac:dyDescent="0.2">
      <c r="C756" s="23"/>
      <c r="D756" s="23"/>
      <c r="E756" s="23"/>
      <c r="F756" s="23"/>
      <c r="G756" s="23"/>
      <c r="H756" s="23"/>
      <c r="I756" s="23"/>
      <c r="J756" s="23"/>
      <c r="K756" s="23"/>
      <c r="L756" s="23"/>
      <c r="M756" s="23"/>
      <c r="N756" s="23"/>
      <c r="O756" s="23"/>
      <c r="P756" s="23"/>
      <c r="Q756" s="23"/>
      <c r="R756" s="23"/>
      <c r="S756" s="23"/>
      <c r="T756" s="23"/>
      <c r="U756" s="23"/>
      <c r="V756" s="23"/>
    </row>
    <row r="757" spans="2:31" x14ac:dyDescent="0.2">
      <c r="C757" s="5"/>
      <c r="D757" s="5"/>
    </row>
    <row r="758" spans="2:31" x14ac:dyDescent="0.2">
      <c r="B758" s="10">
        <f>B708+0.1</f>
        <v>4.1999999999999993</v>
      </c>
      <c r="C758" s="20" t="s">
        <v>68</v>
      </c>
      <c r="E758" s="234" t="s">
        <v>243</v>
      </c>
      <c r="T758" s="21"/>
    </row>
    <row r="759" spans="2:31" x14ac:dyDescent="0.2">
      <c r="B759" s="10"/>
      <c r="C759" s="5" t="s">
        <v>848</v>
      </c>
      <c r="E759" s="234"/>
      <c r="F759" s="1" t="s">
        <v>55</v>
      </c>
      <c r="G759" s="21">
        <f>SUM(K759:AE759)</f>
        <v>1.764964325518299</v>
      </c>
      <c r="I759" s="43">
        <f>HLOOKUP(YEAR(I$3),'CO2 tax'!$D$25:$P$34,10)*I14/1000000/4*(I$97&gt;0)</f>
        <v>0</v>
      </c>
      <c r="J759" s="43">
        <f>HLOOKUP(YEAR(J$3),'CO2 tax'!$D$25:$P$34,10)*J14/1000000/4*(J$97&gt;0)</f>
        <v>0</v>
      </c>
      <c r="K759" s="43">
        <f>HLOOKUP(YEAR(K$3),'CO2 tax'!$D$25:$P$34,10)*K14/1000000/4*(K$97&gt;0)</f>
        <v>0</v>
      </c>
      <c r="L759" s="43">
        <f>HLOOKUP(YEAR(L$3),'CO2 tax'!$D$25:$P$34,10)*L14/1000000/4*(L$97&gt;0)</f>
        <v>0</v>
      </c>
      <c r="M759" s="43">
        <f>HLOOKUP(YEAR(M$3),'CO2 tax'!$D$25:$P$34,10)*M14/1000000/4*(M$97&gt;0)</f>
        <v>0</v>
      </c>
      <c r="N759" s="43">
        <f>HLOOKUP(YEAR(N$3),'CO2 tax'!$D$25:$P$34,10)*N14/1000000/4*(N$97&gt;0)</f>
        <v>0</v>
      </c>
      <c r="O759" s="43">
        <f>HLOOKUP(YEAR(O$3),'CO2 tax'!$D$25:$P$34,10)*O14/1000000/4*(O$97&gt;0)</f>
        <v>0</v>
      </c>
      <c r="P759" s="43">
        <f>HLOOKUP(YEAR(P$3),'CO2 tax'!$D$25:$P$34,10)*P14/1000000/4*(P$97&gt;0)</f>
        <v>0</v>
      </c>
      <c r="Q759" s="43">
        <f>HLOOKUP(YEAR(Q$3),'CO2 tax'!$D$25:$P$34,10)*Q14/1000000/4*(Q$97&gt;0)</f>
        <v>0</v>
      </c>
      <c r="R759" s="43">
        <f>HLOOKUP(YEAR(R$3),'CO2 tax'!$D$25:$P$34,10)*R14/1000000/4*(R$97&gt;0)</f>
        <v>0</v>
      </c>
      <c r="S759" s="43">
        <f>HLOOKUP(YEAR(S$3),'CO2 tax'!$D$25:$P$34,10)*S14/1000000/4*(S$97&gt;0)</f>
        <v>0.39477287708713305</v>
      </c>
      <c r="T759" s="43">
        <f>HLOOKUP(YEAR(T$3),'CO2 tax'!$D$25:$P$34,10)*T14/1000000/4*(T$97&gt;0)</f>
        <v>0.39477287708713305</v>
      </c>
      <c r="U759" s="43">
        <f>HLOOKUP(YEAR(U$3),'CO2 tax'!$D$25:$P$34,10)*U14/1000000/4*(U$97&gt;0)</f>
        <v>0.48770928567201643</v>
      </c>
      <c r="V759" s="43">
        <f>HLOOKUP(YEAR(V$3),'CO2 tax'!$D$25:$P$34,10)*V14/1000000/4*(V$97&gt;0)</f>
        <v>0.48770928567201643</v>
      </c>
      <c r="W759" s="568"/>
      <c r="X759" s="568"/>
      <c r="Y759" s="568"/>
      <c r="Z759" s="568"/>
      <c r="AA759" s="568"/>
      <c r="AB759" s="568"/>
      <c r="AC759" s="568"/>
      <c r="AD759" s="568"/>
      <c r="AE759" s="568"/>
    </row>
    <row r="760" spans="2:31" x14ac:dyDescent="0.2">
      <c r="C760" s="5" t="s">
        <v>861</v>
      </c>
      <c r="E760" s="269">
        <f>'Plant model'!E760</f>
        <v>0</v>
      </c>
      <c r="F760" s="1" t="s">
        <v>55</v>
      </c>
      <c r="G760" s="21">
        <f>SUM(K760:AE760)</f>
        <v>0</v>
      </c>
      <c r="I760" s="43">
        <f>SUMIF('Plant model'!$I$3:$AE$3,YEAR('Quarterly Plant Model'!I$3),'Plant model'!$I760:$AE760)/4</f>
        <v>0</v>
      </c>
      <c r="J760" s="43">
        <f>SUMIF('Plant model'!$I$3:$AE$3,YEAR('Quarterly Plant Model'!J$3),'Plant model'!$I760:$AE760)/4</f>
        <v>0</v>
      </c>
      <c r="K760" s="43">
        <f>SUMIF('Plant model'!$I$3:$AE$3,YEAR('Quarterly Plant Model'!K$3),'Plant model'!$I760:$AE760)/4</f>
        <v>0</v>
      </c>
      <c r="L760" s="43">
        <f>SUMIF('Plant model'!$I$3:$AE$3,YEAR('Quarterly Plant Model'!L$3),'Plant model'!$I760:$AE760)/4</f>
        <v>0</v>
      </c>
      <c r="M760" s="43">
        <f>SUMIF('Plant model'!$I$3:$AE$3,YEAR('Quarterly Plant Model'!M$3),'Plant model'!$I760:$AE760)/4</f>
        <v>0</v>
      </c>
      <c r="N760" s="43">
        <f>SUMIF('Plant model'!$I$3:$AE$3,YEAR('Quarterly Plant Model'!N$3),'Plant model'!$I760:$AE760)/4</f>
        <v>0</v>
      </c>
      <c r="O760" s="43">
        <f>SUMIF('Plant model'!$I$3:$AE$3,YEAR('Quarterly Plant Model'!O$3),'Plant model'!$I760:$AE760)/4</f>
        <v>0</v>
      </c>
      <c r="P760" s="43">
        <f>SUMIF('Plant model'!$I$3:$AE$3,YEAR('Quarterly Plant Model'!P$3),'Plant model'!$I760:$AE760)/4</f>
        <v>0</v>
      </c>
      <c r="Q760" s="43">
        <f>SUMIF('Plant model'!$I$3:$AE$3,YEAR('Quarterly Plant Model'!Q$3),'Plant model'!$I760:$AE760)/4</f>
        <v>0</v>
      </c>
      <c r="R760" s="43">
        <f>SUMIF('Plant model'!$I$3:$AE$3,YEAR('Quarterly Plant Model'!R$3),'Plant model'!$I760:$AE760)/4</f>
        <v>0</v>
      </c>
      <c r="S760" s="43">
        <f>SUMIF('Plant model'!$I$3:$AE$3,YEAR('Quarterly Plant Model'!S$3),'Plant model'!$I760:$AE760)/4</f>
        <v>0</v>
      </c>
      <c r="T760" s="43">
        <f>SUMIF('Plant model'!$I$3:$AE$3,YEAR('Quarterly Plant Model'!T$3),'Plant model'!$I760:$AE760)/4</f>
        <v>0</v>
      </c>
      <c r="U760" s="43">
        <f>SUMIF('Plant model'!$I$3:$AE$3,YEAR('Quarterly Plant Model'!U$3),'Plant model'!$I760:$AE760)/4</f>
        <v>0</v>
      </c>
      <c r="V760" s="43">
        <f>SUMIF('Plant model'!$I$3:$AE$3,YEAR('Quarterly Plant Model'!V$3),'Plant model'!$I760:$AE760)/4</f>
        <v>0</v>
      </c>
      <c r="W760" s="568"/>
      <c r="X760" s="568"/>
      <c r="Y760" s="568"/>
      <c r="Z760" s="568"/>
      <c r="AA760" s="568"/>
      <c r="AB760" s="568"/>
      <c r="AC760" s="568"/>
      <c r="AD760" s="568"/>
      <c r="AE760" s="568"/>
    </row>
    <row r="761" spans="2:31" x14ac:dyDescent="0.2">
      <c r="C761" s="20" t="s">
        <v>45</v>
      </c>
      <c r="E761" s="234"/>
      <c r="F761" s="9" t="s">
        <v>55</v>
      </c>
      <c r="G761" s="44">
        <f t="shared" ref="G761" si="668">SUM(K761:AE761)</f>
        <v>1.764964325518299</v>
      </c>
      <c r="H761" s="9"/>
      <c r="I761" s="44">
        <f>SUM(I759:I760)</f>
        <v>0</v>
      </c>
      <c r="J761" s="44">
        <f t="shared" ref="J761" si="669">SUM(J759:J760)</f>
        <v>0</v>
      </c>
      <c r="K761" s="44">
        <f t="shared" ref="K761:V761" si="670">SUM(K759:K760)</f>
        <v>0</v>
      </c>
      <c r="L761" s="44">
        <f t="shared" si="670"/>
        <v>0</v>
      </c>
      <c r="M761" s="44">
        <f t="shared" si="670"/>
        <v>0</v>
      </c>
      <c r="N761" s="44">
        <f t="shared" si="670"/>
        <v>0</v>
      </c>
      <c r="O761" s="44">
        <f t="shared" si="670"/>
        <v>0</v>
      </c>
      <c r="P761" s="44">
        <f t="shared" si="670"/>
        <v>0</v>
      </c>
      <c r="Q761" s="44">
        <f t="shared" si="670"/>
        <v>0</v>
      </c>
      <c r="R761" s="44">
        <f t="shared" si="670"/>
        <v>0</v>
      </c>
      <c r="S761" s="44">
        <f t="shared" si="670"/>
        <v>0.39477287708713305</v>
      </c>
      <c r="T761" s="44">
        <f t="shared" si="670"/>
        <v>0.39477287708713305</v>
      </c>
      <c r="U761" s="44">
        <f t="shared" si="670"/>
        <v>0.48770928567201643</v>
      </c>
      <c r="V761" s="44">
        <f t="shared" si="670"/>
        <v>0.48770928567201643</v>
      </c>
      <c r="W761" s="580"/>
      <c r="X761" s="580"/>
      <c r="Y761" s="580"/>
      <c r="Z761" s="580"/>
      <c r="AA761" s="580"/>
      <c r="AB761" s="580"/>
      <c r="AC761" s="580"/>
      <c r="AD761" s="580"/>
      <c r="AE761" s="580"/>
    </row>
    <row r="762" spans="2:31" x14ac:dyDescent="0.2">
      <c r="C762" s="20"/>
      <c r="E762" s="234"/>
    </row>
    <row r="763" spans="2:31" x14ac:dyDescent="0.2">
      <c r="B763" s="24">
        <f>B758+0.01</f>
        <v>4.2099999999999991</v>
      </c>
      <c r="C763" s="20" t="s">
        <v>69</v>
      </c>
      <c r="E763" s="234"/>
    </row>
    <row r="764" spans="2:31" x14ac:dyDescent="0.2">
      <c r="B764" s="24"/>
      <c r="C764" s="5" t="s">
        <v>848</v>
      </c>
      <c r="E764" s="234"/>
      <c r="F764" s="1" t="s">
        <v>55</v>
      </c>
      <c r="G764" s="21">
        <f>SUM(K764:AE764)</f>
        <v>0</v>
      </c>
      <c r="I764" s="43">
        <f>HLOOKUP(YEAR(I$3),'CO2 tax'!$D$25:$P$42,18)*I19/1000000/4</f>
        <v>0</v>
      </c>
      <c r="J764" s="43">
        <f>HLOOKUP(YEAR(J$3),'CO2 tax'!$D$25:$P$42,18)*J19/1000000/4</f>
        <v>0</v>
      </c>
      <c r="K764" s="43">
        <f>HLOOKUP(YEAR(K$3),'CO2 tax'!$D$25:$P$42,18)*K19/1000000/4</f>
        <v>0</v>
      </c>
      <c r="L764" s="43">
        <f>HLOOKUP(YEAR(L$3),'CO2 tax'!$D$25:$P$42,18)*L19/1000000/4</f>
        <v>0</v>
      </c>
      <c r="M764" s="43">
        <f>HLOOKUP(YEAR(M$3),'CO2 tax'!$D$25:$P$42,18)*M19/1000000/4</f>
        <v>0</v>
      </c>
      <c r="N764" s="43">
        <f>HLOOKUP(YEAR(N$3),'CO2 tax'!$D$25:$P$42,18)*N19/1000000/4</f>
        <v>0</v>
      </c>
      <c r="O764" s="43">
        <f>HLOOKUP(YEAR(O$3),'CO2 tax'!$D$25:$P$42,18)*O19/1000000/4</f>
        <v>0</v>
      </c>
      <c r="P764" s="43">
        <f>HLOOKUP(YEAR(P$3),'CO2 tax'!$D$25:$P$42,18)*P19/1000000/4</f>
        <v>0</v>
      </c>
      <c r="Q764" s="43">
        <f>HLOOKUP(YEAR(Q$3),'CO2 tax'!$D$25:$P$42,18)*Q19/1000000/4</f>
        <v>0</v>
      </c>
      <c r="R764" s="43">
        <f>HLOOKUP(YEAR(R$3),'CO2 tax'!$D$25:$P$42,18)*R19/1000000/4</f>
        <v>0</v>
      </c>
      <c r="S764" s="43">
        <f>HLOOKUP(YEAR(S$3),'CO2 tax'!$D$25:$P$42,18)*S19/1000000/4</f>
        <v>0</v>
      </c>
      <c r="T764" s="43">
        <f>HLOOKUP(YEAR(T$3),'CO2 tax'!$D$25:$P$42,18)*T19/1000000/4</f>
        <v>0</v>
      </c>
      <c r="U764" s="43">
        <f>HLOOKUP(YEAR(U$3),'CO2 tax'!$D$25:$P$42,18)*U19/1000000/4</f>
        <v>0</v>
      </c>
      <c r="V764" s="43">
        <f>HLOOKUP(YEAR(V$3),'CO2 tax'!$D$25:$P$42,18)*V19/1000000/4</f>
        <v>0</v>
      </c>
      <c r="W764" s="582"/>
      <c r="X764" s="582"/>
      <c r="Y764" s="582"/>
      <c r="Z764" s="582"/>
      <c r="AA764" s="582"/>
      <c r="AB764" s="582"/>
      <c r="AC764" s="582"/>
      <c r="AD764" s="582"/>
      <c r="AE764" s="582"/>
    </row>
    <row r="765" spans="2:31" x14ac:dyDescent="0.2">
      <c r="C765" s="5" t="s">
        <v>861</v>
      </c>
      <c r="E765" s="269">
        <f>'Plant model'!E765</f>
        <v>0</v>
      </c>
      <c r="F765" s="1" t="s">
        <v>55</v>
      </c>
      <c r="G765" s="21">
        <f>SUM(K765:AE765)</f>
        <v>0</v>
      </c>
      <c r="I765" s="43">
        <f>SUMIF('Plant model'!$I$3:$AE$3,YEAR('Quarterly Plant Model'!I$3),'Plant model'!$I765:$AE765)/4</f>
        <v>0</v>
      </c>
      <c r="J765" s="43">
        <f>SUMIF('Plant model'!$I$3:$AE$3,YEAR('Quarterly Plant Model'!J$3),'Plant model'!$I765:$AE765)/4</f>
        <v>0</v>
      </c>
      <c r="K765" s="43">
        <f>SUMIF('Plant model'!$I$3:$AE$3,YEAR('Quarterly Plant Model'!K$3),'Plant model'!$I765:$AE765)/4</f>
        <v>0</v>
      </c>
      <c r="L765" s="43">
        <f>SUMIF('Plant model'!$I$3:$AE$3,YEAR('Quarterly Plant Model'!L$3),'Plant model'!$I765:$AE765)/4</f>
        <v>0</v>
      </c>
      <c r="M765" s="43">
        <f>SUMIF('Plant model'!$I$3:$AE$3,YEAR('Quarterly Plant Model'!M$3),'Plant model'!$I765:$AE765)/4</f>
        <v>0</v>
      </c>
      <c r="N765" s="43">
        <f>SUMIF('Plant model'!$I$3:$AE$3,YEAR('Quarterly Plant Model'!N$3),'Plant model'!$I765:$AE765)/4</f>
        <v>0</v>
      </c>
      <c r="O765" s="43">
        <f>SUMIF('Plant model'!$I$3:$AE$3,YEAR('Quarterly Plant Model'!O$3),'Plant model'!$I765:$AE765)/4</f>
        <v>0</v>
      </c>
      <c r="P765" s="43">
        <f>SUMIF('Plant model'!$I$3:$AE$3,YEAR('Quarterly Plant Model'!P$3),'Plant model'!$I765:$AE765)/4</f>
        <v>0</v>
      </c>
      <c r="Q765" s="43">
        <f>SUMIF('Plant model'!$I$3:$AE$3,YEAR('Quarterly Plant Model'!Q$3),'Plant model'!$I765:$AE765)/4</f>
        <v>0</v>
      </c>
      <c r="R765" s="43">
        <f>SUMIF('Plant model'!$I$3:$AE$3,YEAR('Quarterly Plant Model'!R$3),'Plant model'!$I765:$AE765)/4</f>
        <v>0</v>
      </c>
      <c r="S765" s="43">
        <f>SUMIF('Plant model'!$I$3:$AE$3,YEAR('Quarterly Plant Model'!S$3),'Plant model'!$I765:$AE765)/4</f>
        <v>0</v>
      </c>
      <c r="T765" s="43">
        <f>SUMIF('Plant model'!$I$3:$AE$3,YEAR('Quarterly Plant Model'!T$3),'Plant model'!$I765:$AE765)/4</f>
        <v>0</v>
      </c>
      <c r="U765" s="43">
        <f>SUMIF('Plant model'!$I$3:$AE$3,YEAR('Quarterly Plant Model'!U$3),'Plant model'!$I765:$AE765)/4</f>
        <v>0</v>
      </c>
      <c r="V765" s="43">
        <f>SUMIF('Plant model'!$I$3:$AE$3,YEAR('Quarterly Plant Model'!V$3),'Plant model'!$I765:$AE765)/4</f>
        <v>0</v>
      </c>
      <c r="W765" s="568"/>
      <c r="X765" s="568"/>
      <c r="Y765" s="568"/>
      <c r="Z765" s="568"/>
      <c r="AA765" s="568"/>
      <c r="AB765" s="568"/>
      <c r="AC765" s="568"/>
      <c r="AD765" s="568"/>
      <c r="AE765" s="568"/>
    </row>
    <row r="766" spans="2:31" x14ac:dyDescent="0.2">
      <c r="C766" s="20" t="s">
        <v>45</v>
      </c>
      <c r="D766" s="20"/>
      <c r="E766" s="9"/>
      <c r="F766" s="9" t="s">
        <v>55</v>
      </c>
      <c r="G766" s="44">
        <f t="shared" ref="G766" si="671">SUM(K766:AE766)</f>
        <v>0</v>
      </c>
      <c r="H766" s="9"/>
      <c r="I766" s="44">
        <f t="shared" ref="I766" si="672">SUM(I764:I765)</f>
        <v>0</v>
      </c>
      <c r="J766" s="44">
        <f t="shared" ref="J766" si="673">SUM(J764:J765)</f>
        <v>0</v>
      </c>
      <c r="K766" s="44">
        <f t="shared" ref="K766:V766" si="674">SUM(K764:K765)</f>
        <v>0</v>
      </c>
      <c r="L766" s="44">
        <f t="shared" si="674"/>
        <v>0</v>
      </c>
      <c r="M766" s="44">
        <f t="shared" si="674"/>
        <v>0</v>
      </c>
      <c r="N766" s="44">
        <f t="shared" si="674"/>
        <v>0</v>
      </c>
      <c r="O766" s="44">
        <f t="shared" si="674"/>
        <v>0</v>
      </c>
      <c r="P766" s="44">
        <f t="shared" si="674"/>
        <v>0</v>
      </c>
      <c r="Q766" s="44">
        <f t="shared" si="674"/>
        <v>0</v>
      </c>
      <c r="R766" s="44">
        <f t="shared" si="674"/>
        <v>0</v>
      </c>
      <c r="S766" s="44">
        <f t="shared" si="674"/>
        <v>0</v>
      </c>
      <c r="T766" s="44">
        <f t="shared" si="674"/>
        <v>0</v>
      </c>
      <c r="U766" s="44">
        <f t="shared" si="674"/>
        <v>0</v>
      </c>
      <c r="V766" s="44">
        <f t="shared" si="674"/>
        <v>0</v>
      </c>
      <c r="W766" s="580"/>
      <c r="X766" s="580"/>
      <c r="Y766" s="580"/>
      <c r="Z766" s="580"/>
      <c r="AA766" s="580"/>
      <c r="AB766" s="580"/>
      <c r="AC766" s="580"/>
      <c r="AD766" s="580"/>
      <c r="AE766" s="580"/>
    </row>
    <row r="767" spans="2:31" x14ac:dyDescent="0.2">
      <c r="C767" s="5"/>
      <c r="D767" s="5"/>
    </row>
    <row r="768" spans="2:31" x14ac:dyDescent="0.2">
      <c r="B768" s="24">
        <f>B763+0.01</f>
        <v>4.2199999999999989</v>
      </c>
      <c r="C768" s="20" t="s">
        <v>70</v>
      </c>
      <c r="D768" s="20"/>
    </row>
    <row r="769" spans="2:31" x14ac:dyDescent="0.2">
      <c r="B769" s="24"/>
      <c r="C769" s="5" t="s">
        <v>848</v>
      </c>
      <c r="D769" s="20"/>
      <c r="F769" s="1" t="s">
        <v>55</v>
      </c>
      <c r="G769" s="21">
        <f>SUM(K769:AE769)</f>
        <v>1.764964325518299</v>
      </c>
      <c r="H769" s="21"/>
      <c r="I769" s="21">
        <f t="shared" ref="I769" si="675">I759-I764</f>
        <v>0</v>
      </c>
      <c r="J769" s="21">
        <f t="shared" ref="J769" si="676">J759-J764</f>
        <v>0</v>
      </c>
      <c r="K769" s="21">
        <f t="shared" ref="K769:V770" si="677">K759-K764</f>
        <v>0</v>
      </c>
      <c r="L769" s="21">
        <f t="shared" si="677"/>
        <v>0</v>
      </c>
      <c r="M769" s="21">
        <f t="shared" si="677"/>
        <v>0</v>
      </c>
      <c r="N769" s="21">
        <f t="shared" si="677"/>
        <v>0</v>
      </c>
      <c r="O769" s="21">
        <f t="shared" si="677"/>
        <v>0</v>
      </c>
      <c r="P769" s="21">
        <f t="shared" si="677"/>
        <v>0</v>
      </c>
      <c r="Q769" s="21">
        <f t="shared" si="677"/>
        <v>0</v>
      </c>
      <c r="R769" s="21">
        <f t="shared" si="677"/>
        <v>0</v>
      </c>
      <c r="S769" s="21">
        <f t="shared" si="677"/>
        <v>0.39477287708713305</v>
      </c>
      <c r="T769" s="21">
        <f t="shared" si="677"/>
        <v>0.39477287708713305</v>
      </c>
      <c r="U769" s="21">
        <f t="shared" si="677"/>
        <v>0.48770928567201643</v>
      </c>
      <c r="V769" s="21">
        <f t="shared" si="677"/>
        <v>0.48770928567201643</v>
      </c>
      <c r="W769" s="563"/>
      <c r="X769" s="563"/>
      <c r="Y769" s="563"/>
      <c r="Z769" s="563"/>
      <c r="AA769" s="563"/>
      <c r="AB769" s="563"/>
      <c r="AC769" s="563"/>
      <c r="AD769" s="563"/>
      <c r="AE769" s="563"/>
    </row>
    <row r="770" spans="2:31" x14ac:dyDescent="0.2">
      <c r="C770" s="5" t="s">
        <v>861</v>
      </c>
      <c r="D770" s="5"/>
      <c r="F770" s="1" t="s">
        <v>55</v>
      </c>
      <c r="G770" s="21">
        <f>SUM(K770:AE770)</f>
        <v>0</v>
      </c>
      <c r="I770" s="21">
        <f t="shared" ref="I770" si="678">I760-I765</f>
        <v>0</v>
      </c>
      <c r="J770" s="21">
        <f t="shared" ref="J770" si="679">J760-J765</f>
        <v>0</v>
      </c>
      <c r="K770" s="21">
        <f t="shared" si="677"/>
        <v>0</v>
      </c>
      <c r="L770" s="21">
        <f t="shared" si="677"/>
        <v>0</v>
      </c>
      <c r="M770" s="21">
        <f t="shared" si="677"/>
        <v>0</v>
      </c>
      <c r="N770" s="21">
        <f t="shared" si="677"/>
        <v>0</v>
      </c>
      <c r="O770" s="21">
        <f t="shared" si="677"/>
        <v>0</v>
      </c>
      <c r="P770" s="21">
        <f t="shared" si="677"/>
        <v>0</v>
      </c>
      <c r="Q770" s="21">
        <f t="shared" si="677"/>
        <v>0</v>
      </c>
      <c r="R770" s="21">
        <f t="shared" si="677"/>
        <v>0</v>
      </c>
      <c r="S770" s="21">
        <f t="shared" si="677"/>
        <v>0</v>
      </c>
      <c r="T770" s="21">
        <f t="shared" si="677"/>
        <v>0</v>
      </c>
      <c r="U770" s="21">
        <f t="shared" si="677"/>
        <v>0</v>
      </c>
      <c r="V770" s="21">
        <f t="shared" si="677"/>
        <v>0</v>
      </c>
      <c r="W770" s="563"/>
      <c r="X770" s="563"/>
      <c r="Y770" s="563"/>
      <c r="Z770" s="563"/>
      <c r="AA770" s="563"/>
      <c r="AB770" s="563"/>
      <c r="AC770" s="563"/>
      <c r="AD770" s="563"/>
      <c r="AE770" s="563"/>
    </row>
    <row r="771" spans="2:31" x14ac:dyDescent="0.2">
      <c r="C771" s="20" t="s">
        <v>45</v>
      </c>
      <c r="D771" s="20"/>
      <c r="E771" s="9"/>
      <c r="F771" s="9" t="s">
        <v>55</v>
      </c>
      <c r="G771" s="44">
        <f t="shared" ref="G771" si="680">SUM(K771:AE771)</f>
        <v>1.764964325518299</v>
      </c>
      <c r="H771" s="9"/>
      <c r="I771" s="44">
        <f t="shared" ref="I771" si="681">SUM(I769:I770)</f>
        <v>0</v>
      </c>
      <c r="J771" s="44">
        <f t="shared" ref="J771" si="682">SUM(J769:J770)</f>
        <v>0</v>
      </c>
      <c r="K771" s="44">
        <f t="shared" ref="K771:V771" si="683">SUM(K769:K770)</f>
        <v>0</v>
      </c>
      <c r="L771" s="44">
        <f t="shared" si="683"/>
        <v>0</v>
      </c>
      <c r="M771" s="44">
        <f t="shared" si="683"/>
        <v>0</v>
      </c>
      <c r="N771" s="44">
        <f t="shared" si="683"/>
        <v>0</v>
      </c>
      <c r="O771" s="44">
        <f t="shared" si="683"/>
        <v>0</v>
      </c>
      <c r="P771" s="44">
        <f t="shared" si="683"/>
        <v>0</v>
      </c>
      <c r="Q771" s="44">
        <f t="shared" si="683"/>
        <v>0</v>
      </c>
      <c r="R771" s="44">
        <f t="shared" si="683"/>
        <v>0</v>
      </c>
      <c r="S771" s="44">
        <f t="shared" si="683"/>
        <v>0.39477287708713305</v>
      </c>
      <c r="T771" s="44">
        <f t="shared" si="683"/>
        <v>0.39477287708713305</v>
      </c>
      <c r="U771" s="44">
        <f t="shared" si="683"/>
        <v>0.48770928567201643</v>
      </c>
      <c r="V771" s="44">
        <f t="shared" si="683"/>
        <v>0.48770928567201643</v>
      </c>
      <c r="W771" s="580"/>
      <c r="X771" s="580"/>
      <c r="Y771" s="580"/>
      <c r="Z771" s="580"/>
      <c r="AA771" s="580"/>
      <c r="AB771" s="580"/>
      <c r="AC771" s="580"/>
      <c r="AD771" s="580"/>
      <c r="AE771" s="580"/>
    </row>
    <row r="772" spans="2:31" x14ac:dyDescent="0.2">
      <c r="C772" s="20"/>
      <c r="D772" s="20"/>
    </row>
    <row r="773" spans="2:31" x14ac:dyDescent="0.2">
      <c r="C773" s="22"/>
      <c r="D773" s="22"/>
      <c r="E773" s="23"/>
      <c r="F773" s="23"/>
      <c r="G773" s="23"/>
      <c r="H773" s="23"/>
      <c r="I773" s="23"/>
      <c r="J773" s="23"/>
      <c r="K773" s="23"/>
      <c r="L773" s="23"/>
      <c r="M773" s="23"/>
      <c r="N773" s="23"/>
      <c r="O773" s="23"/>
      <c r="P773" s="23"/>
      <c r="Q773" s="23"/>
      <c r="R773" s="23"/>
      <c r="S773" s="23"/>
      <c r="T773" s="23"/>
      <c r="U773" s="23"/>
      <c r="V773" s="23"/>
    </row>
    <row r="774" spans="2:31" x14ac:dyDescent="0.2">
      <c r="C774" s="20"/>
      <c r="D774" s="20"/>
    </row>
    <row r="775" spans="2:31" x14ac:dyDescent="0.2">
      <c r="B775" s="10">
        <f>B758+0.1</f>
        <v>4.2999999999999989</v>
      </c>
      <c r="C775" s="20" t="s">
        <v>71</v>
      </c>
      <c r="D775" s="20"/>
    </row>
    <row r="776" spans="2:31" x14ac:dyDescent="0.2">
      <c r="C776" s="5"/>
      <c r="D776" s="5"/>
    </row>
    <row r="777" spans="2:31" x14ac:dyDescent="0.2">
      <c r="C777" s="5" t="s">
        <v>72</v>
      </c>
      <c r="D777" s="5"/>
      <c r="F777" s="1" t="s">
        <v>55</v>
      </c>
      <c r="G777" s="21">
        <f>SUM(K777:AE777)</f>
        <v>5.3494558886898549</v>
      </c>
      <c r="I777" s="21">
        <f t="shared" ref="I777" si="684">I753</f>
        <v>0</v>
      </c>
      <c r="J777" s="21">
        <f t="shared" ref="J777" si="685">J753</f>
        <v>0</v>
      </c>
      <c r="K777" s="21">
        <f t="shared" ref="K777:V777" si="686">K753</f>
        <v>0</v>
      </c>
      <c r="L777" s="21">
        <f t="shared" si="686"/>
        <v>0</v>
      </c>
      <c r="M777" s="21">
        <f t="shared" si="686"/>
        <v>0</v>
      </c>
      <c r="N777" s="21">
        <f t="shared" si="686"/>
        <v>0</v>
      </c>
      <c r="O777" s="21">
        <f t="shared" si="686"/>
        <v>0</v>
      </c>
      <c r="P777" s="21">
        <f t="shared" si="686"/>
        <v>0</v>
      </c>
      <c r="Q777" s="21">
        <f t="shared" si="686"/>
        <v>0</v>
      </c>
      <c r="R777" s="21">
        <f t="shared" si="686"/>
        <v>0</v>
      </c>
      <c r="S777" s="21">
        <f t="shared" si="686"/>
        <v>0.82299321364459299</v>
      </c>
      <c r="T777" s="21">
        <f t="shared" si="686"/>
        <v>1.2344898204668895</v>
      </c>
      <c r="U777" s="21">
        <f t="shared" si="686"/>
        <v>1.645986427289186</v>
      </c>
      <c r="V777" s="21">
        <f t="shared" si="686"/>
        <v>1.645986427289186</v>
      </c>
      <c r="W777" s="563"/>
      <c r="X777" s="563"/>
      <c r="Y777" s="563"/>
      <c r="Z777" s="563"/>
      <c r="AA777" s="563"/>
      <c r="AB777" s="563"/>
      <c r="AC777" s="563"/>
      <c r="AD777" s="563"/>
      <c r="AE777" s="563"/>
    </row>
    <row r="778" spans="2:31" x14ac:dyDescent="0.2">
      <c r="C778" s="5" t="s">
        <v>68</v>
      </c>
      <c r="D778" s="5"/>
      <c r="F778" s="1" t="s">
        <v>55</v>
      </c>
      <c r="G778" s="21">
        <f>SUM(K778:AE778)</f>
        <v>1.764964325518299</v>
      </c>
      <c r="I778" s="21">
        <f t="shared" ref="I778" si="687">I761</f>
        <v>0</v>
      </c>
      <c r="J778" s="21">
        <f t="shared" ref="J778" si="688">J761</f>
        <v>0</v>
      </c>
      <c r="K778" s="21">
        <f t="shared" ref="K778:V778" si="689">K761</f>
        <v>0</v>
      </c>
      <c r="L778" s="21">
        <f t="shared" si="689"/>
        <v>0</v>
      </c>
      <c r="M778" s="21">
        <f t="shared" si="689"/>
        <v>0</v>
      </c>
      <c r="N778" s="21">
        <f t="shared" si="689"/>
        <v>0</v>
      </c>
      <c r="O778" s="21">
        <f t="shared" si="689"/>
        <v>0</v>
      </c>
      <c r="P778" s="21">
        <f t="shared" si="689"/>
        <v>0</v>
      </c>
      <c r="Q778" s="21">
        <f t="shared" si="689"/>
        <v>0</v>
      </c>
      <c r="R778" s="21">
        <f t="shared" si="689"/>
        <v>0</v>
      </c>
      <c r="S778" s="21">
        <f t="shared" si="689"/>
        <v>0.39477287708713305</v>
      </c>
      <c r="T778" s="21">
        <f t="shared" si="689"/>
        <v>0.39477287708713305</v>
      </c>
      <c r="U778" s="21">
        <f t="shared" si="689"/>
        <v>0.48770928567201643</v>
      </c>
      <c r="V778" s="21">
        <f t="shared" si="689"/>
        <v>0.48770928567201643</v>
      </c>
      <c r="W778" s="563"/>
      <c r="X778" s="563"/>
      <c r="Y778" s="563"/>
      <c r="Z778" s="563"/>
      <c r="AA778" s="563"/>
      <c r="AB778" s="563"/>
      <c r="AC778" s="563"/>
      <c r="AD778" s="563"/>
      <c r="AE778" s="563"/>
    </row>
    <row r="779" spans="2:31" x14ac:dyDescent="0.2">
      <c r="C779" s="5" t="s">
        <v>69</v>
      </c>
      <c r="D779" s="5"/>
      <c r="F779" s="1" t="s">
        <v>55</v>
      </c>
      <c r="G779" s="21">
        <f>SUM(K779:AE779)</f>
        <v>0</v>
      </c>
      <c r="I779" s="21">
        <f t="shared" ref="I779" si="690">-I766</f>
        <v>0</v>
      </c>
      <c r="J779" s="21">
        <f t="shared" ref="J779" si="691">-J766</f>
        <v>0</v>
      </c>
      <c r="K779" s="21">
        <f t="shared" ref="K779:V779" si="692">-K766</f>
        <v>0</v>
      </c>
      <c r="L779" s="21">
        <f t="shared" si="692"/>
        <v>0</v>
      </c>
      <c r="M779" s="21">
        <f t="shared" si="692"/>
        <v>0</v>
      </c>
      <c r="N779" s="21">
        <f t="shared" si="692"/>
        <v>0</v>
      </c>
      <c r="O779" s="21">
        <f t="shared" si="692"/>
        <v>0</v>
      </c>
      <c r="P779" s="21">
        <f t="shared" si="692"/>
        <v>0</v>
      </c>
      <c r="Q779" s="21">
        <f t="shared" si="692"/>
        <v>0</v>
      </c>
      <c r="R779" s="21">
        <f t="shared" si="692"/>
        <v>0</v>
      </c>
      <c r="S779" s="21">
        <f t="shared" si="692"/>
        <v>0</v>
      </c>
      <c r="T779" s="21">
        <f t="shared" si="692"/>
        <v>0</v>
      </c>
      <c r="U779" s="21">
        <f t="shared" si="692"/>
        <v>0</v>
      </c>
      <c r="V779" s="21">
        <f t="shared" si="692"/>
        <v>0</v>
      </c>
      <c r="W779" s="563"/>
      <c r="X779" s="563"/>
      <c r="Y779" s="563"/>
      <c r="Z779" s="563"/>
      <c r="AA779" s="563"/>
      <c r="AB779" s="563"/>
      <c r="AC779" s="563"/>
      <c r="AD779" s="563"/>
      <c r="AE779" s="563"/>
    </row>
    <row r="780" spans="2:31" x14ac:dyDescent="0.2">
      <c r="C780" s="20" t="s">
        <v>45</v>
      </c>
      <c r="D780" s="20"/>
      <c r="E780" s="9"/>
      <c r="F780" s="9" t="s">
        <v>55</v>
      </c>
      <c r="G780" s="44">
        <f>SUM(K780:AE780)</f>
        <v>7.1144202142081534</v>
      </c>
      <c r="H780" s="9"/>
      <c r="I780" s="44">
        <f>SUM(I777:I779)</f>
        <v>0</v>
      </c>
      <c r="J780" s="44">
        <f>SUM(J777:J779)</f>
        <v>0</v>
      </c>
      <c r="K780" s="44">
        <f>SUM(K777:K779)</f>
        <v>0</v>
      </c>
      <c r="L780" s="44">
        <f>SUM(L777:L779)</f>
        <v>0</v>
      </c>
      <c r="M780" s="44">
        <f t="shared" ref="M780:V780" si="693">SUM(M777:M779)</f>
        <v>0</v>
      </c>
      <c r="N780" s="44">
        <f t="shared" si="693"/>
        <v>0</v>
      </c>
      <c r="O780" s="44">
        <f t="shared" si="693"/>
        <v>0</v>
      </c>
      <c r="P780" s="44">
        <f t="shared" si="693"/>
        <v>0</v>
      </c>
      <c r="Q780" s="44">
        <f t="shared" si="693"/>
        <v>0</v>
      </c>
      <c r="R780" s="44">
        <f t="shared" si="693"/>
        <v>0</v>
      </c>
      <c r="S780" s="44">
        <f t="shared" si="693"/>
        <v>1.217766090731726</v>
      </c>
      <c r="T780" s="44">
        <f t="shared" si="693"/>
        <v>1.6292626975540225</v>
      </c>
      <c r="U780" s="44">
        <f t="shared" si="693"/>
        <v>2.1336957129612024</v>
      </c>
      <c r="V780" s="44">
        <f t="shared" si="693"/>
        <v>2.1336957129612024</v>
      </c>
      <c r="W780" s="580"/>
      <c r="X780" s="580"/>
      <c r="Y780" s="580"/>
      <c r="Z780" s="580"/>
      <c r="AA780" s="580"/>
      <c r="AB780" s="580"/>
      <c r="AC780" s="580"/>
      <c r="AD780" s="580"/>
      <c r="AE780" s="580"/>
    </row>
    <row r="781" spans="2:31" x14ac:dyDescent="0.2">
      <c r="C781" s="5" t="s">
        <v>73</v>
      </c>
      <c r="D781" s="5"/>
      <c r="F781" s="1" t="s">
        <v>3</v>
      </c>
      <c r="G781" s="21">
        <f>G780/G104</f>
        <v>20.190810805399543</v>
      </c>
      <c r="I781" s="21">
        <f>IFERROR(I780/I104,0)</f>
        <v>0</v>
      </c>
      <c r="J781" s="21">
        <f t="shared" ref="J781:V781" si="694">IFERROR(J780/J104,0)</f>
        <v>0</v>
      </c>
      <c r="K781" s="21">
        <f t="shared" si="694"/>
        <v>0</v>
      </c>
      <c r="L781" s="21">
        <f t="shared" si="694"/>
        <v>0</v>
      </c>
      <c r="M781" s="21">
        <f t="shared" si="694"/>
        <v>0</v>
      </c>
      <c r="N781" s="21">
        <f t="shared" si="694"/>
        <v>0</v>
      </c>
      <c r="O781" s="21">
        <f t="shared" si="694"/>
        <v>0</v>
      </c>
      <c r="P781" s="21">
        <f t="shared" si="694"/>
        <v>0</v>
      </c>
      <c r="Q781" s="21">
        <f t="shared" si="694"/>
        <v>0</v>
      </c>
      <c r="R781" s="21">
        <f t="shared" si="694"/>
        <v>0</v>
      </c>
      <c r="S781" s="21">
        <f t="shared" si="694"/>
        <v>22.464227023249798</v>
      </c>
      <c r="T781" s="21">
        <f t="shared" si="694"/>
        <v>20.036758234018382</v>
      </c>
      <c r="U781" s="21">
        <f t="shared" si="694"/>
        <v>19.680226465204914</v>
      </c>
      <c r="V781" s="21">
        <f t="shared" si="694"/>
        <v>19.680226465204914</v>
      </c>
      <c r="W781" s="563"/>
      <c r="X781" s="563"/>
      <c r="Y781" s="563"/>
      <c r="Z781" s="563"/>
      <c r="AA781" s="563"/>
      <c r="AB781" s="563"/>
      <c r="AC781" s="563"/>
      <c r="AD781" s="563"/>
      <c r="AE781" s="563"/>
    </row>
    <row r="782" spans="2:31" x14ac:dyDescent="0.2">
      <c r="C782" s="5"/>
      <c r="D782" s="5"/>
    </row>
    <row r="783" spans="2:31" x14ac:dyDescent="0.2">
      <c r="B783" s="6"/>
      <c r="C783" s="6"/>
      <c r="D783" s="6"/>
      <c r="E783" s="7"/>
      <c r="F783" s="6"/>
      <c r="G783" s="6"/>
      <c r="H783" s="6"/>
      <c r="I783" s="6"/>
      <c r="J783" s="6"/>
      <c r="K783" s="6"/>
      <c r="L783" s="6"/>
      <c r="M783" s="6"/>
      <c r="N783" s="6"/>
      <c r="O783" s="6"/>
      <c r="P783" s="6"/>
      <c r="Q783" s="6"/>
      <c r="R783" s="6"/>
      <c r="S783" s="6"/>
      <c r="T783" s="6"/>
      <c r="U783" s="6"/>
      <c r="V783" s="6"/>
    </row>
    <row r="784" spans="2:31" x14ac:dyDescent="0.2">
      <c r="C784" s="5"/>
      <c r="D784" s="5"/>
    </row>
    <row r="785" spans="2:31" x14ac:dyDescent="0.2">
      <c r="B785" s="8">
        <f>B706+1</f>
        <v>5</v>
      </c>
      <c r="C785" s="20" t="s">
        <v>74</v>
      </c>
      <c r="D785" s="20"/>
    </row>
    <row r="786" spans="2:31" x14ac:dyDescent="0.2">
      <c r="C786" s="5"/>
      <c r="D786" s="5"/>
    </row>
    <row r="787" spans="2:31" x14ac:dyDescent="0.2">
      <c r="C787" s="5" t="s">
        <v>367</v>
      </c>
      <c r="D787" s="5"/>
      <c r="F787" s="1" t="s">
        <v>55</v>
      </c>
      <c r="G787" s="21">
        <f>SUM(K787:AE787)</f>
        <v>114.13406488292355</v>
      </c>
      <c r="I787" s="21">
        <f t="shared" ref="I787" si="695">I670</f>
        <v>0</v>
      </c>
      <c r="J787" s="21">
        <f t="shared" ref="J787" si="696">J670</f>
        <v>0</v>
      </c>
      <c r="K787" s="21">
        <f t="shared" ref="K787:V787" si="697">K670</f>
        <v>0</v>
      </c>
      <c r="L787" s="21">
        <f t="shared" si="697"/>
        <v>0</v>
      </c>
      <c r="M787" s="21">
        <f t="shared" si="697"/>
        <v>0</v>
      </c>
      <c r="N787" s="21">
        <f t="shared" si="697"/>
        <v>0</v>
      </c>
      <c r="O787" s="21">
        <f t="shared" si="697"/>
        <v>0</v>
      </c>
      <c r="P787" s="21">
        <f t="shared" si="697"/>
        <v>0</v>
      </c>
      <c r="Q787" s="21">
        <f t="shared" si="697"/>
        <v>0</v>
      </c>
      <c r="R787" s="21">
        <f t="shared" si="697"/>
        <v>0</v>
      </c>
      <c r="S787" s="21">
        <f t="shared" si="697"/>
        <v>18.445144605160223</v>
      </c>
      <c r="T787" s="21">
        <f t="shared" si="697"/>
        <v>26.560663572078507</v>
      </c>
      <c r="U787" s="21">
        <f t="shared" si="697"/>
        <v>34.676182538996805</v>
      </c>
      <c r="V787" s="21">
        <f t="shared" si="697"/>
        <v>34.452074166688028</v>
      </c>
      <c r="W787" s="563"/>
      <c r="X787" s="563"/>
      <c r="Y787" s="563"/>
      <c r="Z787" s="563"/>
      <c r="AA787" s="563"/>
      <c r="AB787" s="563"/>
      <c r="AC787" s="563"/>
      <c r="AD787" s="563"/>
      <c r="AE787" s="563"/>
    </row>
    <row r="788" spans="2:31" x14ac:dyDescent="0.2">
      <c r="C788" s="5" t="s">
        <v>75</v>
      </c>
      <c r="D788" s="5"/>
      <c r="F788" s="1" t="s">
        <v>55</v>
      </c>
      <c r="G788" s="21">
        <f>SUM(K788:AE788)</f>
        <v>5.3494558886898549</v>
      </c>
      <c r="I788" s="21">
        <f t="shared" ref="I788" si="698">I753</f>
        <v>0</v>
      </c>
      <c r="J788" s="21">
        <f t="shared" ref="J788" si="699">J753</f>
        <v>0</v>
      </c>
      <c r="K788" s="21">
        <f t="shared" ref="K788:V788" si="700">K753</f>
        <v>0</v>
      </c>
      <c r="L788" s="21">
        <f t="shared" si="700"/>
        <v>0</v>
      </c>
      <c r="M788" s="21">
        <f t="shared" si="700"/>
        <v>0</v>
      </c>
      <c r="N788" s="21">
        <f t="shared" si="700"/>
        <v>0</v>
      </c>
      <c r="O788" s="21">
        <f t="shared" si="700"/>
        <v>0</v>
      </c>
      <c r="P788" s="21">
        <f t="shared" si="700"/>
        <v>0</v>
      </c>
      <c r="Q788" s="21">
        <f t="shared" si="700"/>
        <v>0</v>
      </c>
      <c r="R788" s="21">
        <f t="shared" si="700"/>
        <v>0</v>
      </c>
      <c r="S788" s="21">
        <f t="shared" si="700"/>
        <v>0.82299321364459299</v>
      </c>
      <c r="T788" s="21">
        <f t="shared" si="700"/>
        <v>1.2344898204668895</v>
      </c>
      <c r="U788" s="21">
        <f t="shared" si="700"/>
        <v>1.645986427289186</v>
      </c>
      <c r="V788" s="21">
        <f t="shared" si="700"/>
        <v>1.645986427289186</v>
      </c>
      <c r="W788" s="563"/>
      <c r="X788" s="563"/>
      <c r="Y788" s="563"/>
      <c r="Z788" s="563"/>
      <c r="AA788" s="563"/>
      <c r="AB788" s="563"/>
      <c r="AC788" s="563"/>
      <c r="AD788" s="563"/>
      <c r="AE788" s="563"/>
    </row>
    <row r="789" spans="2:31" x14ac:dyDescent="0.2">
      <c r="C789" s="5" t="s">
        <v>76</v>
      </c>
      <c r="D789" s="5"/>
      <c r="F789" s="1" t="s">
        <v>55</v>
      </c>
      <c r="G789" s="21">
        <f>SUM(K789:AE789)</f>
        <v>1.764964325518299</v>
      </c>
      <c r="I789" s="21">
        <f t="shared" ref="I789" si="701">I761</f>
        <v>0</v>
      </c>
      <c r="J789" s="21">
        <f t="shared" ref="J789" si="702">J761</f>
        <v>0</v>
      </c>
      <c r="K789" s="21">
        <f t="shared" ref="K789:V789" si="703">K761</f>
        <v>0</v>
      </c>
      <c r="L789" s="21">
        <f t="shared" si="703"/>
        <v>0</v>
      </c>
      <c r="M789" s="21">
        <f t="shared" si="703"/>
        <v>0</v>
      </c>
      <c r="N789" s="21">
        <f t="shared" si="703"/>
        <v>0</v>
      </c>
      <c r="O789" s="21">
        <f t="shared" si="703"/>
        <v>0</v>
      </c>
      <c r="P789" s="21">
        <f t="shared" si="703"/>
        <v>0</v>
      </c>
      <c r="Q789" s="21">
        <f t="shared" si="703"/>
        <v>0</v>
      </c>
      <c r="R789" s="21">
        <f t="shared" si="703"/>
        <v>0</v>
      </c>
      <c r="S789" s="21">
        <f t="shared" si="703"/>
        <v>0.39477287708713305</v>
      </c>
      <c r="T789" s="21">
        <f t="shared" si="703"/>
        <v>0.39477287708713305</v>
      </c>
      <c r="U789" s="21">
        <f t="shared" si="703"/>
        <v>0.48770928567201643</v>
      </c>
      <c r="V789" s="21">
        <f t="shared" si="703"/>
        <v>0.48770928567201643</v>
      </c>
      <c r="W789" s="563"/>
      <c r="X789" s="563"/>
      <c r="Y789" s="563"/>
      <c r="Z789" s="563"/>
      <c r="AA789" s="563"/>
      <c r="AB789" s="563"/>
      <c r="AC789" s="563"/>
      <c r="AD789" s="563"/>
      <c r="AE789" s="563"/>
    </row>
    <row r="790" spans="2:31" x14ac:dyDescent="0.2">
      <c r="C790" s="5" t="s">
        <v>69</v>
      </c>
      <c r="D790" s="5"/>
      <c r="F790" s="1" t="s">
        <v>55</v>
      </c>
      <c r="G790" s="21">
        <f>SUM(K790:AE790)</f>
        <v>0</v>
      </c>
      <c r="I790" s="21">
        <f t="shared" ref="I790" si="704">-I766</f>
        <v>0</v>
      </c>
      <c r="J790" s="21">
        <f t="shared" ref="J790" si="705">-J766</f>
        <v>0</v>
      </c>
      <c r="K790" s="21">
        <f t="shared" ref="K790:V790" si="706">-K766</f>
        <v>0</v>
      </c>
      <c r="L790" s="21">
        <f t="shared" si="706"/>
        <v>0</v>
      </c>
      <c r="M790" s="21">
        <f t="shared" si="706"/>
        <v>0</v>
      </c>
      <c r="N790" s="21">
        <f t="shared" si="706"/>
        <v>0</v>
      </c>
      <c r="O790" s="21">
        <f t="shared" si="706"/>
        <v>0</v>
      </c>
      <c r="P790" s="21">
        <f t="shared" si="706"/>
        <v>0</v>
      </c>
      <c r="Q790" s="21">
        <f t="shared" si="706"/>
        <v>0</v>
      </c>
      <c r="R790" s="21">
        <f t="shared" si="706"/>
        <v>0</v>
      </c>
      <c r="S790" s="21">
        <f t="shared" si="706"/>
        <v>0</v>
      </c>
      <c r="T790" s="21">
        <f t="shared" si="706"/>
        <v>0</v>
      </c>
      <c r="U790" s="21">
        <f t="shared" si="706"/>
        <v>0</v>
      </c>
      <c r="V790" s="21">
        <f t="shared" si="706"/>
        <v>0</v>
      </c>
      <c r="W790" s="563"/>
      <c r="X790" s="563"/>
      <c r="Y790" s="563"/>
      <c r="Z790" s="563"/>
      <c r="AA790" s="563"/>
      <c r="AB790" s="563"/>
      <c r="AC790" s="563"/>
      <c r="AD790" s="563"/>
      <c r="AE790" s="563"/>
    </row>
    <row r="791" spans="2:31" x14ac:dyDescent="0.2">
      <c r="C791" s="20" t="s">
        <v>77</v>
      </c>
      <c r="D791" s="146">
        <f>E83</f>
        <v>1</v>
      </c>
      <c r="F791" s="9" t="s">
        <v>55</v>
      </c>
      <c r="G791" s="44">
        <f>SUM(K791:AE791)</f>
        <v>121.24848509713172</v>
      </c>
      <c r="I791" s="44">
        <f>SUM(I787:I790)*$E$83</f>
        <v>0</v>
      </c>
      <c r="J791" s="44">
        <f>SUM(J787:J790)*$E$83</f>
        <v>0</v>
      </c>
      <c r="K791" s="44">
        <f>SUM(K787:K790)*$E$83</f>
        <v>0</v>
      </c>
      <c r="L791" s="44">
        <f>SUM(L787:L790)*$E$83</f>
        <v>0</v>
      </c>
      <c r="M791" s="44">
        <f t="shared" ref="M791:V791" si="707">SUM(M787:M790)*$E$83</f>
        <v>0</v>
      </c>
      <c r="N791" s="44">
        <f t="shared" si="707"/>
        <v>0</v>
      </c>
      <c r="O791" s="44">
        <f t="shared" si="707"/>
        <v>0</v>
      </c>
      <c r="P791" s="44">
        <f t="shared" si="707"/>
        <v>0</v>
      </c>
      <c r="Q791" s="44">
        <f t="shared" si="707"/>
        <v>0</v>
      </c>
      <c r="R791" s="44">
        <f t="shared" si="707"/>
        <v>0</v>
      </c>
      <c r="S791" s="44">
        <f t="shared" si="707"/>
        <v>19.662910695891949</v>
      </c>
      <c r="T791" s="44">
        <f t="shared" si="707"/>
        <v>28.189926269632529</v>
      </c>
      <c r="U791" s="44">
        <f t="shared" si="707"/>
        <v>36.809878251958011</v>
      </c>
      <c r="V791" s="44">
        <f t="shared" si="707"/>
        <v>36.585769879649234</v>
      </c>
      <c r="W791" s="580"/>
      <c r="X791" s="580"/>
      <c r="Y791" s="580"/>
      <c r="Z791" s="580"/>
      <c r="AA791" s="580"/>
      <c r="AB791" s="580"/>
      <c r="AC791" s="580"/>
      <c r="AD791" s="580"/>
      <c r="AE791" s="580"/>
    </row>
    <row r="792" spans="2:31" x14ac:dyDescent="0.2">
      <c r="C792" s="5"/>
      <c r="D792" s="5"/>
    </row>
    <row r="793" spans="2:31" x14ac:dyDescent="0.2">
      <c r="C793" s="5" t="str">
        <f>C787</f>
        <v>Pig iron plant production cost</v>
      </c>
      <c r="D793" s="5"/>
      <c r="F793" s="1" t="s">
        <v>3</v>
      </c>
      <c r="G793" s="21">
        <f>G787/$G$104</f>
        <v>323.9138596143207</v>
      </c>
      <c r="I793" s="21">
        <f>IFERROR(I787/I$104,0)</f>
        <v>0</v>
      </c>
      <c r="J793" s="21">
        <f t="shared" ref="J793:V793" si="708">IFERROR(J787/J$104,0)</f>
        <v>0</v>
      </c>
      <c r="K793" s="21">
        <f t="shared" si="708"/>
        <v>0</v>
      </c>
      <c r="L793" s="21">
        <f t="shared" si="708"/>
        <v>0</v>
      </c>
      <c r="M793" s="21">
        <f t="shared" si="708"/>
        <v>0</v>
      </c>
      <c r="N793" s="21">
        <f t="shared" si="708"/>
        <v>0</v>
      </c>
      <c r="O793" s="21">
        <f t="shared" si="708"/>
        <v>0</v>
      </c>
      <c r="P793" s="21">
        <f t="shared" si="708"/>
        <v>0</v>
      </c>
      <c r="Q793" s="21">
        <f t="shared" si="708"/>
        <v>0</v>
      </c>
      <c r="R793" s="21">
        <f t="shared" si="708"/>
        <v>0</v>
      </c>
      <c r="S793" s="21">
        <f t="shared" si="708"/>
        <v>340.25903582026501</v>
      </c>
      <c r="T793" s="21">
        <f t="shared" si="708"/>
        <v>326.64443574863714</v>
      </c>
      <c r="U793" s="21">
        <f t="shared" si="708"/>
        <v>319.83713571282334</v>
      </c>
      <c r="V793" s="21">
        <f t="shared" si="708"/>
        <v>317.77006331210873</v>
      </c>
      <c r="W793" s="563"/>
      <c r="X793" s="563"/>
      <c r="Y793" s="563"/>
      <c r="Z793" s="563"/>
      <c r="AA793" s="563"/>
      <c r="AB793" s="563"/>
      <c r="AC793" s="563"/>
      <c r="AD793" s="563"/>
      <c r="AE793" s="563"/>
    </row>
    <row r="794" spans="2:31" x14ac:dyDescent="0.2">
      <c r="C794" s="5" t="str">
        <f>C788</f>
        <v>Pig Iron cost to market</v>
      </c>
      <c r="D794" s="5"/>
      <c r="F794" s="1" t="s">
        <v>3</v>
      </c>
      <c r="G794" s="21">
        <f>G788/$G$104</f>
        <v>15.181820655555557</v>
      </c>
      <c r="I794" s="21">
        <f t="shared" ref="I794:V797" si="709">IFERROR(I788/I$104,0)</f>
        <v>0</v>
      </c>
      <c r="J794" s="21">
        <f t="shared" si="709"/>
        <v>0</v>
      </c>
      <c r="K794" s="21">
        <f t="shared" si="709"/>
        <v>0</v>
      </c>
      <c r="L794" s="21">
        <f t="shared" si="709"/>
        <v>0</v>
      </c>
      <c r="M794" s="21">
        <f t="shared" si="709"/>
        <v>0</v>
      </c>
      <c r="N794" s="21">
        <f t="shared" si="709"/>
        <v>0</v>
      </c>
      <c r="O794" s="21">
        <f t="shared" si="709"/>
        <v>0</v>
      </c>
      <c r="P794" s="21">
        <f t="shared" si="709"/>
        <v>0</v>
      </c>
      <c r="Q794" s="21">
        <f t="shared" si="709"/>
        <v>0</v>
      </c>
      <c r="R794" s="21">
        <f t="shared" si="709"/>
        <v>0</v>
      </c>
      <c r="S794" s="21">
        <f t="shared" si="709"/>
        <v>15.181820655555555</v>
      </c>
      <c r="T794" s="21">
        <f t="shared" si="709"/>
        <v>15.181820655555555</v>
      </c>
      <c r="U794" s="21">
        <f t="shared" si="709"/>
        <v>15.181820655555555</v>
      </c>
      <c r="V794" s="21">
        <f t="shared" si="709"/>
        <v>15.181820655555555</v>
      </c>
      <c r="W794" s="563"/>
      <c r="X794" s="563"/>
      <c r="Y794" s="563"/>
      <c r="Z794" s="563"/>
      <c r="AA794" s="563"/>
      <c r="AB794" s="563"/>
      <c r="AC794" s="563"/>
      <c r="AD794" s="563"/>
      <c r="AE794" s="563"/>
    </row>
    <row r="795" spans="2:31" x14ac:dyDescent="0.2">
      <c r="C795" s="5" t="str">
        <f>C789</f>
        <v>Other site specific costs</v>
      </c>
      <c r="D795" s="5"/>
      <c r="F795" s="1" t="s">
        <v>3</v>
      </c>
      <c r="G795" s="21">
        <f>G789/$G$104</f>
        <v>5.0089901498439868</v>
      </c>
      <c r="I795" s="21">
        <f t="shared" si="709"/>
        <v>0</v>
      </c>
      <c r="J795" s="21">
        <f t="shared" si="709"/>
        <v>0</v>
      </c>
      <c r="K795" s="21">
        <f t="shared" si="709"/>
        <v>0</v>
      </c>
      <c r="L795" s="21">
        <f t="shared" si="709"/>
        <v>0</v>
      </c>
      <c r="M795" s="21">
        <f t="shared" si="709"/>
        <v>0</v>
      </c>
      <c r="N795" s="21">
        <f t="shared" si="709"/>
        <v>0</v>
      </c>
      <c r="O795" s="21">
        <f t="shared" si="709"/>
        <v>0</v>
      </c>
      <c r="P795" s="21">
        <f t="shared" si="709"/>
        <v>0</v>
      </c>
      <c r="Q795" s="21">
        <f t="shared" si="709"/>
        <v>0</v>
      </c>
      <c r="R795" s="21">
        <f t="shared" si="709"/>
        <v>0</v>
      </c>
      <c r="S795" s="21">
        <f t="shared" si="709"/>
        <v>7.2824063676942412</v>
      </c>
      <c r="T795" s="21">
        <f t="shared" si="709"/>
        <v>4.8549375784628275</v>
      </c>
      <c r="U795" s="21">
        <f t="shared" si="709"/>
        <v>4.4984058096493573</v>
      </c>
      <c r="V795" s="21">
        <f t="shared" si="709"/>
        <v>4.4984058096493573</v>
      </c>
      <c r="W795" s="563"/>
      <c r="X795" s="563"/>
      <c r="Y795" s="563"/>
      <c r="Z795" s="563"/>
      <c r="AA795" s="563"/>
      <c r="AB795" s="563"/>
      <c r="AC795" s="563"/>
      <c r="AD795" s="563"/>
      <c r="AE795" s="563"/>
    </row>
    <row r="796" spans="2:31" x14ac:dyDescent="0.2">
      <c r="C796" s="5" t="str">
        <f>C790</f>
        <v>Incentives</v>
      </c>
      <c r="D796" s="5"/>
      <c r="F796" s="1" t="s">
        <v>3</v>
      </c>
      <c r="G796" s="21">
        <f>G790/$G$104</f>
        <v>0</v>
      </c>
      <c r="I796" s="21">
        <f t="shared" si="709"/>
        <v>0</v>
      </c>
      <c r="J796" s="21">
        <f t="shared" si="709"/>
        <v>0</v>
      </c>
      <c r="K796" s="21">
        <f t="shared" si="709"/>
        <v>0</v>
      </c>
      <c r="L796" s="21">
        <f t="shared" si="709"/>
        <v>0</v>
      </c>
      <c r="M796" s="21">
        <f t="shared" si="709"/>
        <v>0</v>
      </c>
      <c r="N796" s="21">
        <f t="shared" si="709"/>
        <v>0</v>
      </c>
      <c r="O796" s="21">
        <f t="shared" si="709"/>
        <v>0</v>
      </c>
      <c r="P796" s="21">
        <f t="shared" si="709"/>
        <v>0</v>
      </c>
      <c r="Q796" s="21">
        <f t="shared" si="709"/>
        <v>0</v>
      </c>
      <c r="R796" s="21">
        <f t="shared" si="709"/>
        <v>0</v>
      </c>
      <c r="S796" s="21">
        <f t="shared" si="709"/>
        <v>0</v>
      </c>
      <c r="T796" s="21">
        <f t="shared" si="709"/>
        <v>0</v>
      </c>
      <c r="U796" s="21">
        <f t="shared" si="709"/>
        <v>0</v>
      </c>
      <c r="V796" s="21">
        <f t="shared" si="709"/>
        <v>0</v>
      </c>
      <c r="W796" s="563"/>
      <c r="X796" s="563"/>
      <c r="Y796" s="563"/>
      <c r="Z796" s="563"/>
      <c r="AA796" s="563"/>
      <c r="AB796" s="563"/>
      <c r="AC796" s="563"/>
      <c r="AD796" s="563"/>
      <c r="AE796" s="563"/>
    </row>
    <row r="797" spans="2:31" x14ac:dyDescent="0.2">
      <c r="C797" s="20" t="str">
        <f>C791</f>
        <v>Total operating cost</v>
      </c>
      <c r="D797" s="20"/>
      <c r="F797" s="9" t="s">
        <v>3</v>
      </c>
      <c r="G797" s="44">
        <f>G791/$G$104</f>
        <v>344.10467041972032</v>
      </c>
      <c r="I797" s="44">
        <f t="shared" si="709"/>
        <v>0</v>
      </c>
      <c r="J797" s="44">
        <f t="shared" si="709"/>
        <v>0</v>
      </c>
      <c r="K797" s="44">
        <f t="shared" si="709"/>
        <v>0</v>
      </c>
      <c r="L797" s="44">
        <f t="shared" si="709"/>
        <v>0</v>
      </c>
      <c r="M797" s="44">
        <f t="shared" si="709"/>
        <v>0</v>
      </c>
      <c r="N797" s="44">
        <f t="shared" si="709"/>
        <v>0</v>
      </c>
      <c r="O797" s="44">
        <f t="shared" si="709"/>
        <v>0</v>
      </c>
      <c r="P797" s="44">
        <f t="shared" si="709"/>
        <v>0</v>
      </c>
      <c r="Q797" s="44">
        <f t="shared" si="709"/>
        <v>0</v>
      </c>
      <c r="R797" s="44">
        <f t="shared" si="709"/>
        <v>0</v>
      </c>
      <c r="S797" s="44">
        <f t="shared" si="709"/>
        <v>362.72326284351482</v>
      </c>
      <c r="T797" s="44">
        <f t="shared" si="709"/>
        <v>346.68119398265554</v>
      </c>
      <c r="U797" s="44">
        <f t="shared" si="709"/>
        <v>339.51736217802829</v>
      </c>
      <c r="V797" s="44">
        <f t="shared" si="709"/>
        <v>337.45028977731369</v>
      </c>
      <c r="W797" s="580"/>
      <c r="X797" s="580"/>
      <c r="Y797" s="580"/>
      <c r="Z797" s="580"/>
      <c r="AA797" s="580"/>
      <c r="AB797" s="580"/>
      <c r="AC797" s="580"/>
      <c r="AD797" s="580"/>
      <c r="AE797" s="580"/>
    </row>
    <row r="798" spans="2:31" x14ac:dyDescent="0.2">
      <c r="C798" s="5"/>
      <c r="D798" s="5"/>
    </row>
    <row r="799" spans="2:31" x14ac:dyDescent="0.2">
      <c r="B799" s="6"/>
      <c r="C799" s="6"/>
      <c r="D799" s="6"/>
      <c r="E799" s="7"/>
      <c r="F799" s="6"/>
      <c r="G799" s="6"/>
      <c r="H799" s="6"/>
      <c r="I799" s="6"/>
      <c r="J799" s="6"/>
      <c r="K799" s="6"/>
      <c r="L799" s="6"/>
      <c r="M799" s="6"/>
      <c r="N799" s="6"/>
      <c r="O799" s="6"/>
      <c r="P799" s="6"/>
      <c r="Q799" s="6"/>
      <c r="R799" s="6"/>
      <c r="S799" s="6"/>
      <c r="T799" s="6"/>
      <c r="U799" s="6"/>
      <c r="V799" s="6"/>
    </row>
    <row r="800" spans="2:31" x14ac:dyDescent="0.2">
      <c r="C800" s="5"/>
      <c r="D800" s="5"/>
    </row>
    <row r="801" spans="2:31" x14ac:dyDescent="0.2">
      <c r="B801" s="8">
        <f>B785+1</f>
        <v>6</v>
      </c>
      <c r="C801" s="20" t="s">
        <v>444</v>
      </c>
      <c r="D801" s="5"/>
    </row>
    <row r="802" spans="2:31" x14ac:dyDescent="0.2">
      <c r="C802" s="5" t="s">
        <v>47</v>
      </c>
      <c r="D802" s="5"/>
      <c r="F802" s="1" t="s">
        <v>55</v>
      </c>
      <c r="G802" s="21">
        <f>SUM(K802:AE802)</f>
        <v>1.8366940935644225</v>
      </c>
      <c r="I802" s="21">
        <f t="shared" ref="I802" si="710">I577</f>
        <v>0</v>
      </c>
      <c r="J802" s="21">
        <f t="shared" ref="J802" si="711">J577</f>
        <v>0</v>
      </c>
      <c r="K802" s="21">
        <f t="shared" ref="K802:V802" si="712">K577</f>
        <v>0</v>
      </c>
      <c r="L802" s="21">
        <f t="shared" si="712"/>
        <v>0</v>
      </c>
      <c r="M802" s="21">
        <f t="shared" si="712"/>
        <v>0</v>
      </c>
      <c r="N802" s="21">
        <f t="shared" si="712"/>
        <v>0</v>
      </c>
      <c r="O802" s="21">
        <f t="shared" si="712"/>
        <v>0</v>
      </c>
      <c r="P802" s="21">
        <f t="shared" si="712"/>
        <v>0</v>
      </c>
      <c r="Q802" s="21">
        <f t="shared" si="712"/>
        <v>0</v>
      </c>
      <c r="R802" s="21">
        <f t="shared" si="712"/>
        <v>0</v>
      </c>
      <c r="S802" s="21">
        <f t="shared" si="712"/>
        <v>0.45917352339110562</v>
      </c>
      <c r="T802" s="21">
        <f t="shared" si="712"/>
        <v>0.45917352339110562</v>
      </c>
      <c r="U802" s="21">
        <f t="shared" si="712"/>
        <v>0.45917352339110562</v>
      </c>
      <c r="V802" s="21">
        <f t="shared" si="712"/>
        <v>0.45917352339110562</v>
      </c>
      <c r="W802" s="563"/>
      <c r="X802" s="563"/>
      <c r="Y802" s="563"/>
      <c r="Z802" s="563"/>
      <c r="AA802" s="563"/>
      <c r="AB802" s="563"/>
      <c r="AC802" s="563"/>
      <c r="AD802" s="563"/>
      <c r="AE802" s="563"/>
    </row>
    <row r="803" spans="2:31" x14ac:dyDescent="0.2">
      <c r="C803" s="5" t="s">
        <v>445</v>
      </c>
      <c r="D803" s="387">
        <f>'Plant model'!D803</f>
        <v>1.4999999999999999E-2</v>
      </c>
      <c r="F803" s="1" t="s">
        <v>55</v>
      </c>
      <c r="G803" s="21">
        <f>SUM(K803:AE803)</f>
        <v>3.5729234287500002</v>
      </c>
      <c r="I803" s="21">
        <f t="shared" ref="I803" si="713">$D$803*I137</f>
        <v>0</v>
      </c>
      <c r="J803" s="21">
        <f t="shared" ref="J803" si="714">$D$803*J137</f>
        <v>0</v>
      </c>
      <c r="K803" s="21">
        <f t="shared" ref="K803:V803" si="715">$D$803*K137</f>
        <v>0</v>
      </c>
      <c r="L803" s="21">
        <f t="shared" si="715"/>
        <v>0</v>
      </c>
      <c r="M803" s="21">
        <f t="shared" si="715"/>
        <v>0</v>
      </c>
      <c r="N803" s="21">
        <f t="shared" si="715"/>
        <v>0</v>
      </c>
      <c r="O803" s="21">
        <f t="shared" si="715"/>
        <v>0</v>
      </c>
      <c r="P803" s="21">
        <f t="shared" si="715"/>
        <v>0</v>
      </c>
      <c r="Q803" s="21">
        <f t="shared" si="715"/>
        <v>0</v>
      </c>
      <c r="R803" s="21">
        <f t="shared" si="715"/>
        <v>0</v>
      </c>
      <c r="S803" s="21">
        <f t="shared" si="715"/>
        <v>0.54968052749999996</v>
      </c>
      <c r="T803" s="21">
        <f t="shared" si="715"/>
        <v>0.82452079125</v>
      </c>
      <c r="U803" s="21">
        <f t="shared" si="715"/>
        <v>1.0993610549999999</v>
      </c>
      <c r="V803" s="21">
        <f t="shared" si="715"/>
        <v>1.0993610549999999</v>
      </c>
      <c r="W803" s="563"/>
      <c r="X803" s="563"/>
      <c r="Y803" s="563"/>
      <c r="Z803" s="563"/>
      <c r="AA803" s="563"/>
      <c r="AB803" s="563"/>
      <c r="AC803" s="563"/>
      <c r="AD803" s="563"/>
      <c r="AE803" s="563"/>
    </row>
    <row r="804" spans="2:31" x14ac:dyDescent="0.2">
      <c r="C804" s="20" t="s">
        <v>446</v>
      </c>
      <c r="D804" s="146">
        <f>E83</f>
        <v>1</v>
      </c>
      <c r="F804" s="9" t="s">
        <v>55</v>
      </c>
      <c r="G804" s="44">
        <f>SUM(K804:AE804)</f>
        <v>5.4096175223144218</v>
      </c>
      <c r="I804" s="44">
        <f>SUM(I802:I803)*$D$804</f>
        <v>0</v>
      </c>
      <c r="J804" s="44">
        <f>SUM(J802:J803)*$D$804</f>
        <v>0</v>
      </c>
      <c r="K804" s="44">
        <f>SUM(K802:K803)*$D$804</f>
        <v>0</v>
      </c>
      <c r="L804" s="44">
        <f>SUM(L802:L803)*$D$804</f>
        <v>0</v>
      </c>
      <c r="M804" s="44">
        <f t="shared" ref="M804:V804" si="716">SUM(M802:M803)*$D$804</f>
        <v>0</v>
      </c>
      <c r="N804" s="44">
        <f t="shared" si="716"/>
        <v>0</v>
      </c>
      <c r="O804" s="44">
        <f t="shared" si="716"/>
        <v>0</v>
      </c>
      <c r="P804" s="44">
        <f t="shared" si="716"/>
        <v>0</v>
      </c>
      <c r="Q804" s="44">
        <f t="shared" si="716"/>
        <v>0</v>
      </c>
      <c r="R804" s="44">
        <f t="shared" si="716"/>
        <v>0</v>
      </c>
      <c r="S804" s="44">
        <f t="shared" si="716"/>
        <v>1.0088540508911055</v>
      </c>
      <c r="T804" s="44">
        <f t="shared" si="716"/>
        <v>1.2836943146411057</v>
      </c>
      <c r="U804" s="44">
        <f t="shared" si="716"/>
        <v>1.5585345783911055</v>
      </c>
      <c r="V804" s="44">
        <f t="shared" si="716"/>
        <v>1.5585345783911055</v>
      </c>
      <c r="W804" s="580"/>
      <c r="X804" s="580"/>
      <c r="Y804" s="580"/>
      <c r="Z804" s="580"/>
      <c r="AA804" s="580"/>
      <c r="AB804" s="580"/>
      <c r="AC804" s="580"/>
      <c r="AD804" s="580"/>
      <c r="AE804" s="580"/>
    </row>
    <row r="805" spans="2:31" x14ac:dyDescent="0.2">
      <c r="C805" s="5" t="s">
        <v>446</v>
      </c>
      <c r="D805" s="5"/>
      <c r="F805" s="1" t="s">
        <v>3</v>
      </c>
      <c r="G805" s="21">
        <f>G804/G104</f>
        <v>15.352560101031592</v>
      </c>
      <c r="I805" s="21">
        <f>IFERROR(I804/I104,0)</f>
        <v>0</v>
      </c>
      <c r="J805" s="21">
        <f t="shared" ref="J805:V805" si="717">IFERROR(J804/J104,0)</f>
        <v>0</v>
      </c>
      <c r="K805" s="21">
        <f t="shared" si="717"/>
        <v>0</v>
      </c>
      <c r="L805" s="21">
        <f t="shared" si="717"/>
        <v>0</v>
      </c>
      <c r="M805" s="21">
        <f t="shared" si="717"/>
        <v>0</v>
      </c>
      <c r="N805" s="21">
        <f t="shared" si="717"/>
        <v>0</v>
      </c>
      <c r="O805" s="21">
        <f t="shared" si="717"/>
        <v>0</v>
      </c>
      <c r="P805" s="21">
        <f t="shared" si="717"/>
        <v>0</v>
      </c>
      <c r="Q805" s="21">
        <f t="shared" si="717"/>
        <v>0</v>
      </c>
      <c r="R805" s="21">
        <f t="shared" si="717"/>
        <v>0</v>
      </c>
      <c r="S805" s="21">
        <f t="shared" si="717"/>
        <v>18.610410164176336</v>
      </c>
      <c r="T805" s="21">
        <f t="shared" si="717"/>
        <v>15.786940109450894</v>
      </c>
      <c r="U805" s="21">
        <f t="shared" si="717"/>
        <v>14.375205082088168</v>
      </c>
      <c r="V805" s="21">
        <f t="shared" si="717"/>
        <v>14.375205082088168</v>
      </c>
      <c r="W805" s="563"/>
      <c r="X805" s="563"/>
      <c r="Y805" s="563"/>
      <c r="Z805" s="563"/>
      <c r="AA805" s="563"/>
      <c r="AB805" s="563"/>
      <c r="AC805" s="563"/>
      <c r="AD805" s="563"/>
      <c r="AE805" s="563"/>
    </row>
    <row r="806" spans="2:31" x14ac:dyDescent="0.2">
      <c r="C806" s="5"/>
      <c r="D806" s="5"/>
    </row>
    <row r="807" spans="2:31" x14ac:dyDescent="0.2">
      <c r="B807" s="6"/>
      <c r="C807" s="6"/>
      <c r="D807" s="6"/>
      <c r="E807" s="7"/>
      <c r="F807" s="6"/>
      <c r="G807" s="6"/>
      <c r="H807" s="6"/>
      <c r="I807" s="6"/>
      <c r="J807" s="6"/>
      <c r="K807" s="6"/>
      <c r="L807" s="6"/>
      <c r="M807" s="6"/>
      <c r="N807" s="6"/>
      <c r="O807" s="6"/>
      <c r="P807" s="6"/>
      <c r="Q807" s="6"/>
      <c r="R807" s="6"/>
      <c r="S807" s="6"/>
      <c r="T807" s="6"/>
      <c r="U807" s="6"/>
      <c r="V807" s="6"/>
    </row>
    <row r="808" spans="2:31" x14ac:dyDescent="0.2">
      <c r="C808" s="5"/>
      <c r="D808" s="5"/>
    </row>
    <row r="809" spans="2:31" x14ac:dyDescent="0.2">
      <c r="B809" s="8">
        <f>B801+1</f>
        <v>7</v>
      </c>
      <c r="C809" s="20" t="s">
        <v>78</v>
      </c>
      <c r="D809" s="20"/>
    </row>
    <row r="810" spans="2:31" x14ac:dyDescent="0.2">
      <c r="C810" s="20"/>
      <c r="D810" s="20"/>
    </row>
    <row r="811" spans="2:31" x14ac:dyDescent="0.2">
      <c r="B811" s="10">
        <f>+B809+0.1</f>
        <v>7.1</v>
      </c>
      <c r="C811" s="20" t="s">
        <v>79</v>
      </c>
      <c r="D811" s="20"/>
    </row>
    <row r="812" spans="2:31" x14ac:dyDescent="0.2">
      <c r="C812" s="5"/>
      <c r="D812" s="5"/>
    </row>
    <row r="813" spans="2:31" x14ac:dyDescent="0.2">
      <c r="B813" s="24">
        <f>B811+0.01</f>
        <v>7.1099999999999994</v>
      </c>
      <c r="C813" s="20" t="s">
        <v>529</v>
      </c>
      <c r="D813" s="20"/>
      <c r="G813" s="21"/>
    </row>
    <row r="814" spans="2:31" x14ac:dyDescent="0.2">
      <c r="B814" s="24"/>
      <c r="C814" s="20"/>
      <c r="D814" s="20"/>
    </row>
    <row r="815" spans="2:31" x14ac:dyDescent="0.2">
      <c r="B815" s="24"/>
      <c r="C815" s="9" t="s">
        <v>903</v>
      </c>
      <c r="D815" s="20"/>
    </row>
    <row r="816" spans="2:31" x14ac:dyDescent="0.2">
      <c r="C816" s="1" t="s">
        <v>904</v>
      </c>
      <c r="F816" s="1" t="s">
        <v>55</v>
      </c>
      <c r="G816" s="21">
        <f>SUM(I816:AE816)</f>
        <v>0.54</v>
      </c>
      <c r="I816" s="17">
        <v>0.18</v>
      </c>
      <c r="J816" s="17">
        <v>0.18</v>
      </c>
      <c r="K816" s="17">
        <v>0.18</v>
      </c>
      <c r="L816" s="17">
        <v>0</v>
      </c>
      <c r="M816" s="17">
        <v>0</v>
      </c>
      <c r="N816" s="17">
        <v>0</v>
      </c>
      <c r="O816" s="17">
        <v>0</v>
      </c>
      <c r="P816" s="17">
        <v>0</v>
      </c>
      <c r="Q816" s="17">
        <v>0</v>
      </c>
      <c r="R816" s="17">
        <v>0</v>
      </c>
      <c r="S816" s="17">
        <v>0</v>
      </c>
      <c r="T816" s="17">
        <v>0</v>
      </c>
      <c r="U816" s="17">
        <v>0</v>
      </c>
      <c r="V816" s="17">
        <v>0</v>
      </c>
      <c r="W816" s="582"/>
      <c r="X816" s="582"/>
      <c r="Y816" s="582"/>
      <c r="Z816" s="582"/>
      <c r="AA816" s="582"/>
      <c r="AB816" s="582"/>
      <c r="AC816" s="582"/>
      <c r="AD816" s="582"/>
      <c r="AE816" s="582"/>
    </row>
    <row r="817" spans="2:31" x14ac:dyDescent="0.2">
      <c r="B817" s="24"/>
      <c r="C817" s="1" t="s">
        <v>905</v>
      </c>
      <c r="D817" s="20"/>
      <c r="F817" s="1" t="s">
        <v>55</v>
      </c>
      <c r="G817" s="21">
        <f t="shared" ref="G817:G826" si="718">SUM(I817:AE817)</f>
        <v>0.13125000000000001</v>
      </c>
      <c r="I817" s="17">
        <v>0.13125000000000001</v>
      </c>
      <c r="J817" s="17">
        <v>0</v>
      </c>
      <c r="K817" s="17">
        <v>0</v>
      </c>
      <c r="L817" s="17">
        <v>0</v>
      </c>
      <c r="M817" s="17">
        <v>0</v>
      </c>
      <c r="N817" s="17">
        <v>0</v>
      </c>
      <c r="O817" s="17">
        <v>0</v>
      </c>
      <c r="P817" s="17">
        <v>0</v>
      </c>
      <c r="Q817" s="17">
        <v>0</v>
      </c>
      <c r="R817" s="17">
        <v>0</v>
      </c>
      <c r="S817" s="17">
        <v>0</v>
      </c>
      <c r="T817" s="17">
        <v>0</v>
      </c>
      <c r="U817" s="17">
        <v>0</v>
      </c>
      <c r="V817" s="17">
        <v>0</v>
      </c>
      <c r="W817" s="582"/>
      <c r="X817" s="582"/>
      <c r="Y817" s="582"/>
      <c r="Z817" s="582"/>
      <c r="AA817" s="582"/>
      <c r="AB817" s="582"/>
      <c r="AC817" s="582"/>
      <c r="AD817" s="582"/>
      <c r="AE817" s="582"/>
    </row>
    <row r="818" spans="2:31" x14ac:dyDescent="0.2">
      <c r="B818" s="24"/>
      <c r="C818" s="1" t="s">
        <v>906</v>
      </c>
      <c r="D818" s="20"/>
      <c r="F818" s="1" t="s">
        <v>55</v>
      </c>
      <c r="G818" s="21">
        <f t="shared" si="718"/>
        <v>9.436725E-2</v>
      </c>
      <c r="I818" s="17">
        <v>9.436725E-2</v>
      </c>
      <c r="J818" s="17">
        <v>0</v>
      </c>
      <c r="K818" s="17">
        <v>0</v>
      </c>
      <c r="L818" s="17">
        <v>0</v>
      </c>
      <c r="M818" s="17">
        <v>0</v>
      </c>
      <c r="N818" s="17">
        <v>0</v>
      </c>
      <c r="O818" s="17">
        <v>0</v>
      </c>
      <c r="P818" s="17">
        <v>0</v>
      </c>
      <c r="Q818" s="17">
        <v>0</v>
      </c>
      <c r="R818" s="17">
        <v>0</v>
      </c>
      <c r="S818" s="17">
        <v>0</v>
      </c>
      <c r="T818" s="17">
        <v>0</v>
      </c>
      <c r="U818" s="17">
        <v>0</v>
      </c>
      <c r="V818" s="17">
        <v>0</v>
      </c>
      <c r="W818" s="582"/>
      <c r="X818" s="582"/>
      <c r="Y818" s="582"/>
      <c r="Z818" s="582"/>
      <c r="AA818" s="582"/>
      <c r="AB818" s="582"/>
      <c r="AC818" s="582"/>
      <c r="AD818" s="582"/>
      <c r="AE818" s="582"/>
    </row>
    <row r="819" spans="2:31" x14ac:dyDescent="0.2">
      <c r="B819" s="24"/>
      <c r="C819" s="1" t="s">
        <v>907</v>
      </c>
      <c r="D819" s="20"/>
      <c r="F819" s="1" t="s">
        <v>55</v>
      </c>
      <c r="G819" s="21">
        <f t="shared" si="718"/>
        <v>0.86062499999999997</v>
      </c>
      <c r="I819" s="17">
        <v>0.12656249999999999</v>
      </c>
      <c r="J819" s="17">
        <v>0.73406249999999995</v>
      </c>
      <c r="K819" s="17">
        <v>0</v>
      </c>
      <c r="L819" s="17">
        <v>0</v>
      </c>
      <c r="M819" s="17">
        <v>0</v>
      </c>
      <c r="N819" s="17">
        <v>0</v>
      </c>
      <c r="O819" s="17">
        <v>0</v>
      </c>
      <c r="P819" s="17">
        <v>0</v>
      </c>
      <c r="Q819" s="17">
        <v>0</v>
      </c>
      <c r="R819" s="17">
        <v>0</v>
      </c>
      <c r="S819" s="17">
        <v>0</v>
      </c>
      <c r="T819" s="17">
        <v>0</v>
      </c>
      <c r="U819" s="17">
        <v>0</v>
      </c>
      <c r="V819" s="17">
        <v>0</v>
      </c>
      <c r="W819" s="582"/>
      <c r="X819" s="582"/>
      <c r="Y819" s="582"/>
      <c r="Z819" s="582"/>
      <c r="AA819" s="582"/>
      <c r="AB819" s="582"/>
      <c r="AC819" s="582"/>
      <c r="AD819" s="582"/>
      <c r="AE819" s="582"/>
    </row>
    <row r="820" spans="2:31" x14ac:dyDescent="0.2">
      <c r="B820" s="24"/>
      <c r="C820" s="1" t="s">
        <v>908</v>
      </c>
      <c r="D820" s="20"/>
      <c r="F820" s="1" t="s">
        <v>55</v>
      </c>
      <c r="G820" s="21">
        <f t="shared" si="718"/>
        <v>0.97470000000000001</v>
      </c>
      <c r="I820" s="17">
        <v>0.97470000000000001</v>
      </c>
      <c r="J820" s="17">
        <v>0</v>
      </c>
      <c r="K820" s="17">
        <v>0</v>
      </c>
      <c r="L820" s="17">
        <v>0</v>
      </c>
      <c r="M820" s="17">
        <v>0</v>
      </c>
      <c r="N820" s="17">
        <v>0</v>
      </c>
      <c r="O820" s="17">
        <v>0</v>
      </c>
      <c r="P820" s="17">
        <v>0</v>
      </c>
      <c r="Q820" s="17">
        <v>0</v>
      </c>
      <c r="R820" s="17">
        <v>0</v>
      </c>
      <c r="S820" s="17">
        <v>0</v>
      </c>
      <c r="T820" s="17">
        <v>0</v>
      </c>
      <c r="U820" s="17">
        <v>0</v>
      </c>
      <c r="V820" s="17">
        <v>0</v>
      </c>
      <c r="W820" s="582"/>
      <c r="X820" s="582"/>
      <c r="Y820" s="582"/>
      <c r="Z820" s="582"/>
      <c r="AA820" s="582"/>
      <c r="AB820" s="582"/>
      <c r="AC820" s="582"/>
      <c r="AD820" s="582"/>
      <c r="AE820" s="582"/>
    </row>
    <row r="821" spans="2:31" x14ac:dyDescent="0.2">
      <c r="B821" s="24"/>
      <c r="C821" s="1" t="s">
        <v>909</v>
      </c>
      <c r="D821" s="20"/>
      <c r="F821" s="1" t="s">
        <v>55</v>
      </c>
      <c r="G821" s="21">
        <f t="shared" si="718"/>
        <v>3.4690000000000003</v>
      </c>
      <c r="I821" s="17">
        <v>0</v>
      </c>
      <c r="J821" s="17">
        <v>3.1221000000000001</v>
      </c>
      <c r="K821" s="17">
        <v>0.34689999999999999</v>
      </c>
      <c r="L821" s="17">
        <v>0</v>
      </c>
      <c r="M821" s="17">
        <v>0</v>
      </c>
      <c r="N821" s="17">
        <v>0</v>
      </c>
      <c r="O821" s="17">
        <v>0</v>
      </c>
      <c r="P821" s="17">
        <v>0</v>
      </c>
      <c r="Q821" s="17">
        <v>0</v>
      </c>
      <c r="R821" s="17">
        <v>0</v>
      </c>
      <c r="S821" s="17">
        <v>0</v>
      </c>
      <c r="T821" s="17">
        <v>0</v>
      </c>
      <c r="U821" s="17">
        <v>0</v>
      </c>
      <c r="V821" s="17">
        <v>0</v>
      </c>
      <c r="W821" s="582"/>
      <c r="X821" s="582"/>
      <c r="Y821" s="582"/>
      <c r="Z821" s="582"/>
      <c r="AA821" s="582"/>
      <c r="AB821" s="582"/>
      <c r="AC821" s="582"/>
      <c r="AD821" s="582"/>
      <c r="AE821" s="582"/>
    </row>
    <row r="822" spans="2:31" x14ac:dyDescent="0.2">
      <c r="B822" s="24"/>
      <c r="C822" s="1" t="s">
        <v>943</v>
      </c>
      <c r="D822" s="20"/>
      <c r="F822" s="1" t="s">
        <v>55</v>
      </c>
      <c r="G822" s="21">
        <f>SUM(I822:V822)</f>
        <v>0</v>
      </c>
      <c r="I822" s="17">
        <v>0</v>
      </c>
      <c r="J822" s="17">
        <v>0</v>
      </c>
      <c r="K822" s="17">
        <v>0</v>
      </c>
      <c r="L822" s="17">
        <v>0</v>
      </c>
      <c r="M822" s="17">
        <v>0</v>
      </c>
      <c r="N822" s="17">
        <v>0</v>
      </c>
      <c r="O822" s="17">
        <v>0</v>
      </c>
      <c r="P822" s="17">
        <v>0</v>
      </c>
      <c r="Q822" s="17">
        <v>0</v>
      </c>
      <c r="R822" s="17">
        <v>0</v>
      </c>
      <c r="S822" s="17">
        <v>0</v>
      </c>
      <c r="T822" s="17">
        <v>0</v>
      </c>
      <c r="U822" s="17">
        <v>0</v>
      </c>
      <c r="V822" s="17">
        <v>0</v>
      </c>
      <c r="W822" s="582"/>
      <c r="X822" s="582"/>
      <c r="Y822" s="582"/>
      <c r="Z822" s="582"/>
      <c r="AA822" s="582"/>
      <c r="AB822" s="582"/>
      <c r="AC822" s="582"/>
      <c r="AD822" s="582"/>
      <c r="AE822" s="582"/>
    </row>
    <row r="823" spans="2:31" x14ac:dyDescent="0.2">
      <c r="B823" s="24"/>
      <c r="C823" s="5" t="s">
        <v>942</v>
      </c>
      <c r="D823" s="20"/>
      <c r="E823" s="5"/>
      <c r="F823" s="5" t="s">
        <v>55</v>
      </c>
      <c r="G823" s="52">
        <f t="shared" si="718"/>
        <v>1.17</v>
      </c>
      <c r="H823" s="5"/>
      <c r="I823" s="50">
        <v>0.3</v>
      </c>
      <c r="J823" s="50">
        <v>0.87</v>
      </c>
      <c r="K823" s="50">
        <v>0</v>
      </c>
      <c r="L823" s="50">
        <v>0</v>
      </c>
      <c r="M823" s="50">
        <v>0</v>
      </c>
      <c r="N823" s="50">
        <v>0</v>
      </c>
      <c r="O823" s="50">
        <v>0</v>
      </c>
      <c r="P823" s="50">
        <v>0</v>
      </c>
      <c r="Q823" s="50">
        <v>0</v>
      </c>
      <c r="R823" s="50">
        <v>0</v>
      </c>
      <c r="S823" s="50">
        <v>0</v>
      </c>
      <c r="T823" s="50">
        <v>0</v>
      </c>
      <c r="U823" s="50">
        <v>0</v>
      </c>
      <c r="V823" s="50">
        <v>0</v>
      </c>
      <c r="W823" s="568"/>
      <c r="X823" s="568"/>
      <c r="Y823" s="568"/>
      <c r="Z823" s="568"/>
      <c r="AA823" s="568"/>
      <c r="AB823" s="568"/>
      <c r="AC823" s="568"/>
      <c r="AD823" s="568"/>
      <c r="AE823" s="568"/>
    </row>
    <row r="824" spans="2:31" x14ac:dyDescent="0.2">
      <c r="B824" s="24"/>
      <c r="C824" s="1" t="s">
        <v>910</v>
      </c>
      <c r="D824" s="20"/>
      <c r="F824" s="1" t="s">
        <v>55</v>
      </c>
      <c r="G824" s="21">
        <f t="shared" si="718"/>
        <v>1.23</v>
      </c>
      <c r="I824" s="17">
        <v>0.6</v>
      </c>
      <c r="J824" s="17">
        <v>0.63</v>
      </c>
      <c r="K824" s="17">
        <v>0</v>
      </c>
      <c r="L824" s="17">
        <v>0</v>
      </c>
      <c r="M824" s="17">
        <v>0</v>
      </c>
      <c r="N824" s="17">
        <v>0</v>
      </c>
      <c r="O824" s="17">
        <v>0</v>
      </c>
      <c r="P824" s="17">
        <v>0</v>
      </c>
      <c r="Q824" s="17">
        <v>0</v>
      </c>
      <c r="R824" s="17">
        <v>0</v>
      </c>
      <c r="S824" s="17">
        <v>0</v>
      </c>
      <c r="T824" s="17">
        <v>0</v>
      </c>
      <c r="U824" s="17">
        <v>0</v>
      </c>
      <c r="V824" s="17">
        <v>0</v>
      </c>
      <c r="W824" s="582"/>
      <c r="X824" s="582"/>
      <c r="Y824" s="582"/>
      <c r="Z824" s="582"/>
      <c r="AA824" s="582"/>
      <c r="AB824" s="582"/>
      <c r="AC824" s="582"/>
      <c r="AD824" s="582"/>
      <c r="AE824" s="582"/>
    </row>
    <row r="825" spans="2:31" x14ac:dyDescent="0.2">
      <c r="B825" s="24"/>
      <c r="C825" s="1" t="s">
        <v>911</v>
      </c>
      <c r="D825" s="20"/>
      <c r="F825" s="1" t="s">
        <v>55</v>
      </c>
      <c r="G825" s="21">
        <f t="shared" si="718"/>
        <v>0.2</v>
      </c>
      <c r="I825" s="17">
        <v>0.1</v>
      </c>
      <c r="J825" s="17">
        <v>0</v>
      </c>
      <c r="K825" s="17">
        <v>0.1</v>
      </c>
      <c r="L825" s="17">
        <v>0</v>
      </c>
      <c r="M825" s="17">
        <v>0</v>
      </c>
      <c r="N825" s="17">
        <v>0</v>
      </c>
      <c r="O825" s="17">
        <v>0</v>
      </c>
      <c r="P825" s="17">
        <v>0</v>
      </c>
      <c r="Q825" s="17">
        <v>0</v>
      </c>
      <c r="R825" s="17">
        <v>0</v>
      </c>
      <c r="S825" s="17">
        <v>0</v>
      </c>
      <c r="T825" s="17">
        <v>0</v>
      </c>
      <c r="U825" s="17">
        <v>0</v>
      </c>
      <c r="V825" s="17">
        <v>0</v>
      </c>
      <c r="W825" s="582"/>
      <c r="X825" s="582"/>
      <c r="Y825" s="582"/>
      <c r="Z825" s="582"/>
      <c r="AA825" s="582"/>
      <c r="AB825" s="582"/>
      <c r="AC825" s="582"/>
      <c r="AD825" s="582"/>
      <c r="AE825" s="582"/>
    </row>
    <row r="826" spans="2:31" x14ac:dyDescent="0.2">
      <c r="B826" s="24"/>
      <c r="C826" s="1" t="s">
        <v>912</v>
      </c>
      <c r="D826" s="20"/>
      <c r="F826" s="1" t="s">
        <v>55</v>
      </c>
      <c r="G826" s="21">
        <f t="shared" si="718"/>
        <v>0.1</v>
      </c>
      <c r="I826" s="17">
        <v>0.1</v>
      </c>
      <c r="J826" s="17">
        <v>0</v>
      </c>
      <c r="K826" s="17">
        <v>0</v>
      </c>
      <c r="L826" s="17">
        <v>0</v>
      </c>
      <c r="M826" s="17">
        <v>0</v>
      </c>
      <c r="N826" s="17">
        <v>0</v>
      </c>
      <c r="O826" s="17">
        <v>0</v>
      </c>
      <c r="P826" s="17">
        <v>0</v>
      </c>
      <c r="Q826" s="17">
        <v>0</v>
      </c>
      <c r="R826" s="17">
        <v>0</v>
      </c>
      <c r="S826" s="17">
        <v>0</v>
      </c>
      <c r="T826" s="17">
        <v>0</v>
      </c>
      <c r="U826" s="17">
        <v>0</v>
      </c>
      <c r="V826" s="17">
        <v>0</v>
      </c>
      <c r="W826" s="582"/>
      <c r="X826" s="582"/>
      <c r="Y826" s="582"/>
      <c r="Z826" s="582"/>
      <c r="AA826" s="582"/>
      <c r="AB826" s="582"/>
      <c r="AC826" s="582"/>
      <c r="AD826" s="582"/>
      <c r="AE826" s="582"/>
    </row>
    <row r="827" spans="2:31" x14ac:dyDescent="0.2">
      <c r="B827" s="24"/>
      <c r="C827" s="1" t="s">
        <v>913</v>
      </c>
      <c r="D827" s="20"/>
      <c r="F827" s="1" t="s">
        <v>55</v>
      </c>
      <c r="G827" s="21">
        <f>SUM(I827:V827)</f>
        <v>1.23</v>
      </c>
      <c r="I827" s="17">
        <v>0.4</v>
      </c>
      <c r="J827" s="17">
        <v>0.4</v>
      </c>
      <c r="K827" s="17">
        <v>0.43</v>
      </c>
      <c r="L827" s="17">
        <v>0</v>
      </c>
      <c r="M827" s="17">
        <v>0</v>
      </c>
      <c r="N827" s="17">
        <v>0</v>
      </c>
      <c r="O827" s="17">
        <v>0</v>
      </c>
      <c r="P827" s="17">
        <v>0</v>
      </c>
      <c r="Q827" s="17">
        <v>0</v>
      </c>
      <c r="R827" s="17">
        <v>0</v>
      </c>
      <c r="S827" s="17">
        <v>0</v>
      </c>
      <c r="T827" s="17">
        <v>0</v>
      </c>
      <c r="U827" s="17">
        <v>0</v>
      </c>
      <c r="V827" s="17">
        <v>0</v>
      </c>
      <c r="W827" s="582"/>
      <c r="X827" s="582"/>
      <c r="Y827" s="582"/>
      <c r="Z827" s="582"/>
      <c r="AA827" s="582"/>
      <c r="AB827" s="582"/>
      <c r="AC827" s="582"/>
      <c r="AD827" s="582"/>
      <c r="AE827" s="582"/>
    </row>
    <row r="828" spans="2:31" x14ac:dyDescent="0.2">
      <c r="B828" s="24"/>
      <c r="C828" s="9" t="s">
        <v>903</v>
      </c>
      <c r="D828" s="20"/>
      <c r="E828" s="533"/>
      <c r="F828" s="9" t="s">
        <v>55</v>
      </c>
      <c r="G828" s="44">
        <f>SUM(I828:AE828)</f>
        <v>9.9999422500000001</v>
      </c>
      <c r="I828" s="44">
        <f t="shared" ref="I828:V828" si="719">SUM(I816:I827)</f>
        <v>3.00687975</v>
      </c>
      <c r="J828" s="44">
        <f t="shared" si="719"/>
        <v>5.9361625</v>
      </c>
      <c r="K828" s="44">
        <f t="shared" si="719"/>
        <v>1.0569</v>
      </c>
      <c r="L828" s="44">
        <f t="shared" si="719"/>
        <v>0</v>
      </c>
      <c r="M828" s="44">
        <f t="shared" si="719"/>
        <v>0</v>
      </c>
      <c r="N828" s="44">
        <f t="shared" si="719"/>
        <v>0</v>
      </c>
      <c r="O828" s="44">
        <f t="shared" si="719"/>
        <v>0</v>
      </c>
      <c r="P828" s="44">
        <f t="shared" si="719"/>
        <v>0</v>
      </c>
      <c r="Q828" s="44">
        <f t="shared" si="719"/>
        <v>0</v>
      </c>
      <c r="R828" s="44">
        <f t="shared" si="719"/>
        <v>0</v>
      </c>
      <c r="S828" s="44">
        <f t="shared" si="719"/>
        <v>0</v>
      </c>
      <c r="T828" s="44">
        <f t="shared" si="719"/>
        <v>0</v>
      </c>
      <c r="U828" s="44">
        <f t="shared" si="719"/>
        <v>0</v>
      </c>
      <c r="V828" s="44">
        <f t="shared" si="719"/>
        <v>0</v>
      </c>
      <c r="W828" s="563"/>
      <c r="X828" s="563"/>
      <c r="Y828" s="563"/>
      <c r="Z828" s="563"/>
      <c r="AA828" s="563"/>
      <c r="AB828" s="563"/>
      <c r="AC828" s="563"/>
      <c r="AD828" s="563"/>
      <c r="AE828" s="563"/>
    </row>
    <row r="829" spans="2:31" x14ac:dyDescent="0.2">
      <c r="B829" s="24"/>
      <c r="D829" s="20"/>
    </row>
    <row r="830" spans="2:31" x14ac:dyDescent="0.2">
      <c r="B830" s="24"/>
      <c r="C830" s="5" t="s">
        <v>328</v>
      </c>
      <c r="D830" s="20"/>
      <c r="G830" s="35">
        <f>SUM(I830:W830)</f>
        <v>1</v>
      </c>
      <c r="I830" s="507">
        <v>0</v>
      </c>
      <c r="J830" s="507">
        <v>0</v>
      </c>
      <c r="K830" s="507">
        <v>0</v>
      </c>
      <c r="L830" s="507">
        <v>0.1</v>
      </c>
      <c r="M830" s="507">
        <v>0.125</v>
      </c>
      <c r="N830" s="507">
        <v>0.15</v>
      </c>
      <c r="O830" s="507">
        <v>0.15</v>
      </c>
      <c r="P830" s="507">
        <v>0.15</v>
      </c>
      <c r="Q830" s="507">
        <v>0.15</v>
      </c>
      <c r="R830" s="507">
        <v>0.125</v>
      </c>
      <c r="S830" s="507">
        <v>0.05</v>
      </c>
      <c r="T830" s="507">
        <v>0</v>
      </c>
      <c r="U830" s="507">
        <v>0</v>
      </c>
      <c r="V830" s="507">
        <v>0</v>
      </c>
      <c r="W830" s="587"/>
      <c r="X830" s="579"/>
      <c r="Y830" s="579"/>
      <c r="Z830" s="579"/>
      <c r="AA830" s="579"/>
      <c r="AB830" s="579"/>
      <c r="AC830" s="579"/>
      <c r="AD830" s="579"/>
      <c r="AE830" s="579"/>
    </row>
    <row r="831" spans="2:31" x14ac:dyDescent="0.2">
      <c r="B831" s="24"/>
      <c r="D831" s="20"/>
    </row>
    <row r="832" spans="2:31" x14ac:dyDescent="0.2">
      <c r="B832" s="24"/>
      <c r="C832" s="20" t="s">
        <v>970</v>
      </c>
      <c r="D832" s="20"/>
    </row>
    <row r="833" spans="2:31" x14ac:dyDescent="0.2">
      <c r="B833" s="24"/>
      <c r="C833" s="5" t="str">
        <f>CAPEX!C11</f>
        <v>Civil</v>
      </c>
      <c r="D833" s="20"/>
      <c r="E833" s="269">
        <f>CAPEX!M11/1000000</f>
        <v>6.8905483976703605</v>
      </c>
      <c r="F833" s="1" t="s">
        <v>55</v>
      </c>
      <c r="G833" s="21">
        <f>SUM(I833:AE833)</f>
        <v>6.8905483976703605</v>
      </c>
      <c r="I833" s="21">
        <f t="shared" ref="I833:V844" si="720">$E833*I$830</f>
        <v>0</v>
      </c>
      <c r="J833" s="21">
        <f t="shared" si="720"/>
        <v>0</v>
      </c>
      <c r="K833" s="21">
        <f t="shared" si="720"/>
        <v>0</v>
      </c>
      <c r="L833" s="21">
        <f t="shared" si="720"/>
        <v>0.68905483976703608</v>
      </c>
      <c r="M833" s="21">
        <f t="shared" si="720"/>
        <v>0.86131854970879507</v>
      </c>
      <c r="N833" s="21">
        <f t="shared" si="720"/>
        <v>1.0335822596505539</v>
      </c>
      <c r="O833" s="21">
        <f t="shared" si="720"/>
        <v>1.0335822596505539</v>
      </c>
      <c r="P833" s="21">
        <f t="shared" si="720"/>
        <v>1.0335822596505539</v>
      </c>
      <c r="Q833" s="21">
        <f t="shared" si="720"/>
        <v>1.0335822596505539</v>
      </c>
      <c r="R833" s="21">
        <f t="shared" si="720"/>
        <v>0.86131854970879507</v>
      </c>
      <c r="S833" s="21">
        <f t="shared" si="720"/>
        <v>0.34452741988351804</v>
      </c>
      <c r="T833" s="21">
        <f t="shared" si="720"/>
        <v>0</v>
      </c>
      <c r="U833" s="21">
        <f t="shared" si="720"/>
        <v>0</v>
      </c>
      <c r="V833" s="21">
        <f t="shared" si="720"/>
        <v>0</v>
      </c>
      <c r="W833" s="563"/>
      <c r="X833" s="563"/>
      <c r="Y833" s="563"/>
      <c r="Z833" s="563"/>
      <c r="AA833" s="563"/>
      <c r="AB833" s="563"/>
      <c r="AC833" s="563"/>
      <c r="AD833" s="563"/>
      <c r="AE833" s="563"/>
    </row>
    <row r="834" spans="2:31" x14ac:dyDescent="0.2">
      <c r="B834" s="24"/>
      <c r="C834" s="5" t="str">
        <f>CAPEX!C12</f>
        <v>Dome technology</v>
      </c>
      <c r="D834" s="20"/>
      <c r="E834" s="269">
        <f>CAPEX!M12/1000000</f>
        <v>4.9374603174603173</v>
      </c>
      <c r="F834" s="1" t="s">
        <v>55</v>
      </c>
      <c r="G834" s="21">
        <f t="shared" ref="G834:G845" si="721">SUM(I834:AE834)</f>
        <v>4.9374603174603173</v>
      </c>
      <c r="I834" s="21">
        <f t="shared" si="720"/>
        <v>0</v>
      </c>
      <c r="J834" s="21">
        <f t="shared" si="720"/>
        <v>0</v>
      </c>
      <c r="K834" s="21">
        <f t="shared" si="720"/>
        <v>0</v>
      </c>
      <c r="L834" s="21">
        <f t="shared" si="720"/>
        <v>0.49374603174603177</v>
      </c>
      <c r="M834" s="21">
        <f t="shared" si="720"/>
        <v>0.61718253968253967</v>
      </c>
      <c r="N834" s="21">
        <f t="shared" si="720"/>
        <v>0.74061904761904762</v>
      </c>
      <c r="O834" s="21">
        <f t="shared" si="720"/>
        <v>0.74061904761904762</v>
      </c>
      <c r="P834" s="21">
        <f t="shared" si="720"/>
        <v>0.74061904761904762</v>
      </c>
      <c r="Q834" s="21">
        <f t="shared" si="720"/>
        <v>0.74061904761904762</v>
      </c>
      <c r="R834" s="21">
        <f t="shared" si="720"/>
        <v>0.61718253968253967</v>
      </c>
      <c r="S834" s="21">
        <f t="shared" si="720"/>
        <v>0.24687301587301588</v>
      </c>
      <c r="T834" s="21">
        <f t="shared" si="720"/>
        <v>0</v>
      </c>
      <c r="U834" s="21">
        <f t="shared" si="720"/>
        <v>0</v>
      </c>
      <c r="V834" s="21">
        <f t="shared" si="720"/>
        <v>0</v>
      </c>
      <c r="W834" s="563"/>
      <c r="X834" s="563"/>
      <c r="Y834" s="563"/>
      <c r="Z834" s="563"/>
      <c r="AA834" s="563"/>
      <c r="AB834" s="563"/>
      <c r="AC834" s="563"/>
      <c r="AD834" s="563"/>
      <c r="AE834" s="563"/>
    </row>
    <row r="835" spans="2:31" x14ac:dyDescent="0.2">
      <c r="B835" s="24"/>
      <c r="C835" s="5" t="str">
        <f>CAPEX!C13</f>
        <v>Concrete</v>
      </c>
      <c r="D835" s="20"/>
      <c r="E835" s="269">
        <f>CAPEX!M13/1000000</f>
        <v>16.981856156097074</v>
      </c>
      <c r="F835" s="1" t="s">
        <v>55</v>
      </c>
      <c r="G835" s="21">
        <f t="shared" si="721"/>
        <v>16.981856156097074</v>
      </c>
      <c r="I835" s="21">
        <f t="shared" si="720"/>
        <v>0</v>
      </c>
      <c r="J835" s="21">
        <f t="shared" si="720"/>
        <v>0</v>
      </c>
      <c r="K835" s="21">
        <f t="shared" si="720"/>
        <v>0</v>
      </c>
      <c r="L835" s="21">
        <f t="shared" si="720"/>
        <v>1.6981856156097075</v>
      </c>
      <c r="M835" s="21">
        <f t="shared" si="720"/>
        <v>2.1227320195121342</v>
      </c>
      <c r="N835" s="21">
        <f t="shared" si="720"/>
        <v>2.5472784234145611</v>
      </c>
      <c r="O835" s="21">
        <f t="shared" si="720"/>
        <v>2.5472784234145611</v>
      </c>
      <c r="P835" s="21">
        <f t="shared" si="720"/>
        <v>2.5472784234145611</v>
      </c>
      <c r="Q835" s="21">
        <f t="shared" si="720"/>
        <v>2.5472784234145611</v>
      </c>
      <c r="R835" s="21">
        <f t="shared" si="720"/>
        <v>2.1227320195121342</v>
      </c>
      <c r="S835" s="21">
        <f t="shared" si="720"/>
        <v>0.84909280780485374</v>
      </c>
      <c r="T835" s="21">
        <f t="shared" si="720"/>
        <v>0</v>
      </c>
      <c r="U835" s="21">
        <f t="shared" si="720"/>
        <v>0</v>
      </c>
      <c r="V835" s="21">
        <f t="shared" si="720"/>
        <v>0</v>
      </c>
      <c r="W835" s="563"/>
      <c r="X835" s="563"/>
      <c r="Y835" s="563"/>
      <c r="Z835" s="563"/>
      <c r="AA835" s="563"/>
      <c r="AB835" s="563"/>
      <c r="AC835" s="563"/>
      <c r="AD835" s="563"/>
      <c r="AE835" s="563"/>
    </row>
    <row r="836" spans="2:31" x14ac:dyDescent="0.2">
      <c r="B836" s="24"/>
      <c r="C836" s="5" t="str">
        <f>CAPEX!C14</f>
        <v>Structural Steel</v>
      </c>
      <c r="D836" s="20"/>
      <c r="E836" s="269">
        <f>CAPEX!M14/1000000</f>
        <v>22.53587560137133</v>
      </c>
      <c r="F836" s="1" t="s">
        <v>55</v>
      </c>
      <c r="G836" s="21">
        <f t="shared" si="721"/>
        <v>22.53587560137133</v>
      </c>
      <c r="I836" s="21">
        <f t="shared" si="720"/>
        <v>0</v>
      </c>
      <c r="J836" s="21">
        <f t="shared" si="720"/>
        <v>0</v>
      </c>
      <c r="K836" s="21">
        <f t="shared" si="720"/>
        <v>0</v>
      </c>
      <c r="L836" s="21">
        <f t="shared" si="720"/>
        <v>2.2535875601371331</v>
      </c>
      <c r="M836" s="21">
        <f t="shared" si="720"/>
        <v>2.8169844501714163</v>
      </c>
      <c r="N836" s="21">
        <f t="shared" si="720"/>
        <v>3.3803813402056995</v>
      </c>
      <c r="O836" s="21">
        <f t="shared" si="720"/>
        <v>3.3803813402056995</v>
      </c>
      <c r="P836" s="21">
        <f t="shared" si="720"/>
        <v>3.3803813402056995</v>
      </c>
      <c r="Q836" s="21">
        <f t="shared" si="720"/>
        <v>3.3803813402056995</v>
      </c>
      <c r="R836" s="21">
        <f t="shared" si="720"/>
        <v>2.8169844501714163</v>
      </c>
      <c r="S836" s="21">
        <f t="shared" si="720"/>
        <v>1.1267937800685666</v>
      </c>
      <c r="T836" s="21">
        <f t="shared" si="720"/>
        <v>0</v>
      </c>
      <c r="U836" s="21">
        <f t="shared" si="720"/>
        <v>0</v>
      </c>
      <c r="V836" s="21">
        <f t="shared" si="720"/>
        <v>0</v>
      </c>
      <c r="W836" s="563"/>
      <c r="X836" s="563"/>
      <c r="Y836" s="563"/>
      <c r="Z836" s="563"/>
      <c r="AA836" s="563"/>
      <c r="AB836" s="563"/>
      <c r="AC836" s="563"/>
      <c r="AD836" s="563"/>
      <c r="AE836" s="563"/>
    </row>
    <row r="837" spans="2:31" x14ac:dyDescent="0.2">
      <c r="B837" s="24"/>
      <c r="C837" s="5" t="str">
        <f>CAPEX!C15</f>
        <v>Technological Steel (supplied by Tenova)</v>
      </c>
      <c r="D837" s="20"/>
      <c r="E837" s="269">
        <f>CAPEX!M15/1000000</f>
        <v>3.3033658333333333</v>
      </c>
      <c r="F837" s="1" t="s">
        <v>55</v>
      </c>
      <c r="G837" s="21">
        <f t="shared" si="721"/>
        <v>3.3033658333333333</v>
      </c>
      <c r="I837" s="21">
        <f t="shared" si="720"/>
        <v>0</v>
      </c>
      <c r="J837" s="21">
        <f t="shared" si="720"/>
        <v>0</v>
      </c>
      <c r="K837" s="21">
        <f t="shared" si="720"/>
        <v>0</v>
      </c>
      <c r="L837" s="21">
        <f t="shared" si="720"/>
        <v>0.33033658333333338</v>
      </c>
      <c r="M837" s="21">
        <f t="shared" si="720"/>
        <v>0.41292072916666667</v>
      </c>
      <c r="N837" s="21">
        <f t="shared" si="720"/>
        <v>0.49550487499999996</v>
      </c>
      <c r="O837" s="21">
        <f t="shared" si="720"/>
        <v>0.49550487499999996</v>
      </c>
      <c r="P837" s="21">
        <f t="shared" si="720"/>
        <v>0.49550487499999996</v>
      </c>
      <c r="Q837" s="21">
        <f t="shared" si="720"/>
        <v>0.49550487499999996</v>
      </c>
      <c r="R837" s="21">
        <f t="shared" si="720"/>
        <v>0.41292072916666667</v>
      </c>
      <c r="S837" s="21">
        <f t="shared" si="720"/>
        <v>0.16516829166666669</v>
      </c>
      <c r="T837" s="21">
        <f t="shared" si="720"/>
        <v>0</v>
      </c>
      <c r="U837" s="21">
        <f t="shared" si="720"/>
        <v>0</v>
      </c>
      <c r="V837" s="21">
        <f t="shared" si="720"/>
        <v>0</v>
      </c>
      <c r="W837" s="563"/>
      <c r="X837" s="563"/>
      <c r="Y837" s="563"/>
      <c r="Z837" s="563"/>
      <c r="AA837" s="563"/>
      <c r="AB837" s="563"/>
      <c r="AC837" s="563"/>
      <c r="AD837" s="563"/>
      <c r="AE837" s="563"/>
    </row>
    <row r="838" spans="2:31" x14ac:dyDescent="0.2">
      <c r="B838" s="24"/>
      <c r="C838" s="5" t="str">
        <f>CAPEX!C16</f>
        <v>Architectural</v>
      </c>
      <c r="D838" s="20"/>
      <c r="E838" s="269">
        <f>CAPEX!M16/1000000</f>
        <v>10.65649186214814</v>
      </c>
      <c r="F838" s="1" t="s">
        <v>55</v>
      </c>
      <c r="G838" s="21">
        <f t="shared" si="721"/>
        <v>10.65649186214814</v>
      </c>
      <c r="I838" s="21">
        <f t="shared" si="720"/>
        <v>0</v>
      </c>
      <c r="J838" s="21">
        <f t="shared" si="720"/>
        <v>0</v>
      </c>
      <c r="K838" s="21">
        <f t="shared" si="720"/>
        <v>0</v>
      </c>
      <c r="L838" s="21">
        <f t="shared" si="720"/>
        <v>1.0656491862148141</v>
      </c>
      <c r="M838" s="21">
        <f t="shared" si="720"/>
        <v>1.3320614827685175</v>
      </c>
      <c r="N838" s="21">
        <f t="shared" si="720"/>
        <v>1.598473779322221</v>
      </c>
      <c r="O838" s="21">
        <f t="shared" si="720"/>
        <v>1.598473779322221</v>
      </c>
      <c r="P838" s="21">
        <f t="shared" si="720"/>
        <v>1.598473779322221</v>
      </c>
      <c r="Q838" s="21">
        <f t="shared" si="720"/>
        <v>1.598473779322221</v>
      </c>
      <c r="R838" s="21">
        <f t="shared" si="720"/>
        <v>1.3320614827685175</v>
      </c>
      <c r="S838" s="21">
        <f t="shared" si="720"/>
        <v>0.53282459310740704</v>
      </c>
      <c r="T838" s="21">
        <f t="shared" si="720"/>
        <v>0</v>
      </c>
      <c r="U838" s="21">
        <f t="shared" si="720"/>
        <v>0</v>
      </c>
      <c r="V838" s="21">
        <f t="shared" si="720"/>
        <v>0</v>
      </c>
      <c r="W838" s="563"/>
      <c r="X838" s="563"/>
      <c r="Y838" s="563"/>
      <c r="Z838" s="563"/>
      <c r="AA838" s="563"/>
      <c r="AB838" s="563"/>
      <c r="AC838" s="563"/>
      <c r="AD838" s="563"/>
      <c r="AE838" s="563"/>
    </row>
    <row r="839" spans="2:31" x14ac:dyDescent="0.2">
      <c r="B839" s="24"/>
      <c r="C839" s="5" t="str">
        <f>CAPEX!C17</f>
        <v>Mechanical</v>
      </c>
      <c r="D839" s="20"/>
      <c r="E839" s="269">
        <f>CAPEX!M17/1000000</f>
        <v>25.192999346031741</v>
      </c>
      <c r="F839" s="1" t="s">
        <v>55</v>
      </c>
      <c r="G839" s="21">
        <f t="shared" si="721"/>
        <v>25.192999346031741</v>
      </c>
      <c r="I839" s="21">
        <f t="shared" si="720"/>
        <v>0</v>
      </c>
      <c r="J839" s="21">
        <f t="shared" si="720"/>
        <v>0</v>
      </c>
      <c r="K839" s="21">
        <f t="shared" si="720"/>
        <v>0</v>
      </c>
      <c r="L839" s="21">
        <f t="shared" si="720"/>
        <v>2.5192999346031741</v>
      </c>
      <c r="M839" s="21">
        <f t="shared" si="720"/>
        <v>3.1491249182539676</v>
      </c>
      <c r="N839" s="21">
        <f t="shared" si="720"/>
        <v>3.778949901904761</v>
      </c>
      <c r="O839" s="21">
        <f t="shared" si="720"/>
        <v>3.778949901904761</v>
      </c>
      <c r="P839" s="21">
        <f t="shared" si="720"/>
        <v>3.778949901904761</v>
      </c>
      <c r="Q839" s="21">
        <f t="shared" si="720"/>
        <v>3.778949901904761</v>
      </c>
      <c r="R839" s="21">
        <f t="shared" si="720"/>
        <v>3.1491249182539676</v>
      </c>
      <c r="S839" s="21">
        <f t="shared" si="720"/>
        <v>1.2596499673015871</v>
      </c>
      <c r="T839" s="21">
        <f t="shared" si="720"/>
        <v>0</v>
      </c>
      <c r="U839" s="21">
        <f t="shared" si="720"/>
        <v>0</v>
      </c>
      <c r="V839" s="21">
        <f t="shared" si="720"/>
        <v>0</v>
      </c>
      <c r="W839" s="563"/>
      <c r="X839" s="563"/>
      <c r="Y839" s="563"/>
      <c r="Z839" s="563"/>
      <c r="AA839" s="563"/>
      <c r="AB839" s="563"/>
      <c r="AC839" s="563"/>
      <c r="AD839" s="563"/>
      <c r="AE839" s="563"/>
    </row>
    <row r="840" spans="2:31" x14ac:dyDescent="0.2">
      <c r="B840" s="24"/>
      <c r="C840" s="5" t="str">
        <f>CAPEX!C18</f>
        <v>Mechanical (Tenova Supply) + US$60m COVID</v>
      </c>
      <c r="D840" s="20"/>
      <c r="E840" s="269">
        <f>CAPEX!M18/1000000</f>
        <v>223.42</v>
      </c>
      <c r="F840" s="1" t="s">
        <v>55</v>
      </c>
      <c r="G840" s="21">
        <f t="shared" si="721"/>
        <v>223.42000000000002</v>
      </c>
      <c r="I840" s="21">
        <f t="shared" si="720"/>
        <v>0</v>
      </c>
      <c r="J840" s="21">
        <f t="shared" si="720"/>
        <v>0</v>
      </c>
      <c r="K840" s="21">
        <f t="shared" si="720"/>
        <v>0</v>
      </c>
      <c r="L840" s="21">
        <f t="shared" si="720"/>
        <v>22.341999999999999</v>
      </c>
      <c r="M840" s="21">
        <f t="shared" si="720"/>
        <v>27.927499999999998</v>
      </c>
      <c r="N840" s="21">
        <f t="shared" si="720"/>
        <v>33.512999999999998</v>
      </c>
      <c r="O840" s="21">
        <f t="shared" si="720"/>
        <v>33.512999999999998</v>
      </c>
      <c r="P840" s="21">
        <f t="shared" si="720"/>
        <v>33.512999999999998</v>
      </c>
      <c r="Q840" s="21">
        <f t="shared" si="720"/>
        <v>33.512999999999998</v>
      </c>
      <c r="R840" s="21">
        <f t="shared" si="720"/>
        <v>27.927499999999998</v>
      </c>
      <c r="S840" s="21">
        <f t="shared" si="720"/>
        <v>11.170999999999999</v>
      </c>
      <c r="T840" s="21">
        <f t="shared" si="720"/>
        <v>0</v>
      </c>
      <c r="U840" s="21">
        <f t="shared" si="720"/>
        <v>0</v>
      </c>
      <c r="V840" s="21">
        <f t="shared" si="720"/>
        <v>0</v>
      </c>
      <c r="W840" s="563"/>
      <c r="X840" s="563"/>
      <c r="Y840" s="563"/>
      <c r="Z840" s="563"/>
      <c r="AA840" s="563"/>
      <c r="AB840" s="563"/>
      <c r="AC840" s="563"/>
      <c r="AD840" s="563"/>
      <c r="AE840" s="563"/>
    </row>
    <row r="841" spans="2:31" x14ac:dyDescent="0.2">
      <c r="B841" s="24"/>
      <c r="C841" s="5" t="str">
        <f>CAPEX!C19</f>
        <v>Piping</v>
      </c>
      <c r="D841" s="20"/>
      <c r="E841" s="269">
        <f>CAPEX!M19/1000000</f>
        <v>27.511491600952375</v>
      </c>
      <c r="F841" s="1" t="s">
        <v>55</v>
      </c>
      <c r="G841" s="21">
        <f t="shared" si="721"/>
        <v>27.511491600952379</v>
      </c>
      <c r="I841" s="21">
        <f t="shared" si="720"/>
        <v>0</v>
      </c>
      <c r="J841" s="21">
        <f t="shared" si="720"/>
        <v>0</v>
      </c>
      <c r="K841" s="21">
        <f t="shared" si="720"/>
        <v>0</v>
      </c>
      <c r="L841" s="21">
        <f t="shared" si="720"/>
        <v>2.7511491600952378</v>
      </c>
      <c r="M841" s="21">
        <f t="shared" si="720"/>
        <v>3.4389364501190469</v>
      </c>
      <c r="N841" s="21">
        <f t="shared" si="720"/>
        <v>4.1267237401428565</v>
      </c>
      <c r="O841" s="21">
        <f t="shared" si="720"/>
        <v>4.1267237401428565</v>
      </c>
      <c r="P841" s="21">
        <f t="shared" si="720"/>
        <v>4.1267237401428565</v>
      </c>
      <c r="Q841" s="21">
        <f t="shared" si="720"/>
        <v>4.1267237401428565</v>
      </c>
      <c r="R841" s="21">
        <f t="shared" si="720"/>
        <v>3.4389364501190469</v>
      </c>
      <c r="S841" s="21">
        <f t="shared" si="720"/>
        <v>1.3755745800476189</v>
      </c>
      <c r="T841" s="21">
        <f t="shared" si="720"/>
        <v>0</v>
      </c>
      <c r="U841" s="21">
        <f t="shared" si="720"/>
        <v>0</v>
      </c>
      <c r="V841" s="21">
        <f t="shared" si="720"/>
        <v>0</v>
      </c>
      <c r="W841" s="563"/>
      <c r="X841" s="563"/>
      <c r="Y841" s="563"/>
      <c r="Z841" s="563"/>
      <c r="AA841" s="563"/>
      <c r="AB841" s="563"/>
      <c r="AC841" s="563"/>
      <c r="AD841" s="563"/>
      <c r="AE841" s="563"/>
    </row>
    <row r="842" spans="2:31" x14ac:dyDescent="0.2">
      <c r="B842" s="24"/>
      <c r="C842" s="5" t="str">
        <f>CAPEX!C20</f>
        <v>Electrical</v>
      </c>
      <c r="D842" s="20"/>
      <c r="E842" s="269">
        <f>CAPEX!M20/1000000</f>
        <v>38.81864724825396</v>
      </c>
      <c r="F842" s="1" t="s">
        <v>55</v>
      </c>
      <c r="G842" s="21">
        <f t="shared" si="721"/>
        <v>38.81864724825396</v>
      </c>
      <c r="I842" s="21">
        <f t="shared" si="720"/>
        <v>0</v>
      </c>
      <c r="J842" s="21">
        <f t="shared" si="720"/>
        <v>0</v>
      </c>
      <c r="K842" s="21">
        <f t="shared" si="720"/>
        <v>0</v>
      </c>
      <c r="L842" s="21">
        <f t="shared" si="720"/>
        <v>3.8818647248253964</v>
      </c>
      <c r="M842" s="21">
        <f t="shared" si="720"/>
        <v>4.852330906031745</v>
      </c>
      <c r="N842" s="21">
        <f t="shared" si="720"/>
        <v>5.8227970872380936</v>
      </c>
      <c r="O842" s="21">
        <f t="shared" si="720"/>
        <v>5.8227970872380936</v>
      </c>
      <c r="P842" s="21">
        <f t="shared" si="720"/>
        <v>5.8227970872380936</v>
      </c>
      <c r="Q842" s="21">
        <f t="shared" si="720"/>
        <v>5.8227970872380936</v>
      </c>
      <c r="R842" s="21">
        <f t="shared" si="720"/>
        <v>4.852330906031745</v>
      </c>
      <c r="S842" s="21">
        <f t="shared" si="720"/>
        <v>1.9409323624126982</v>
      </c>
      <c r="T842" s="21">
        <f t="shared" si="720"/>
        <v>0</v>
      </c>
      <c r="U842" s="21">
        <f t="shared" si="720"/>
        <v>0</v>
      </c>
      <c r="V842" s="21">
        <f t="shared" si="720"/>
        <v>0</v>
      </c>
      <c r="W842" s="563"/>
      <c r="X842" s="563"/>
      <c r="Y842" s="563"/>
      <c r="Z842" s="563"/>
      <c r="AA842" s="563"/>
      <c r="AB842" s="563"/>
      <c r="AC842" s="563"/>
      <c r="AD842" s="563"/>
      <c r="AE842" s="563"/>
    </row>
    <row r="843" spans="2:31" x14ac:dyDescent="0.2">
      <c r="B843" s="24"/>
      <c r="C843" s="5" t="str">
        <f>CAPEX!C21</f>
        <v>Automation</v>
      </c>
      <c r="D843" s="20"/>
      <c r="E843" s="269">
        <f>CAPEX!M21/1000000</f>
        <v>5.666666666666667</v>
      </c>
      <c r="F843" s="1" t="s">
        <v>55</v>
      </c>
      <c r="G843" s="21">
        <f t="shared" si="721"/>
        <v>5.6666666666666661</v>
      </c>
      <c r="I843" s="21">
        <f t="shared" si="720"/>
        <v>0</v>
      </c>
      <c r="J843" s="21">
        <f t="shared" si="720"/>
        <v>0</v>
      </c>
      <c r="K843" s="21">
        <f t="shared" si="720"/>
        <v>0</v>
      </c>
      <c r="L843" s="21">
        <f t="shared" si="720"/>
        <v>0.56666666666666676</v>
      </c>
      <c r="M843" s="21">
        <f t="shared" si="720"/>
        <v>0.70833333333333337</v>
      </c>
      <c r="N843" s="21">
        <f t="shared" si="720"/>
        <v>0.85</v>
      </c>
      <c r="O843" s="21">
        <f t="shared" si="720"/>
        <v>0.85</v>
      </c>
      <c r="P843" s="21">
        <f t="shared" si="720"/>
        <v>0.85</v>
      </c>
      <c r="Q843" s="21">
        <f t="shared" si="720"/>
        <v>0.85</v>
      </c>
      <c r="R843" s="21">
        <f t="shared" si="720"/>
        <v>0.70833333333333337</v>
      </c>
      <c r="S843" s="21">
        <f t="shared" si="720"/>
        <v>0.28333333333333338</v>
      </c>
      <c r="T843" s="21">
        <f t="shared" si="720"/>
        <v>0</v>
      </c>
      <c r="U843" s="21">
        <f t="shared" si="720"/>
        <v>0</v>
      </c>
      <c r="V843" s="21">
        <f t="shared" si="720"/>
        <v>0</v>
      </c>
      <c r="W843" s="563"/>
      <c r="X843" s="563"/>
      <c r="Y843" s="563"/>
      <c r="Z843" s="563"/>
      <c r="AA843" s="563"/>
      <c r="AB843" s="563"/>
      <c r="AC843" s="563"/>
      <c r="AD843" s="563"/>
      <c r="AE843" s="563"/>
    </row>
    <row r="844" spans="2:31" x14ac:dyDescent="0.2">
      <c r="B844" s="24"/>
      <c r="C844" s="5" t="s">
        <v>694</v>
      </c>
      <c r="D844" s="20"/>
      <c r="E844" s="269">
        <f>CAPEX!M24/1000000</f>
        <v>3.9203669325562736</v>
      </c>
      <c r="F844" s="1" t="s">
        <v>55</v>
      </c>
      <c r="G844" s="21">
        <f t="shared" si="721"/>
        <v>3.9203669325562736</v>
      </c>
      <c r="I844" s="21">
        <f t="shared" si="720"/>
        <v>0</v>
      </c>
      <c r="J844" s="21">
        <f t="shared" si="720"/>
        <v>0</v>
      </c>
      <c r="K844" s="21">
        <f t="shared" si="720"/>
        <v>0</v>
      </c>
      <c r="L844" s="21">
        <f t="shared" si="720"/>
        <v>0.3920366932556274</v>
      </c>
      <c r="M844" s="21">
        <f t="shared" si="720"/>
        <v>0.49004586656953419</v>
      </c>
      <c r="N844" s="21">
        <f t="shared" si="720"/>
        <v>0.58805503988344099</v>
      </c>
      <c r="O844" s="21">
        <f t="shared" si="720"/>
        <v>0.58805503988344099</v>
      </c>
      <c r="P844" s="21">
        <f t="shared" si="720"/>
        <v>0.58805503988344099</v>
      </c>
      <c r="Q844" s="21">
        <f t="shared" si="720"/>
        <v>0.58805503988344099</v>
      </c>
      <c r="R844" s="21">
        <f t="shared" si="720"/>
        <v>0.49004586656953419</v>
      </c>
      <c r="S844" s="21">
        <f t="shared" si="720"/>
        <v>0.1960183466278137</v>
      </c>
      <c r="T844" s="21">
        <f t="shared" si="720"/>
        <v>0</v>
      </c>
      <c r="U844" s="21">
        <f t="shared" si="720"/>
        <v>0</v>
      </c>
      <c r="V844" s="21">
        <f t="shared" si="720"/>
        <v>0</v>
      </c>
      <c r="W844" s="563"/>
      <c r="X844" s="563"/>
      <c r="Y844" s="563"/>
      <c r="Z844" s="563"/>
      <c r="AA844" s="563"/>
      <c r="AB844" s="563"/>
      <c r="AC844" s="563"/>
      <c r="AD844" s="563"/>
      <c r="AE844" s="563"/>
    </row>
    <row r="845" spans="2:31" x14ac:dyDescent="0.2">
      <c r="B845" s="24"/>
      <c r="C845" s="20" t="s">
        <v>626</v>
      </c>
      <c r="D845" s="20"/>
      <c r="E845" s="270">
        <f>SUM(E833:E844)</f>
        <v>389.83576996254152</v>
      </c>
      <c r="F845" s="9" t="s">
        <v>55</v>
      </c>
      <c r="G845" s="44">
        <f t="shared" si="721"/>
        <v>389.83576996254158</v>
      </c>
      <c r="I845" s="44">
        <f>SUM(I833:I844)</f>
        <v>0</v>
      </c>
      <c r="J845" s="44">
        <f t="shared" ref="J845:V845" si="722">SUM(J833:J844)</f>
        <v>0</v>
      </c>
      <c r="K845" s="44">
        <f t="shared" si="722"/>
        <v>0</v>
      </c>
      <c r="L845" s="44">
        <f t="shared" si="722"/>
        <v>38.983576996254158</v>
      </c>
      <c r="M845" s="44">
        <f t="shared" si="722"/>
        <v>48.72947124531769</v>
      </c>
      <c r="N845" s="44">
        <f t="shared" si="722"/>
        <v>58.475365494381236</v>
      </c>
      <c r="O845" s="44">
        <f t="shared" si="722"/>
        <v>58.475365494381236</v>
      </c>
      <c r="P845" s="44">
        <f t="shared" si="722"/>
        <v>58.475365494381236</v>
      </c>
      <c r="Q845" s="44">
        <f t="shared" si="722"/>
        <v>58.475365494381236</v>
      </c>
      <c r="R845" s="44">
        <f t="shared" si="722"/>
        <v>48.72947124531769</v>
      </c>
      <c r="S845" s="44">
        <f t="shared" si="722"/>
        <v>19.491788498127079</v>
      </c>
      <c r="T845" s="44">
        <f t="shared" si="722"/>
        <v>0</v>
      </c>
      <c r="U845" s="44">
        <f t="shared" si="722"/>
        <v>0</v>
      </c>
      <c r="V845" s="44">
        <f t="shared" si="722"/>
        <v>0</v>
      </c>
      <c r="W845" s="580"/>
      <c r="X845" s="580"/>
      <c r="Y845" s="580"/>
      <c r="Z845" s="580"/>
      <c r="AA845" s="580"/>
      <c r="AB845" s="580"/>
      <c r="AC845" s="580"/>
      <c r="AD845" s="580"/>
      <c r="AE845" s="580"/>
    </row>
    <row r="846" spans="2:31" x14ac:dyDescent="0.2">
      <c r="B846" s="24"/>
      <c r="C846" s="20"/>
      <c r="D846" s="20"/>
    </row>
    <row r="847" spans="2:31" x14ac:dyDescent="0.2">
      <c r="B847" s="24"/>
      <c r="C847" s="20"/>
      <c r="D847" s="20"/>
    </row>
    <row r="848" spans="2:31" x14ac:dyDescent="0.2">
      <c r="B848" s="24"/>
      <c r="C848" s="20" t="s">
        <v>627</v>
      </c>
      <c r="D848" s="20"/>
    </row>
    <row r="849" spans="2:31" x14ac:dyDescent="0.2">
      <c r="B849" s="24"/>
      <c r="C849" s="5" t="str">
        <f>CAPEX!C26</f>
        <v>Construction Field Indirects</v>
      </c>
      <c r="D849" s="20"/>
      <c r="E849" s="269">
        <f>CAPEX!M26/1000000</f>
        <v>11.577462090899559</v>
      </c>
      <c r="F849" s="1" t="s">
        <v>55</v>
      </c>
      <c r="G849" s="21">
        <f t="shared" ref="G849:G863" si="723">SUM(I849:AE849)</f>
        <v>11.57746209089956</v>
      </c>
      <c r="I849" s="21">
        <f t="shared" ref="I849:V858" si="724">$E849*I$830</f>
        <v>0</v>
      </c>
      <c r="J849" s="21">
        <f t="shared" si="724"/>
        <v>0</v>
      </c>
      <c r="K849" s="21">
        <f t="shared" si="724"/>
        <v>0</v>
      </c>
      <c r="L849" s="21">
        <f t="shared" si="724"/>
        <v>1.157746209089956</v>
      </c>
      <c r="M849" s="21">
        <f t="shared" si="724"/>
        <v>1.4471827613624448</v>
      </c>
      <c r="N849" s="21">
        <f t="shared" si="724"/>
        <v>1.7366193136349337</v>
      </c>
      <c r="O849" s="21">
        <f t="shared" si="724"/>
        <v>1.7366193136349337</v>
      </c>
      <c r="P849" s="21">
        <f t="shared" si="724"/>
        <v>1.7366193136349337</v>
      </c>
      <c r="Q849" s="21">
        <f t="shared" si="724"/>
        <v>1.7366193136349337</v>
      </c>
      <c r="R849" s="21">
        <f t="shared" si="724"/>
        <v>1.4471827613624448</v>
      </c>
      <c r="S849" s="21">
        <f t="shared" si="724"/>
        <v>0.57887310454497798</v>
      </c>
      <c r="T849" s="21">
        <f t="shared" si="724"/>
        <v>0</v>
      </c>
      <c r="U849" s="21">
        <f t="shared" si="724"/>
        <v>0</v>
      </c>
      <c r="V849" s="21">
        <f t="shared" si="724"/>
        <v>0</v>
      </c>
      <c r="W849" s="563"/>
      <c r="X849" s="563"/>
      <c r="Y849" s="563"/>
      <c r="Z849" s="563"/>
      <c r="AA849" s="563"/>
      <c r="AB849" s="563"/>
      <c r="AC849" s="563"/>
      <c r="AD849" s="563"/>
      <c r="AE849" s="563"/>
    </row>
    <row r="850" spans="2:31" x14ac:dyDescent="0.2">
      <c r="B850" s="24"/>
      <c r="C850" s="5" t="str">
        <f>CAPEX!C27</f>
        <v>warranty management- 1 person 1 year @ $150/hour</v>
      </c>
      <c r="D850" s="20"/>
      <c r="E850" s="269">
        <f>CAPEX!M27/1000000</f>
        <v>0</v>
      </c>
      <c r="F850" s="1" t="s">
        <v>55</v>
      </c>
      <c r="G850" s="21">
        <f t="shared" si="723"/>
        <v>0</v>
      </c>
      <c r="I850" s="21">
        <f t="shared" si="724"/>
        <v>0</v>
      </c>
      <c r="J850" s="21">
        <f t="shared" si="724"/>
        <v>0</v>
      </c>
      <c r="K850" s="21">
        <f t="shared" si="724"/>
        <v>0</v>
      </c>
      <c r="L850" s="21">
        <f t="shared" si="724"/>
        <v>0</v>
      </c>
      <c r="M850" s="21">
        <f t="shared" si="724"/>
        <v>0</v>
      </c>
      <c r="N850" s="21">
        <f t="shared" si="724"/>
        <v>0</v>
      </c>
      <c r="O850" s="21">
        <f t="shared" si="724"/>
        <v>0</v>
      </c>
      <c r="P850" s="21">
        <f t="shared" si="724"/>
        <v>0</v>
      </c>
      <c r="Q850" s="21">
        <f t="shared" si="724"/>
        <v>0</v>
      </c>
      <c r="R850" s="21">
        <f t="shared" si="724"/>
        <v>0</v>
      </c>
      <c r="S850" s="21">
        <f t="shared" si="724"/>
        <v>0</v>
      </c>
      <c r="T850" s="21">
        <f t="shared" si="724"/>
        <v>0</v>
      </c>
      <c r="U850" s="21">
        <f t="shared" si="724"/>
        <v>0</v>
      </c>
      <c r="V850" s="21">
        <f t="shared" si="724"/>
        <v>0</v>
      </c>
      <c r="W850" s="563"/>
      <c r="X850" s="563"/>
      <c r="Y850" s="563"/>
      <c r="Z850" s="563"/>
      <c r="AA850" s="563"/>
      <c r="AB850" s="563"/>
      <c r="AC850" s="563"/>
      <c r="AD850" s="563"/>
      <c r="AE850" s="563"/>
    </row>
    <row r="851" spans="2:31" x14ac:dyDescent="0.2">
      <c r="B851" s="24"/>
      <c r="C851" s="5" t="str">
        <f>CAPEX!C28</f>
        <v>Heavy Lift &amp; Heavy Haul from Port</v>
      </c>
      <c r="D851" s="20"/>
      <c r="E851" s="269">
        <f>CAPEX!M28/1000000</f>
        <v>3.2597873015873016</v>
      </c>
      <c r="F851" s="1" t="s">
        <v>55</v>
      </c>
      <c r="G851" s="21">
        <f t="shared" si="723"/>
        <v>3.2597873015873011</v>
      </c>
      <c r="I851" s="21">
        <f t="shared" si="724"/>
        <v>0</v>
      </c>
      <c r="J851" s="21">
        <f t="shared" si="724"/>
        <v>0</v>
      </c>
      <c r="K851" s="21">
        <f t="shared" si="724"/>
        <v>0</v>
      </c>
      <c r="L851" s="21">
        <f t="shared" si="724"/>
        <v>0.32597873015873019</v>
      </c>
      <c r="M851" s="21">
        <f t="shared" si="724"/>
        <v>0.4074734126984127</v>
      </c>
      <c r="N851" s="21">
        <f t="shared" si="724"/>
        <v>0.4889680952380952</v>
      </c>
      <c r="O851" s="21">
        <f t="shared" si="724"/>
        <v>0.4889680952380952</v>
      </c>
      <c r="P851" s="21">
        <f t="shared" si="724"/>
        <v>0.4889680952380952</v>
      </c>
      <c r="Q851" s="21">
        <f t="shared" si="724"/>
        <v>0.4889680952380952</v>
      </c>
      <c r="R851" s="21">
        <f t="shared" si="724"/>
        <v>0.4074734126984127</v>
      </c>
      <c r="S851" s="21">
        <f t="shared" si="724"/>
        <v>0.16298936507936509</v>
      </c>
      <c r="T851" s="21">
        <f t="shared" si="724"/>
        <v>0</v>
      </c>
      <c r="U851" s="21">
        <f t="shared" si="724"/>
        <v>0</v>
      </c>
      <c r="V851" s="21">
        <f t="shared" si="724"/>
        <v>0</v>
      </c>
      <c r="W851" s="563"/>
      <c r="X851" s="563"/>
      <c r="Y851" s="563"/>
      <c r="Z851" s="563"/>
      <c r="AA851" s="563"/>
      <c r="AB851" s="563"/>
      <c r="AC851" s="563"/>
      <c r="AD851" s="563"/>
      <c r="AE851" s="563"/>
    </row>
    <row r="852" spans="2:31" x14ac:dyDescent="0.2">
      <c r="B852" s="24"/>
      <c r="C852" s="5" t="str">
        <f>CAPEX!C29</f>
        <v>Engineering, Procurement &amp; Construction Management</v>
      </c>
      <c r="D852" s="20"/>
      <c r="E852" s="269">
        <f>CAPEX!M29/1000000</f>
        <v>30.873232242398824</v>
      </c>
      <c r="F852" s="1" t="s">
        <v>55</v>
      </c>
      <c r="G852" s="21">
        <f t="shared" si="723"/>
        <v>30.873232242398817</v>
      </c>
      <c r="I852" s="21">
        <f t="shared" si="724"/>
        <v>0</v>
      </c>
      <c r="J852" s="21">
        <f t="shared" si="724"/>
        <v>0</v>
      </c>
      <c r="K852" s="21">
        <f t="shared" si="724"/>
        <v>0</v>
      </c>
      <c r="L852" s="21">
        <f t="shared" si="724"/>
        <v>3.0873232242398827</v>
      </c>
      <c r="M852" s="21">
        <f t="shared" si="724"/>
        <v>3.859154030299853</v>
      </c>
      <c r="N852" s="21">
        <f t="shared" si="724"/>
        <v>4.6309848363598238</v>
      </c>
      <c r="O852" s="21">
        <f t="shared" si="724"/>
        <v>4.6309848363598238</v>
      </c>
      <c r="P852" s="21">
        <f t="shared" si="724"/>
        <v>4.6309848363598238</v>
      </c>
      <c r="Q852" s="21">
        <f t="shared" si="724"/>
        <v>4.6309848363598238</v>
      </c>
      <c r="R852" s="21">
        <f t="shared" si="724"/>
        <v>3.859154030299853</v>
      </c>
      <c r="S852" s="21">
        <f t="shared" si="724"/>
        <v>1.5436616121199414</v>
      </c>
      <c r="T852" s="21">
        <f t="shared" si="724"/>
        <v>0</v>
      </c>
      <c r="U852" s="21">
        <f t="shared" si="724"/>
        <v>0</v>
      </c>
      <c r="V852" s="21">
        <f t="shared" si="724"/>
        <v>0</v>
      </c>
      <c r="W852" s="563"/>
      <c r="X852" s="563"/>
      <c r="Y852" s="563"/>
      <c r="Z852" s="563"/>
      <c r="AA852" s="563"/>
      <c r="AB852" s="563"/>
      <c r="AC852" s="563"/>
      <c r="AD852" s="563"/>
      <c r="AE852" s="563"/>
    </row>
    <row r="853" spans="2:31" x14ac:dyDescent="0.2">
      <c r="B853" s="24"/>
      <c r="C853" s="5" t="str">
        <f>CAPEX!C30</f>
        <v>Norda Stelo Engineering &amp; Construction Management</v>
      </c>
      <c r="D853" s="20"/>
      <c r="E853" s="269">
        <f>CAPEX!M30/1000000</f>
        <v>0</v>
      </c>
      <c r="F853" s="1" t="s">
        <v>55</v>
      </c>
      <c r="G853" s="21">
        <f t="shared" si="723"/>
        <v>0</v>
      </c>
      <c r="I853" s="21">
        <f t="shared" si="724"/>
        <v>0</v>
      </c>
      <c r="J853" s="21">
        <f t="shared" si="724"/>
        <v>0</v>
      </c>
      <c r="K853" s="21">
        <f t="shared" si="724"/>
        <v>0</v>
      </c>
      <c r="L853" s="21">
        <f t="shared" si="724"/>
        <v>0</v>
      </c>
      <c r="M853" s="21">
        <f t="shared" si="724"/>
        <v>0</v>
      </c>
      <c r="N853" s="21">
        <f t="shared" si="724"/>
        <v>0</v>
      </c>
      <c r="O853" s="21">
        <f t="shared" si="724"/>
        <v>0</v>
      </c>
      <c r="P853" s="21">
        <f t="shared" si="724"/>
        <v>0</v>
      </c>
      <c r="Q853" s="21">
        <f t="shared" si="724"/>
        <v>0</v>
      </c>
      <c r="R853" s="21">
        <f t="shared" si="724"/>
        <v>0</v>
      </c>
      <c r="S853" s="21">
        <f t="shared" si="724"/>
        <v>0</v>
      </c>
      <c r="T853" s="21">
        <f t="shared" si="724"/>
        <v>0</v>
      </c>
      <c r="U853" s="21">
        <f t="shared" si="724"/>
        <v>0</v>
      </c>
      <c r="V853" s="21">
        <f t="shared" si="724"/>
        <v>0</v>
      </c>
      <c r="W853" s="563"/>
      <c r="X853" s="563"/>
      <c r="Y853" s="563"/>
      <c r="Z853" s="563"/>
      <c r="AA853" s="563"/>
      <c r="AB853" s="563"/>
      <c r="AC853" s="563"/>
      <c r="AD853" s="563"/>
      <c r="AE853" s="563"/>
    </row>
    <row r="854" spans="2:31" x14ac:dyDescent="0.2">
      <c r="B854" s="24"/>
      <c r="C854" s="5" t="str">
        <f>CAPEX!C31</f>
        <v>Geotechnical Survey</v>
      </c>
      <c r="D854" s="20"/>
      <c r="E854" s="269">
        <f>CAPEX!M31/1000000</f>
        <v>0</v>
      </c>
      <c r="F854" s="1" t="s">
        <v>55</v>
      </c>
      <c r="G854" s="21">
        <f t="shared" si="723"/>
        <v>0</v>
      </c>
      <c r="I854" s="21">
        <f t="shared" si="724"/>
        <v>0</v>
      </c>
      <c r="J854" s="21">
        <f t="shared" si="724"/>
        <v>0</v>
      </c>
      <c r="K854" s="21">
        <f t="shared" si="724"/>
        <v>0</v>
      </c>
      <c r="L854" s="21">
        <f t="shared" si="724"/>
        <v>0</v>
      </c>
      <c r="M854" s="21">
        <f t="shared" si="724"/>
        <v>0</v>
      </c>
      <c r="N854" s="21">
        <f t="shared" si="724"/>
        <v>0</v>
      </c>
      <c r="O854" s="21">
        <f t="shared" si="724"/>
        <v>0</v>
      </c>
      <c r="P854" s="21">
        <f t="shared" si="724"/>
        <v>0</v>
      </c>
      <c r="Q854" s="21">
        <f t="shared" si="724"/>
        <v>0</v>
      </c>
      <c r="R854" s="21">
        <f t="shared" si="724"/>
        <v>0</v>
      </c>
      <c r="S854" s="21">
        <f t="shared" si="724"/>
        <v>0</v>
      </c>
      <c r="T854" s="21">
        <f t="shared" si="724"/>
        <v>0</v>
      </c>
      <c r="U854" s="21">
        <f t="shared" si="724"/>
        <v>0</v>
      </c>
      <c r="V854" s="21">
        <f t="shared" si="724"/>
        <v>0</v>
      </c>
      <c r="W854" s="563"/>
      <c r="X854" s="563"/>
      <c r="Y854" s="563"/>
      <c r="Z854" s="563"/>
      <c r="AA854" s="563"/>
      <c r="AB854" s="563"/>
      <c r="AC854" s="563"/>
      <c r="AD854" s="563"/>
      <c r="AE854" s="563"/>
    </row>
    <row r="855" spans="2:31" x14ac:dyDescent="0.2">
      <c r="B855" s="24"/>
      <c r="C855" s="5" t="str">
        <f>CAPEX!C32</f>
        <v>Survey subcontract</v>
      </c>
      <c r="D855" s="20"/>
      <c r="E855" s="269">
        <f>CAPEX!M32/1000000</f>
        <v>0</v>
      </c>
      <c r="F855" s="1" t="s">
        <v>55</v>
      </c>
      <c r="G855" s="21">
        <f t="shared" si="723"/>
        <v>0</v>
      </c>
      <c r="I855" s="21">
        <f t="shared" si="724"/>
        <v>0</v>
      </c>
      <c r="J855" s="21">
        <f t="shared" si="724"/>
        <v>0</v>
      </c>
      <c r="K855" s="21">
        <f t="shared" si="724"/>
        <v>0</v>
      </c>
      <c r="L855" s="21">
        <f t="shared" si="724"/>
        <v>0</v>
      </c>
      <c r="M855" s="21">
        <f t="shared" si="724"/>
        <v>0</v>
      </c>
      <c r="N855" s="21">
        <f t="shared" si="724"/>
        <v>0</v>
      </c>
      <c r="O855" s="21">
        <f t="shared" si="724"/>
        <v>0</v>
      </c>
      <c r="P855" s="21">
        <f t="shared" si="724"/>
        <v>0</v>
      </c>
      <c r="Q855" s="21">
        <f t="shared" si="724"/>
        <v>0</v>
      </c>
      <c r="R855" s="21">
        <f t="shared" si="724"/>
        <v>0</v>
      </c>
      <c r="S855" s="21">
        <f t="shared" si="724"/>
        <v>0</v>
      </c>
      <c r="T855" s="21">
        <f t="shared" si="724"/>
        <v>0</v>
      </c>
      <c r="U855" s="21">
        <f t="shared" si="724"/>
        <v>0</v>
      </c>
      <c r="V855" s="21">
        <f t="shared" si="724"/>
        <v>0</v>
      </c>
      <c r="W855" s="563"/>
      <c r="X855" s="563"/>
      <c r="Y855" s="563"/>
      <c r="Z855" s="563"/>
      <c r="AA855" s="563"/>
      <c r="AB855" s="563"/>
      <c r="AC855" s="563"/>
      <c r="AD855" s="563"/>
      <c r="AE855" s="563"/>
    </row>
    <row r="856" spans="2:31" x14ac:dyDescent="0.2">
      <c r="B856" s="24"/>
      <c r="C856" s="5" t="str">
        <f>CAPEX!C33</f>
        <v>External Laboratory Testing</v>
      </c>
      <c r="D856" s="20"/>
      <c r="E856" s="269">
        <f>CAPEX!M33/1000000</f>
        <v>0</v>
      </c>
      <c r="F856" s="1" t="s">
        <v>55</v>
      </c>
      <c r="G856" s="21">
        <f t="shared" si="723"/>
        <v>0</v>
      </c>
      <c r="I856" s="21">
        <f t="shared" si="724"/>
        <v>0</v>
      </c>
      <c r="J856" s="21">
        <f t="shared" si="724"/>
        <v>0</v>
      </c>
      <c r="K856" s="21">
        <f t="shared" si="724"/>
        <v>0</v>
      </c>
      <c r="L856" s="21">
        <f t="shared" si="724"/>
        <v>0</v>
      </c>
      <c r="M856" s="21">
        <f t="shared" si="724"/>
        <v>0</v>
      </c>
      <c r="N856" s="21">
        <f t="shared" si="724"/>
        <v>0</v>
      </c>
      <c r="O856" s="21">
        <f t="shared" si="724"/>
        <v>0</v>
      </c>
      <c r="P856" s="21">
        <f t="shared" si="724"/>
        <v>0</v>
      </c>
      <c r="Q856" s="21">
        <f t="shared" si="724"/>
        <v>0</v>
      </c>
      <c r="R856" s="21">
        <f t="shared" si="724"/>
        <v>0</v>
      </c>
      <c r="S856" s="21">
        <f t="shared" si="724"/>
        <v>0</v>
      </c>
      <c r="T856" s="21">
        <f t="shared" si="724"/>
        <v>0</v>
      </c>
      <c r="U856" s="21">
        <f t="shared" si="724"/>
        <v>0</v>
      </c>
      <c r="V856" s="21">
        <f t="shared" si="724"/>
        <v>0</v>
      </c>
      <c r="W856" s="563"/>
      <c r="X856" s="563"/>
      <c r="Y856" s="563"/>
      <c r="Z856" s="563"/>
      <c r="AA856" s="563"/>
      <c r="AB856" s="563"/>
      <c r="AC856" s="563"/>
      <c r="AD856" s="563"/>
      <c r="AE856" s="563"/>
    </row>
    <row r="857" spans="2:31" x14ac:dyDescent="0.2">
      <c r="B857" s="24"/>
      <c r="C857" s="5" t="str">
        <f>CAPEX!C34</f>
        <v>Freight</v>
      </c>
      <c r="D857" s="20"/>
      <c r="E857" s="269">
        <f>CAPEX!M34/1000000</f>
        <v>0.86766031746031735</v>
      </c>
      <c r="F857" s="1" t="s">
        <v>55</v>
      </c>
      <c r="G857" s="21">
        <f t="shared" si="723"/>
        <v>0.86766031746031747</v>
      </c>
      <c r="I857" s="21">
        <f t="shared" si="724"/>
        <v>0</v>
      </c>
      <c r="J857" s="21">
        <f t="shared" si="724"/>
        <v>0</v>
      </c>
      <c r="K857" s="21">
        <f t="shared" si="724"/>
        <v>0</v>
      </c>
      <c r="L857" s="21">
        <f t="shared" si="724"/>
        <v>8.6766031746031744E-2</v>
      </c>
      <c r="M857" s="21">
        <f t="shared" si="724"/>
        <v>0.10845753968253967</v>
      </c>
      <c r="N857" s="21">
        <f t="shared" si="724"/>
        <v>0.13014904761904761</v>
      </c>
      <c r="O857" s="21">
        <f t="shared" si="724"/>
        <v>0.13014904761904761</v>
      </c>
      <c r="P857" s="21">
        <f t="shared" si="724"/>
        <v>0.13014904761904761</v>
      </c>
      <c r="Q857" s="21">
        <f t="shared" si="724"/>
        <v>0.13014904761904761</v>
      </c>
      <c r="R857" s="21">
        <f t="shared" si="724"/>
        <v>0.10845753968253967</v>
      </c>
      <c r="S857" s="21">
        <f t="shared" si="724"/>
        <v>4.3383015873015872E-2</v>
      </c>
      <c r="T857" s="21">
        <f t="shared" si="724"/>
        <v>0</v>
      </c>
      <c r="U857" s="21">
        <f t="shared" si="724"/>
        <v>0</v>
      </c>
      <c r="V857" s="21">
        <f t="shared" si="724"/>
        <v>0</v>
      </c>
      <c r="W857" s="563"/>
      <c r="X857" s="563"/>
      <c r="Y857" s="563"/>
      <c r="Z857" s="563"/>
      <c r="AA857" s="563"/>
      <c r="AB857" s="563"/>
      <c r="AC857" s="563"/>
      <c r="AD857" s="563"/>
      <c r="AE857" s="563"/>
    </row>
    <row r="858" spans="2:31" x14ac:dyDescent="0.2">
      <c r="B858" s="24"/>
      <c r="C858" s="5" t="str">
        <f>CAPEX!C35</f>
        <v>Freight's Insurance</v>
      </c>
      <c r="D858" s="20"/>
      <c r="E858" s="269">
        <f>CAPEX!M35/1000000</f>
        <v>0</v>
      </c>
      <c r="F858" s="1" t="s">
        <v>55</v>
      </c>
      <c r="G858" s="21">
        <f t="shared" si="723"/>
        <v>0</v>
      </c>
      <c r="I858" s="21">
        <f t="shared" si="724"/>
        <v>0</v>
      </c>
      <c r="J858" s="21">
        <f t="shared" si="724"/>
        <v>0</v>
      </c>
      <c r="K858" s="21">
        <f t="shared" si="724"/>
        <v>0</v>
      </c>
      <c r="L858" s="21">
        <f t="shared" si="724"/>
        <v>0</v>
      </c>
      <c r="M858" s="21">
        <f t="shared" si="724"/>
        <v>0</v>
      </c>
      <c r="N858" s="21">
        <f t="shared" si="724"/>
        <v>0</v>
      </c>
      <c r="O858" s="21">
        <f t="shared" si="724"/>
        <v>0</v>
      </c>
      <c r="P858" s="21">
        <f t="shared" si="724"/>
        <v>0</v>
      </c>
      <c r="Q858" s="21">
        <f t="shared" si="724"/>
        <v>0</v>
      </c>
      <c r="R858" s="21">
        <f t="shared" si="724"/>
        <v>0</v>
      </c>
      <c r="S858" s="21">
        <f t="shared" si="724"/>
        <v>0</v>
      </c>
      <c r="T858" s="21">
        <f t="shared" si="724"/>
        <v>0</v>
      </c>
      <c r="U858" s="21">
        <f t="shared" si="724"/>
        <v>0</v>
      </c>
      <c r="V858" s="21">
        <f t="shared" si="724"/>
        <v>0</v>
      </c>
      <c r="W858" s="563"/>
      <c r="X858" s="563"/>
      <c r="Y858" s="563"/>
      <c r="Z858" s="563"/>
      <c r="AA858" s="563"/>
      <c r="AB858" s="563"/>
      <c r="AC858" s="563"/>
      <c r="AD858" s="563"/>
      <c r="AE858" s="563"/>
    </row>
    <row r="859" spans="2:31" x14ac:dyDescent="0.2">
      <c r="B859" s="24"/>
      <c r="C859" s="5" t="str">
        <f>CAPEX!C36</f>
        <v>Vendor's Representative</v>
      </c>
      <c r="D859" s="20"/>
      <c r="E859" s="269">
        <f>CAPEX!M36/1000000</f>
        <v>0.24790317460317463</v>
      </c>
      <c r="F859" s="1" t="s">
        <v>55</v>
      </c>
      <c r="G859" s="21">
        <f t="shared" si="723"/>
        <v>0.2479031746031746</v>
      </c>
      <c r="I859" s="21">
        <f t="shared" ref="I859:V864" si="725">$E859*I$830</f>
        <v>0</v>
      </c>
      <c r="J859" s="21">
        <f t="shared" si="725"/>
        <v>0</v>
      </c>
      <c r="K859" s="21">
        <f t="shared" si="725"/>
        <v>0</v>
      </c>
      <c r="L859" s="21">
        <f t="shared" si="725"/>
        <v>2.4790317460317464E-2</v>
      </c>
      <c r="M859" s="21">
        <f t="shared" si="725"/>
        <v>3.0987896825396828E-2</v>
      </c>
      <c r="N859" s="21">
        <f t="shared" si="725"/>
        <v>3.7185476190476192E-2</v>
      </c>
      <c r="O859" s="21">
        <f t="shared" si="725"/>
        <v>3.7185476190476192E-2</v>
      </c>
      <c r="P859" s="21">
        <f t="shared" si="725"/>
        <v>3.7185476190476192E-2</v>
      </c>
      <c r="Q859" s="21">
        <f t="shared" si="725"/>
        <v>3.7185476190476192E-2</v>
      </c>
      <c r="R859" s="21">
        <f t="shared" si="725"/>
        <v>3.0987896825396828E-2</v>
      </c>
      <c r="S859" s="21">
        <f t="shared" si="725"/>
        <v>1.2395158730158732E-2</v>
      </c>
      <c r="T859" s="21">
        <f t="shared" si="725"/>
        <v>0</v>
      </c>
      <c r="U859" s="21">
        <f t="shared" si="725"/>
        <v>0</v>
      </c>
      <c r="V859" s="21">
        <f t="shared" si="725"/>
        <v>0</v>
      </c>
      <c r="W859" s="563"/>
      <c r="X859" s="563"/>
      <c r="Y859" s="563"/>
      <c r="Z859" s="563"/>
      <c r="AA859" s="563"/>
      <c r="AB859" s="563"/>
      <c r="AC859" s="563"/>
      <c r="AD859" s="563"/>
      <c r="AE859" s="563"/>
    </row>
    <row r="860" spans="2:31" x14ac:dyDescent="0.2">
      <c r="B860" s="24"/>
      <c r="C860" s="5" t="str">
        <f>CAPEX!C37</f>
        <v>Initial First Fills and Oils</v>
      </c>
      <c r="D860" s="20"/>
      <c r="E860" s="269">
        <f>CAPEX!M37/1000000</f>
        <v>0</v>
      </c>
      <c r="F860" s="1" t="s">
        <v>55</v>
      </c>
      <c r="G860" s="21">
        <f t="shared" si="723"/>
        <v>0</v>
      </c>
      <c r="I860" s="21">
        <f t="shared" si="725"/>
        <v>0</v>
      </c>
      <c r="J860" s="21">
        <f t="shared" si="725"/>
        <v>0</v>
      </c>
      <c r="K860" s="21">
        <f t="shared" si="725"/>
        <v>0</v>
      </c>
      <c r="L860" s="21">
        <f t="shared" si="725"/>
        <v>0</v>
      </c>
      <c r="M860" s="21">
        <f t="shared" si="725"/>
        <v>0</v>
      </c>
      <c r="N860" s="21">
        <f t="shared" si="725"/>
        <v>0</v>
      </c>
      <c r="O860" s="21">
        <f t="shared" si="725"/>
        <v>0</v>
      </c>
      <c r="P860" s="21">
        <f t="shared" si="725"/>
        <v>0</v>
      </c>
      <c r="Q860" s="21">
        <f t="shared" si="725"/>
        <v>0</v>
      </c>
      <c r="R860" s="21">
        <f t="shared" si="725"/>
        <v>0</v>
      </c>
      <c r="S860" s="21">
        <f t="shared" si="725"/>
        <v>0</v>
      </c>
      <c r="T860" s="21">
        <f t="shared" si="725"/>
        <v>0</v>
      </c>
      <c r="U860" s="21">
        <f t="shared" si="725"/>
        <v>0</v>
      </c>
      <c r="V860" s="21">
        <f t="shared" si="725"/>
        <v>0</v>
      </c>
      <c r="W860" s="563"/>
      <c r="X860" s="563"/>
      <c r="Y860" s="563"/>
      <c r="Z860" s="563"/>
      <c r="AA860" s="563"/>
      <c r="AB860" s="563"/>
      <c r="AC860" s="563"/>
      <c r="AD860" s="563"/>
      <c r="AE860" s="563"/>
    </row>
    <row r="861" spans="2:31" x14ac:dyDescent="0.2">
      <c r="B861" s="24"/>
      <c r="C861" s="5" t="str">
        <f>CAPEX!C38</f>
        <v>Commissionning Spares</v>
      </c>
      <c r="D861" s="20"/>
      <c r="E861" s="269">
        <f>CAPEX!M38/1000000</f>
        <v>6.1975396825396829E-2</v>
      </c>
      <c r="F861" s="1" t="s">
        <v>55</v>
      </c>
      <c r="G861" s="21">
        <f t="shared" si="723"/>
        <v>6.1975396825396829E-2</v>
      </c>
      <c r="I861" s="21">
        <f t="shared" si="725"/>
        <v>0</v>
      </c>
      <c r="J861" s="21">
        <f t="shared" si="725"/>
        <v>0</v>
      </c>
      <c r="K861" s="21">
        <f t="shared" si="725"/>
        <v>0</v>
      </c>
      <c r="L861" s="21">
        <f t="shared" si="725"/>
        <v>6.1975396825396829E-3</v>
      </c>
      <c r="M861" s="21">
        <f t="shared" si="725"/>
        <v>7.7469246031746037E-3</v>
      </c>
      <c r="N861" s="21">
        <f t="shared" si="725"/>
        <v>9.2963095238095244E-3</v>
      </c>
      <c r="O861" s="21">
        <f t="shared" si="725"/>
        <v>9.2963095238095244E-3</v>
      </c>
      <c r="P861" s="21">
        <f t="shared" si="725"/>
        <v>9.2963095238095244E-3</v>
      </c>
      <c r="Q861" s="21">
        <f t="shared" si="725"/>
        <v>9.2963095238095244E-3</v>
      </c>
      <c r="R861" s="21">
        <f t="shared" si="725"/>
        <v>7.7469246031746037E-3</v>
      </c>
      <c r="S861" s="21">
        <f t="shared" si="725"/>
        <v>3.0987698412698415E-3</v>
      </c>
      <c r="T861" s="21">
        <f t="shared" si="725"/>
        <v>0</v>
      </c>
      <c r="U861" s="21">
        <f t="shared" si="725"/>
        <v>0</v>
      </c>
      <c r="V861" s="21">
        <f t="shared" si="725"/>
        <v>0</v>
      </c>
      <c r="W861" s="563"/>
      <c r="X861" s="563"/>
      <c r="Y861" s="563"/>
      <c r="Z861" s="563"/>
      <c r="AA861" s="563"/>
      <c r="AB861" s="563"/>
      <c r="AC861" s="563"/>
      <c r="AD861" s="563"/>
      <c r="AE861" s="563"/>
    </row>
    <row r="862" spans="2:31" x14ac:dyDescent="0.2">
      <c r="B862" s="24"/>
      <c r="C862" s="5" t="str">
        <f>CAPEX!C39</f>
        <v>Capital Spares</v>
      </c>
      <c r="D862" s="20"/>
      <c r="E862" s="269">
        <f>CAPEX!M39/1000000</f>
        <v>0.37185476190476191</v>
      </c>
      <c r="F862" s="1" t="s">
        <v>55</v>
      </c>
      <c r="G862" s="21">
        <f t="shared" si="723"/>
        <v>0.37185476190476191</v>
      </c>
      <c r="I862" s="21">
        <f t="shared" si="725"/>
        <v>0</v>
      </c>
      <c r="J862" s="21">
        <f t="shared" si="725"/>
        <v>0</v>
      </c>
      <c r="K862" s="21">
        <f t="shared" si="725"/>
        <v>0</v>
      </c>
      <c r="L862" s="21">
        <f t="shared" si="725"/>
        <v>3.7185476190476192E-2</v>
      </c>
      <c r="M862" s="21">
        <f t="shared" si="725"/>
        <v>4.6481845238095239E-2</v>
      </c>
      <c r="N862" s="21">
        <f t="shared" si="725"/>
        <v>5.5778214285714285E-2</v>
      </c>
      <c r="O862" s="21">
        <f t="shared" si="725"/>
        <v>5.5778214285714285E-2</v>
      </c>
      <c r="P862" s="21">
        <f t="shared" si="725"/>
        <v>5.5778214285714285E-2</v>
      </c>
      <c r="Q862" s="21">
        <f t="shared" si="725"/>
        <v>5.5778214285714285E-2</v>
      </c>
      <c r="R862" s="21">
        <f t="shared" si="725"/>
        <v>4.6481845238095239E-2</v>
      </c>
      <c r="S862" s="21">
        <f t="shared" si="725"/>
        <v>1.8592738095238096E-2</v>
      </c>
      <c r="T862" s="21">
        <f t="shared" si="725"/>
        <v>0</v>
      </c>
      <c r="U862" s="21">
        <f t="shared" si="725"/>
        <v>0</v>
      </c>
      <c r="V862" s="21">
        <f t="shared" si="725"/>
        <v>0</v>
      </c>
      <c r="W862" s="563"/>
      <c r="X862" s="563"/>
      <c r="Y862" s="563"/>
      <c r="Z862" s="563"/>
      <c r="AA862" s="563"/>
      <c r="AB862" s="563"/>
      <c r="AC862" s="563"/>
      <c r="AD862" s="563"/>
      <c r="AE862" s="563"/>
    </row>
    <row r="863" spans="2:31" x14ac:dyDescent="0.2">
      <c r="B863" s="24"/>
      <c r="C863" s="5" t="str">
        <f>CAPEX!C40</f>
        <v>Operating Spares (2 years)</v>
      </c>
      <c r="D863" s="20"/>
      <c r="E863" s="269">
        <f>CAPEX!M40/1000000</f>
        <v>0</v>
      </c>
      <c r="F863" s="1" t="s">
        <v>55</v>
      </c>
      <c r="G863" s="21">
        <f t="shared" si="723"/>
        <v>0</v>
      </c>
      <c r="I863" s="21">
        <f t="shared" si="725"/>
        <v>0</v>
      </c>
      <c r="J863" s="21">
        <f t="shared" si="725"/>
        <v>0</v>
      </c>
      <c r="K863" s="21">
        <f t="shared" si="725"/>
        <v>0</v>
      </c>
      <c r="L863" s="21">
        <f t="shared" si="725"/>
        <v>0</v>
      </c>
      <c r="M863" s="21">
        <f t="shared" si="725"/>
        <v>0</v>
      </c>
      <c r="N863" s="21">
        <f t="shared" si="725"/>
        <v>0</v>
      </c>
      <c r="O863" s="21">
        <f t="shared" si="725"/>
        <v>0</v>
      </c>
      <c r="P863" s="21">
        <f t="shared" si="725"/>
        <v>0</v>
      </c>
      <c r="Q863" s="21">
        <f t="shared" si="725"/>
        <v>0</v>
      </c>
      <c r="R863" s="21">
        <f t="shared" si="725"/>
        <v>0</v>
      </c>
      <c r="S863" s="21">
        <f t="shared" si="725"/>
        <v>0</v>
      </c>
      <c r="T863" s="21">
        <f t="shared" si="725"/>
        <v>0</v>
      </c>
      <c r="U863" s="21">
        <f t="shared" si="725"/>
        <v>0</v>
      </c>
      <c r="V863" s="21">
        <f t="shared" si="725"/>
        <v>0</v>
      </c>
      <c r="W863" s="563"/>
      <c r="X863" s="563"/>
      <c r="Y863" s="563"/>
      <c r="Z863" s="563"/>
      <c r="AA863" s="563"/>
      <c r="AB863" s="563"/>
      <c r="AC863" s="563"/>
      <c r="AD863" s="563"/>
      <c r="AE863" s="563"/>
    </row>
    <row r="864" spans="2:31" x14ac:dyDescent="0.2">
      <c r="B864" s="24"/>
      <c r="C864" s="5" t="str">
        <f>CAPEX!C41</f>
        <v>Pre-Commissioning Support (Trades assistance by sub-cont.)</v>
      </c>
      <c r="D864" s="20"/>
      <c r="E864" s="269">
        <f>CAPEX!M41/1000000</f>
        <v>1.412857142857143</v>
      </c>
      <c r="F864" s="1" t="s">
        <v>55</v>
      </c>
      <c r="G864" s="21">
        <f>SUM(I864:AE864)</f>
        <v>1.4128571428571433</v>
      </c>
      <c r="I864" s="21">
        <f t="shared" si="725"/>
        <v>0</v>
      </c>
      <c r="J864" s="21">
        <f t="shared" si="725"/>
        <v>0</v>
      </c>
      <c r="K864" s="21">
        <f t="shared" si="725"/>
        <v>0</v>
      </c>
      <c r="L864" s="21">
        <f t="shared" si="725"/>
        <v>0.14128571428571432</v>
      </c>
      <c r="M864" s="21">
        <f t="shared" si="725"/>
        <v>0.17660714285714288</v>
      </c>
      <c r="N864" s="21">
        <f t="shared" si="725"/>
        <v>0.21192857142857144</v>
      </c>
      <c r="O864" s="21">
        <f t="shared" si="725"/>
        <v>0.21192857142857144</v>
      </c>
      <c r="P864" s="21">
        <f t="shared" si="725"/>
        <v>0.21192857142857144</v>
      </c>
      <c r="Q864" s="21">
        <f t="shared" si="725"/>
        <v>0.21192857142857144</v>
      </c>
      <c r="R864" s="21">
        <f t="shared" si="725"/>
        <v>0.17660714285714288</v>
      </c>
      <c r="S864" s="21">
        <f t="shared" si="725"/>
        <v>7.064285714285716E-2</v>
      </c>
      <c r="T864" s="21">
        <f t="shared" si="725"/>
        <v>0</v>
      </c>
      <c r="U864" s="21">
        <f t="shared" si="725"/>
        <v>0</v>
      </c>
      <c r="V864" s="21">
        <f t="shared" si="725"/>
        <v>0</v>
      </c>
      <c r="W864" s="563"/>
      <c r="X864" s="563"/>
      <c r="Y864" s="563"/>
      <c r="Z864" s="563"/>
      <c r="AA864" s="563"/>
      <c r="AB864" s="563"/>
      <c r="AC864" s="563"/>
      <c r="AD864" s="563"/>
      <c r="AE864" s="563"/>
    </row>
    <row r="865" spans="2:31" x14ac:dyDescent="0.2">
      <c r="B865" s="24"/>
      <c r="C865" s="20" t="s">
        <v>45</v>
      </c>
      <c r="D865" s="20"/>
      <c r="E865" s="270">
        <f>SUM(E849:E864)</f>
        <v>48.672732428536477</v>
      </c>
      <c r="F865" s="9" t="s">
        <v>55</v>
      </c>
      <c r="G865" s="44">
        <f>SUM(I865:AE865)</f>
        <v>48.67273242853647</v>
      </c>
      <c r="I865" s="44">
        <f t="shared" ref="I865:V865" si="726">SUM(I849:I864)</f>
        <v>0</v>
      </c>
      <c r="J865" s="44">
        <f t="shared" si="726"/>
        <v>0</v>
      </c>
      <c r="K865" s="44">
        <f t="shared" si="726"/>
        <v>0</v>
      </c>
      <c r="L865" s="44">
        <f t="shared" si="726"/>
        <v>4.8672732428536483</v>
      </c>
      <c r="M865" s="44">
        <f t="shared" si="726"/>
        <v>6.0840915535670597</v>
      </c>
      <c r="N865" s="44">
        <f t="shared" si="726"/>
        <v>7.300909864280472</v>
      </c>
      <c r="O865" s="44">
        <f t="shared" si="726"/>
        <v>7.300909864280472</v>
      </c>
      <c r="P865" s="44">
        <f t="shared" si="726"/>
        <v>7.300909864280472</v>
      </c>
      <c r="Q865" s="44">
        <f t="shared" si="726"/>
        <v>7.300909864280472</v>
      </c>
      <c r="R865" s="44">
        <f t="shared" si="726"/>
        <v>6.0840915535670597</v>
      </c>
      <c r="S865" s="44">
        <f t="shared" si="726"/>
        <v>2.4336366214268241</v>
      </c>
      <c r="T865" s="44">
        <f t="shared" si="726"/>
        <v>0</v>
      </c>
      <c r="U865" s="44">
        <f t="shared" si="726"/>
        <v>0</v>
      </c>
      <c r="V865" s="44">
        <f t="shared" si="726"/>
        <v>0</v>
      </c>
      <c r="W865" s="580"/>
      <c r="X865" s="580"/>
      <c r="Y865" s="580"/>
      <c r="Z865" s="580"/>
      <c r="AA865" s="580"/>
      <c r="AB865" s="580"/>
      <c r="AC865" s="580"/>
      <c r="AD865" s="580"/>
      <c r="AE865" s="580"/>
    </row>
    <row r="866" spans="2:31" x14ac:dyDescent="0.2">
      <c r="B866" s="24"/>
      <c r="C866" s="20"/>
      <c r="D866" s="20"/>
    </row>
    <row r="867" spans="2:31" x14ac:dyDescent="0.2">
      <c r="B867" s="24"/>
      <c r="C867" s="20" t="s">
        <v>942</v>
      </c>
      <c r="D867" s="20"/>
      <c r="E867" s="432">
        <f>SUM(I867:V867)</f>
        <v>0</v>
      </c>
      <c r="F867" s="5" t="s">
        <v>55</v>
      </c>
      <c r="G867" s="52">
        <f>SUM(I867:AE867)</f>
        <v>0</v>
      </c>
      <c r="H867" s="5"/>
      <c r="I867" s="50">
        <f>IF($F$1442=0,0,(AVERAGE(6%,3%)*I1238+AVERAGE(3%,1.5%)*(I1223+I1230))*(I830&gt;0))</f>
        <v>0</v>
      </c>
      <c r="J867" s="50">
        <f t="shared" ref="J867:V867" si="727">IF($F$1442=0,0,(AVERAGE(6%,3%)*J1238+AVERAGE(3%,1.5%)*(J1223+J1230))*(J830&gt;0))</f>
        <v>0</v>
      </c>
      <c r="K867" s="50">
        <f t="shared" si="727"/>
        <v>0</v>
      </c>
      <c r="L867" s="50">
        <f t="shared" si="727"/>
        <v>0</v>
      </c>
      <c r="M867" s="50">
        <f t="shared" si="727"/>
        <v>0</v>
      </c>
      <c r="N867" s="50">
        <f t="shared" si="727"/>
        <v>0</v>
      </c>
      <c r="O867" s="50">
        <f t="shared" si="727"/>
        <v>0</v>
      </c>
      <c r="P867" s="50">
        <f t="shared" si="727"/>
        <v>0</v>
      </c>
      <c r="Q867" s="50">
        <f t="shared" si="727"/>
        <v>0</v>
      </c>
      <c r="R867" s="50">
        <f t="shared" si="727"/>
        <v>0</v>
      </c>
      <c r="S867" s="50">
        <f t="shared" si="727"/>
        <v>0</v>
      </c>
      <c r="T867" s="50">
        <f t="shared" si="727"/>
        <v>0</v>
      </c>
      <c r="U867" s="50">
        <f t="shared" si="727"/>
        <v>0</v>
      </c>
      <c r="V867" s="50">
        <f t="shared" si="727"/>
        <v>0</v>
      </c>
    </row>
    <row r="868" spans="2:31" x14ac:dyDescent="0.2">
      <c r="B868" s="24"/>
      <c r="C868" s="20"/>
      <c r="D868" s="20"/>
    </row>
    <row r="869" spans="2:31" x14ac:dyDescent="0.2">
      <c r="B869" s="24"/>
      <c r="C869" s="20" t="s">
        <v>336</v>
      </c>
      <c r="D869" s="387">
        <f>CAPEX!E42</f>
        <v>8.5000000000000006E-2</v>
      </c>
      <c r="E869" s="269">
        <f>CAPEX!M42/1000000</f>
        <v>37.273000000000003</v>
      </c>
      <c r="F869" s="20" t="s">
        <v>55</v>
      </c>
      <c r="G869" s="44">
        <f>SUM(I869:AE869)</f>
        <v>37.273000000000003</v>
      </c>
      <c r="H869" s="5"/>
      <c r="I869" s="44">
        <f t="shared" ref="I869:V869" si="728">$E$869*I830</f>
        <v>0</v>
      </c>
      <c r="J869" s="44">
        <f t="shared" si="728"/>
        <v>0</v>
      </c>
      <c r="K869" s="44">
        <f t="shared" si="728"/>
        <v>0</v>
      </c>
      <c r="L869" s="44">
        <f t="shared" si="728"/>
        <v>3.7273000000000005</v>
      </c>
      <c r="M869" s="44">
        <f t="shared" si="728"/>
        <v>4.6591250000000004</v>
      </c>
      <c r="N869" s="44">
        <f t="shared" si="728"/>
        <v>5.5909500000000003</v>
      </c>
      <c r="O869" s="44">
        <f t="shared" si="728"/>
        <v>5.5909500000000003</v>
      </c>
      <c r="P869" s="44">
        <f t="shared" si="728"/>
        <v>5.5909500000000003</v>
      </c>
      <c r="Q869" s="44">
        <f t="shared" si="728"/>
        <v>5.5909500000000003</v>
      </c>
      <c r="R869" s="44">
        <f t="shared" si="728"/>
        <v>4.6591250000000004</v>
      </c>
      <c r="S869" s="44">
        <f t="shared" si="728"/>
        <v>1.8636500000000003</v>
      </c>
      <c r="T869" s="44">
        <f t="shared" si="728"/>
        <v>0</v>
      </c>
      <c r="U869" s="44">
        <f t="shared" si="728"/>
        <v>0</v>
      </c>
      <c r="V869" s="44">
        <f t="shared" si="728"/>
        <v>0</v>
      </c>
      <c r="W869" s="580"/>
      <c r="X869" s="580"/>
      <c r="Y869" s="580"/>
      <c r="Z869" s="580"/>
      <c r="AA869" s="580"/>
      <c r="AB869" s="580"/>
      <c r="AC869" s="580"/>
      <c r="AD869" s="580"/>
      <c r="AE869" s="580"/>
    </row>
    <row r="870" spans="2:31" x14ac:dyDescent="0.2">
      <c r="B870" s="24"/>
      <c r="C870" s="20"/>
      <c r="D870" s="20"/>
    </row>
    <row r="871" spans="2:31" x14ac:dyDescent="0.2">
      <c r="B871" s="24"/>
      <c r="C871" s="20" t="s">
        <v>638</v>
      </c>
      <c r="D871" s="387">
        <f>(CAPEX!E52/CAPEX!D52-1)*CAPEX!F52</f>
        <v>-2.1449999999999986E-2</v>
      </c>
      <c r="E871" s="269">
        <f>CAPEX!G52</f>
        <v>-10.205513226288618</v>
      </c>
      <c r="F871" s="20" t="s">
        <v>55</v>
      </c>
      <c r="G871" s="44">
        <f>SUM(I871:AE871)</f>
        <v>-10.205513226288618</v>
      </c>
      <c r="I871" s="44">
        <f t="shared" ref="I871:V871" si="729">$E$871*I830</f>
        <v>0</v>
      </c>
      <c r="J871" s="44">
        <f t="shared" si="729"/>
        <v>0</v>
      </c>
      <c r="K871" s="44">
        <f t="shared" si="729"/>
        <v>0</v>
      </c>
      <c r="L871" s="44">
        <f t="shared" si="729"/>
        <v>-1.0205513226288618</v>
      </c>
      <c r="M871" s="44">
        <f t="shared" si="729"/>
        <v>-1.2756891532860772</v>
      </c>
      <c r="N871" s="44">
        <f t="shared" si="729"/>
        <v>-1.5308269839432926</v>
      </c>
      <c r="O871" s="44">
        <f t="shared" si="729"/>
        <v>-1.5308269839432926</v>
      </c>
      <c r="P871" s="44">
        <f t="shared" si="729"/>
        <v>-1.5308269839432926</v>
      </c>
      <c r="Q871" s="44">
        <f t="shared" si="729"/>
        <v>-1.5308269839432926</v>
      </c>
      <c r="R871" s="44">
        <f t="shared" si="729"/>
        <v>-1.2756891532860772</v>
      </c>
      <c r="S871" s="44">
        <f t="shared" si="729"/>
        <v>-0.51027566131443092</v>
      </c>
      <c r="T871" s="44">
        <f t="shared" si="729"/>
        <v>0</v>
      </c>
      <c r="U871" s="44">
        <f t="shared" si="729"/>
        <v>0</v>
      </c>
      <c r="V871" s="44">
        <f t="shared" si="729"/>
        <v>0</v>
      </c>
      <c r="W871" s="580"/>
      <c r="X871" s="580"/>
      <c r="Y871" s="580"/>
      <c r="Z871" s="580"/>
      <c r="AA871" s="580"/>
      <c r="AB871" s="580"/>
      <c r="AC871" s="580"/>
      <c r="AD871" s="580"/>
      <c r="AE871" s="580"/>
    </row>
    <row r="872" spans="2:31" x14ac:dyDescent="0.2">
      <c r="B872" s="24"/>
      <c r="C872" s="20"/>
      <c r="D872" s="20"/>
    </row>
    <row r="873" spans="2:31" x14ac:dyDescent="0.2">
      <c r="C873" s="20" t="s">
        <v>80</v>
      </c>
      <c r="D873" s="268">
        <f>$E$85</f>
        <v>1</v>
      </c>
      <c r="E873" s="55"/>
      <c r="F873" s="9" t="s">
        <v>55</v>
      </c>
      <c r="G873" s="44">
        <f>SUM(I873:AE873)</f>
        <v>465.57598916478941</v>
      </c>
      <c r="I873" s="44">
        <f>(I845+I865+I869+I871)*$E$85+I867</f>
        <v>0</v>
      </c>
      <c r="J873" s="44">
        <f t="shared" ref="J873:V873" si="730">(J845+J865+J869+J871)*$E$85+J867</f>
        <v>0</v>
      </c>
      <c r="K873" s="44">
        <f t="shared" si="730"/>
        <v>0</v>
      </c>
      <c r="L873" s="44">
        <f t="shared" si="730"/>
        <v>46.557598916478945</v>
      </c>
      <c r="M873" s="44">
        <f t="shared" si="730"/>
        <v>58.196998645598669</v>
      </c>
      <c r="N873" s="44">
        <f t="shared" si="730"/>
        <v>69.836398374718414</v>
      </c>
      <c r="O873" s="44">
        <f t="shared" si="730"/>
        <v>69.836398374718414</v>
      </c>
      <c r="P873" s="44">
        <f t="shared" si="730"/>
        <v>69.836398374718414</v>
      </c>
      <c r="Q873" s="44">
        <f t="shared" si="730"/>
        <v>69.836398374718414</v>
      </c>
      <c r="R873" s="44">
        <f t="shared" si="730"/>
        <v>58.196998645598669</v>
      </c>
      <c r="S873" s="44">
        <f t="shared" si="730"/>
        <v>23.278799458239472</v>
      </c>
      <c r="T873" s="44">
        <f t="shared" si="730"/>
        <v>0</v>
      </c>
      <c r="U873" s="44">
        <f t="shared" si="730"/>
        <v>0</v>
      </c>
      <c r="V873" s="44">
        <f t="shared" si="730"/>
        <v>0</v>
      </c>
      <c r="W873" s="580"/>
      <c r="X873" s="580"/>
      <c r="Y873" s="580"/>
      <c r="Z873" s="580"/>
      <c r="AA873" s="580"/>
      <c r="AB873" s="580"/>
      <c r="AC873" s="580"/>
      <c r="AD873" s="580"/>
      <c r="AE873" s="580"/>
    </row>
    <row r="874" spans="2:31" x14ac:dyDescent="0.2">
      <c r="B874" s="24"/>
      <c r="C874" s="20"/>
      <c r="D874" s="20"/>
    </row>
    <row r="875" spans="2:31" x14ac:dyDescent="0.2">
      <c r="B875" s="24">
        <f>B813+0.01</f>
        <v>7.1199999999999992</v>
      </c>
      <c r="C875" s="20" t="s">
        <v>81</v>
      </c>
      <c r="D875" s="20"/>
      <c r="E875" s="21"/>
      <c r="H875" s="21"/>
    </row>
    <row r="876" spans="2:31" x14ac:dyDescent="0.2">
      <c r="B876" s="34"/>
      <c r="C876" s="5"/>
      <c r="E876" s="11"/>
    </row>
    <row r="877" spans="2:31" x14ac:dyDescent="0.2">
      <c r="B877" s="34"/>
      <c r="C877" s="1" t="s">
        <v>82</v>
      </c>
      <c r="E877" s="257">
        <f>'Plant model'!E877</f>
        <v>0</v>
      </c>
      <c r="F877" s="1" t="s">
        <v>55</v>
      </c>
      <c r="G877" s="21">
        <f t="shared" ref="G877:G884" si="731">SUM(I877:AE877)</f>
        <v>0</v>
      </c>
      <c r="I877" s="21">
        <f t="shared" ref="I877:V888" si="732">$E877*I$830</f>
        <v>0</v>
      </c>
      <c r="J877" s="21">
        <f t="shared" si="732"/>
        <v>0</v>
      </c>
      <c r="K877" s="21">
        <f t="shared" si="732"/>
        <v>0</v>
      </c>
      <c r="L877" s="21">
        <f t="shared" si="732"/>
        <v>0</v>
      </c>
      <c r="M877" s="21">
        <f t="shared" si="732"/>
        <v>0</v>
      </c>
      <c r="N877" s="21">
        <f t="shared" si="732"/>
        <v>0</v>
      </c>
      <c r="O877" s="21">
        <f t="shared" si="732"/>
        <v>0</v>
      </c>
      <c r="P877" s="21">
        <f t="shared" si="732"/>
        <v>0</v>
      </c>
      <c r="Q877" s="21">
        <f t="shared" si="732"/>
        <v>0</v>
      </c>
      <c r="R877" s="21">
        <f t="shared" si="732"/>
        <v>0</v>
      </c>
      <c r="S877" s="21">
        <f t="shared" si="732"/>
        <v>0</v>
      </c>
      <c r="T877" s="21">
        <f t="shared" si="732"/>
        <v>0</v>
      </c>
      <c r="U877" s="21">
        <f t="shared" si="732"/>
        <v>0</v>
      </c>
      <c r="V877" s="21">
        <f t="shared" si="732"/>
        <v>0</v>
      </c>
      <c r="W877" s="563"/>
      <c r="X877" s="563"/>
      <c r="Y877" s="563"/>
      <c r="Z877" s="563"/>
      <c r="AA877" s="563"/>
      <c r="AB877" s="563"/>
      <c r="AC877" s="563"/>
      <c r="AD877" s="563"/>
      <c r="AE877" s="563"/>
    </row>
    <row r="878" spans="2:31" x14ac:dyDescent="0.2">
      <c r="B878" s="34"/>
      <c r="C878" s="1" t="s">
        <v>83</v>
      </c>
      <c r="E878" s="257">
        <f>'Plant model'!E878</f>
        <v>0</v>
      </c>
      <c r="F878" s="1" t="s">
        <v>55</v>
      </c>
      <c r="G878" s="21">
        <f t="shared" si="731"/>
        <v>0</v>
      </c>
      <c r="I878" s="21">
        <f t="shared" si="732"/>
        <v>0</v>
      </c>
      <c r="J878" s="21">
        <f t="shared" si="732"/>
        <v>0</v>
      </c>
      <c r="K878" s="21">
        <f t="shared" si="732"/>
        <v>0</v>
      </c>
      <c r="L878" s="21">
        <f t="shared" si="732"/>
        <v>0</v>
      </c>
      <c r="M878" s="21">
        <f t="shared" si="732"/>
        <v>0</v>
      </c>
      <c r="N878" s="21">
        <f t="shared" si="732"/>
        <v>0</v>
      </c>
      <c r="O878" s="21">
        <f t="shared" si="732"/>
        <v>0</v>
      </c>
      <c r="P878" s="21">
        <f t="shared" si="732"/>
        <v>0</v>
      </c>
      <c r="Q878" s="21">
        <f t="shared" si="732"/>
        <v>0</v>
      </c>
      <c r="R878" s="21">
        <f t="shared" si="732"/>
        <v>0</v>
      </c>
      <c r="S878" s="21">
        <f t="shared" si="732"/>
        <v>0</v>
      </c>
      <c r="T878" s="21">
        <f t="shared" si="732"/>
        <v>0</v>
      </c>
      <c r="U878" s="21">
        <f t="shared" si="732"/>
        <v>0</v>
      </c>
      <c r="V878" s="21">
        <f t="shared" si="732"/>
        <v>0</v>
      </c>
      <c r="W878" s="563"/>
      <c r="X878" s="563"/>
      <c r="Y878" s="563"/>
      <c r="Z878" s="563"/>
      <c r="AA878" s="563"/>
      <c r="AB878" s="563"/>
      <c r="AC878" s="563"/>
      <c r="AD878" s="563"/>
      <c r="AE878" s="563"/>
    </row>
    <row r="879" spans="2:31" x14ac:dyDescent="0.2">
      <c r="B879" s="34"/>
      <c r="C879" s="1" t="s">
        <v>22</v>
      </c>
      <c r="E879" s="257">
        <f>'Plant model'!E879</f>
        <v>0</v>
      </c>
      <c r="F879" s="1" t="s">
        <v>55</v>
      </c>
      <c r="G879" s="21">
        <f t="shared" si="731"/>
        <v>0</v>
      </c>
      <c r="I879" s="21">
        <f t="shared" si="732"/>
        <v>0</v>
      </c>
      <c r="J879" s="21">
        <f t="shared" si="732"/>
        <v>0</v>
      </c>
      <c r="K879" s="21">
        <f t="shared" si="732"/>
        <v>0</v>
      </c>
      <c r="L879" s="21">
        <f t="shared" si="732"/>
        <v>0</v>
      </c>
      <c r="M879" s="21">
        <f t="shared" si="732"/>
        <v>0</v>
      </c>
      <c r="N879" s="21">
        <f t="shared" si="732"/>
        <v>0</v>
      </c>
      <c r="O879" s="21">
        <f t="shared" si="732"/>
        <v>0</v>
      </c>
      <c r="P879" s="21">
        <f t="shared" si="732"/>
        <v>0</v>
      </c>
      <c r="Q879" s="21">
        <f t="shared" si="732"/>
        <v>0</v>
      </c>
      <c r="R879" s="21">
        <f t="shared" si="732"/>
        <v>0</v>
      </c>
      <c r="S879" s="21">
        <f t="shared" si="732"/>
        <v>0</v>
      </c>
      <c r="T879" s="21">
        <f t="shared" si="732"/>
        <v>0</v>
      </c>
      <c r="U879" s="21">
        <f t="shared" si="732"/>
        <v>0</v>
      </c>
      <c r="V879" s="21">
        <f t="shared" si="732"/>
        <v>0</v>
      </c>
      <c r="W879" s="563"/>
      <c r="X879" s="563"/>
      <c r="Y879" s="563"/>
      <c r="Z879" s="563"/>
      <c r="AA879" s="563"/>
      <c r="AB879" s="563"/>
      <c r="AC879" s="563"/>
      <c r="AD879" s="563"/>
      <c r="AE879" s="563"/>
    </row>
    <row r="880" spans="2:31" x14ac:dyDescent="0.2">
      <c r="B880" s="34"/>
      <c r="C880" s="1" t="s">
        <v>84</v>
      </c>
      <c r="E880" s="257">
        <f>'Plant model'!E880</f>
        <v>0</v>
      </c>
      <c r="F880" s="1" t="s">
        <v>55</v>
      </c>
      <c r="G880" s="21">
        <f t="shared" si="731"/>
        <v>0</v>
      </c>
      <c r="I880" s="21">
        <f t="shared" si="732"/>
        <v>0</v>
      </c>
      <c r="J880" s="21">
        <f t="shared" si="732"/>
        <v>0</v>
      </c>
      <c r="K880" s="21">
        <f t="shared" si="732"/>
        <v>0</v>
      </c>
      <c r="L880" s="21">
        <f t="shared" si="732"/>
        <v>0</v>
      </c>
      <c r="M880" s="21">
        <f t="shared" si="732"/>
        <v>0</v>
      </c>
      <c r="N880" s="21">
        <f t="shared" si="732"/>
        <v>0</v>
      </c>
      <c r="O880" s="21">
        <f t="shared" si="732"/>
        <v>0</v>
      </c>
      <c r="P880" s="21">
        <f t="shared" si="732"/>
        <v>0</v>
      </c>
      <c r="Q880" s="21">
        <f t="shared" si="732"/>
        <v>0</v>
      </c>
      <c r="R880" s="21">
        <f t="shared" si="732"/>
        <v>0</v>
      </c>
      <c r="S880" s="21">
        <f t="shared" si="732"/>
        <v>0</v>
      </c>
      <c r="T880" s="21">
        <f t="shared" si="732"/>
        <v>0</v>
      </c>
      <c r="U880" s="21">
        <f t="shared" si="732"/>
        <v>0</v>
      </c>
      <c r="V880" s="21">
        <f t="shared" si="732"/>
        <v>0</v>
      </c>
      <c r="W880" s="563"/>
      <c r="X880" s="563"/>
      <c r="Y880" s="563"/>
      <c r="Z880" s="563"/>
      <c r="AA880" s="563"/>
      <c r="AB880" s="563"/>
      <c r="AC880" s="563"/>
      <c r="AD880" s="563"/>
      <c r="AE880" s="563"/>
    </row>
    <row r="881" spans="2:32" x14ac:dyDescent="0.2">
      <c r="B881" s="34"/>
      <c r="C881" s="1" t="s">
        <v>85</v>
      </c>
      <c r="E881" s="257">
        <f>'Plant model'!E881</f>
        <v>0</v>
      </c>
      <c r="F881" s="1" t="s">
        <v>55</v>
      </c>
      <c r="G881" s="21">
        <f t="shared" si="731"/>
        <v>0</v>
      </c>
      <c r="I881" s="21">
        <f t="shared" si="732"/>
        <v>0</v>
      </c>
      <c r="J881" s="21">
        <f t="shared" si="732"/>
        <v>0</v>
      </c>
      <c r="K881" s="21">
        <f t="shared" si="732"/>
        <v>0</v>
      </c>
      <c r="L881" s="21">
        <f t="shared" si="732"/>
        <v>0</v>
      </c>
      <c r="M881" s="21">
        <f t="shared" si="732"/>
        <v>0</v>
      </c>
      <c r="N881" s="21">
        <f t="shared" si="732"/>
        <v>0</v>
      </c>
      <c r="O881" s="21">
        <f t="shared" si="732"/>
        <v>0</v>
      </c>
      <c r="P881" s="21">
        <f t="shared" si="732"/>
        <v>0</v>
      </c>
      <c r="Q881" s="21">
        <f t="shared" si="732"/>
        <v>0</v>
      </c>
      <c r="R881" s="21">
        <f t="shared" si="732"/>
        <v>0</v>
      </c>
      <c r="S881" s="21">
        <f t="shared" si="732"/>
        <v>0</v>
      </c>
      <c r="T881" s="21">
        <f t="shared" si="732"/>
        <v>0</v>
      </c>
      <c r="U881" s="21">
        <f t="shared" si="732"/>
        <v>0</v>
      </c>
      <c r="V881" s="21">
        <f t="shared" si="732"/>
        <v>0</v>
      </c>
      <c r="W881" s="563"/>
      <c r="X881" s="563"/>
      <c r="Y881" s="563"/>
      <c r="Z881" s="563"/>
      <c r="AA881" s="563"/>
      <c r="AB881" s="563"/>
      <c r="AC881" s="563"/>
      <c r="AD881" s="563"/>
      <c r="AE881" s="563"/>
    </row>
    <row r="882" spans="2:32" x14ac:dyDescent="0.2">
      <c r="B882" s="34"/>
      <c r="C882" s="1" t="s">
        <v>86</v>
      </c>
      <c r="E882" s="257">
        <f>'Plant model'!E882</f>
        <v>0</v>
      </c>
      <c r="F882" s="1" t="s">
        <v>55</v>
      </c>
      <c r="G882" s="21">
        <f t="shared" si="731"/>
        <v>0</v>
      </c>
      <c r="I882" s="21">
        <f t="shared" si="732"/>
        <v>0</v>
      </c>
      <c r="J882" s="21">
        <f t="shared" si="732"/>
        <v>0</v>
      </c>
      <c r="K882" s="21">
        <f t="shared" si="732"/>
        <v>0</v>
      </c>
      <c r="L882" s="21">
        <f t="shared" si="732"/>
        <v>0</v>
      </c>
      <c r="M882" s="21">
        <f t="shared" si="732"/>
        <v>0</v>
      </c>
      <c r="N882" s="21">
        <f t="shared" si="732"/>
        <v>0</v>
      </c>
      <c r="O882" s="21">
        <f t="shared" si="732"/>
        <v>0</v>
      </c>
      <c r="P882" s="21">
        <f t="shared" si="732"/>
        <v>0</v>
      </c>
      <c r="Q882" s="21">
        <f t="shared" si="732"/>
        <v>0</v>
      </c>
      <c r="R882" s="21">
        <f t="shared" si="732"/>
        <v>0</v>
      </c>
      <c r="S882" s="21">
        <f t="shared" si="732"/>
        <v>0</v>
      </c>
      <c r="T882" s="21">
        <f t="shared" si="732"/>
        <v>0</v>
      </c>
      <c r="U882" s="21">
        <f t="shared" si="732"/>
        <v>0</v>
      </c>
      <c r="V882" s="21">
        <f t="shared" si="732"/>
        <v>0</v>
      </c>
      <c r="W882" s="563"/>
      <c r="X882" s="563"/>
      <c r="Y882" s="563"/>
      <c r="Z882" s="563"/>
      <c r="AA882" s="563"/>
      <c r="AB882" s="563"/>
      <c r="AC882" s="563"/>
      <c r="AD882" s="563"/>
      <c r="AE882" s="563"/>
    </row>
    <row r="883" spans="2:32" x14ac:dyDescent="0.2">
      <c r="B883" s="34"/>
      <c r="C883" s="1" t="s">
        <v>87</v>
      </c>
      <c r="E883" s="257">
        <f>'Plant model'!E883</f>
        <v>0</v>
      </c>
      <c r="F883" s="1" t="s">
        <v>55</v>
      </c>
      <c r="G883" s="21">
        <f t="shared" si="731"/>
        <v>0</v>
      </c>
      <c r="I883" s="21">
        <f t="shared" si="732"/>
        <v>0</v>
      </c>
      <c r="J883" s="21">
        <f t="shared" si="732"/>
        <v>0</v>
      </c>
      <c r="K883" s="21">
        <f t="shared" si="732"/>
        <v>0</v>
      </c>
      <c r="L883" s="21">
        <f t="shared" si="732"/>
        <v>0</v>
      </c>
      <c r="M883" s="21">
        <f t="shared" si="732"/>
        <v>0</v>
      </c>
      <c r="N883" s="21">
        <f t="shared" si="732"/>
        <v>0</v>
      </c>
      <c r="O883" s="21">
        <f t="shared" si="732"/>
        <v>0</v>
      </c>
      <c r="P883" s="21">
        <f t="shared" si="732"/>
        <v>0</v>
      </c>
      <c r="Q883" s="21">
        <f t="shared" si="732"/>
        <v>0</v>
      </c>
      <c r="R883" s="21">
        <f t="shared" si="732"/>
        <v>0</v>
      </c>
      <c r="S883" s="21">
        <f t="shared" si="732"/>
        <v>0</v>
      </c>
      <c r="T883" s="21">
        <f t="shared" si="732"/>
        <v>0</v>
      </c>
      <c r="U883" s="21">
        <f t="shared" si="732"/>
        <v>0</v>
      </c>
      <c r="V883" s="21">
        <f t="shared" si="732"/>
        <v>0</v>
      </c>
      <c r="W883" s="563"/>
      <c r="X883" s="563"/>
      <c r="Y883" s="563"/>
      <c r="Z883" s="563"/>
      <c r="AA883" s="563"/>
      <c r="AB883" s="563"/>
      <c r="AC883" s="563"/>
      <c r="AD883" s="563"/>
      <c r="AE883" s="563"/>
    </row>
    <row r="884" spans="2:32" x14ac:dyDescent="0.2">
      <c r="B884" s="34"/>
      <c r="C884" s="1" t="s">
        <v>88</v>
      </c>
      <c r="E884" s="257">
        <f>'Plant model'!E884</f>
        <v>0</v>
      </c>
      <c r="F884" s="1" t="s">
        <v>55</v>
      </c>
      <c r="G884" s="21">
        <f t="shared" si="731"/>
        <v>0</v>
      </c>
      <c r="I884" s="21">
        <f t="shared" si="732"/>
        <v>0</v>
      </c>
      <c r="J884" s="21">
        <f t="shared" si="732"/>
        <v>0</v>
      </c>
      <c r="K884" s="21">
        <f t="shared" si="732"/>
        <v>0</v>
      </c>
      <c r="L884" s="21">
        <f t="shared" si="732"/>
        <v>0</v>
      </c>
      <c r="M884" s="21">
        <f t="shared" si="732"/>
        <v>0</v>
      </c>
      <c r="N884" s="21">
        <f t="shared" si="732"/>
        <v>0</v>
      </c>
      <c r="O884" s="21">
        <f t="shared" si="732"/>
        <v>0</v>
      </c>
      <c r="P884" s="21">
        <f t="shared" si="732"/>
        <v>0</v>
      </c>
      <c r="Q884" s="21">
        <f t="shared" si="732"/>
        <v>0</v>
      </c>
      <c r="R884" s="21">
        <f t="shared" si="732"/>
        <v>0</v>
      </c>
      <c r="S884" s="21">
        <f t="shared" si="732"/>
        <v>0</v>
      </c>
      <c r="T884" s="21">
        <f t="shared" si="732"/>
        <v>0</v>
      </c>
      <c r="U884" s="21">
        <f t="shared" si="732"/>
        <v>0</v>
      </c>
      <c r="V884" s="21">
        <f t="shared" si="732"/>
        <v>0</v>
      </c>
      <c r="W884" s="563"/>
      <c r="X884" s="563"/>
      <c r="Y884" s="563"/>
      <c r="Z884" s="563"/>
      <c r="AA884" s="563"/>
      <c r="AB884" s="563"/>
      <c r="AC884" s="563"/>
      <c r="AD884" s="563"/>
      <c r="AE884" s="563"/>
    </row>
    <row r="885" spans="2:32" x14ac:dyDescent="0.2">
      <c r="B885" s="34"/>
      <c r="C885" s="1" t="s">
        <v>89</v>
      </c>
      <c r="E885" s="257">
        <f>'Plant model'!E885</f>
        <v>0</v>
      </c>
      <c r="F885" s="1" t="s">
        <v>55</v>
      </c>
      <c r="G885" s="21">
        <f>SUM(I885:AE885)</f>
        <v>0</v>
      </c>
      <c r="I885" s="21">
        <f t="shared" si="732"/>
        <v>0</v>
      </c>
      <c r="J885" s="21">
        <f t="shared" si="732"/>
        <v>0</v>
      </c>
      <c r="K885" s="21">
        <f t="shared" si="732"/>
        <v>0</v>
      </c>
      <c r="L885" s="21">
        <f t="shared" si="732"/>
        <v>0</v>
      </c>
      <c r="M885" s="21">
        <f t="shared" si="732"/>
        <v>0</v>
      </c>
      <c r="N885" s="21">
        <f t="shared" si="732"/>
        <v>0</v>
      </c>
      <c r="O885" s="21">
        <f t="shared" si="732"/>
        <v>0</v>
      </c>
      <c r="P885" s="21">
        <f t="shared" si="732"/>
        <v>0</v>
      </c>
      <c r="Q885" s="21">
        <f t="shared" si="732"/>
        <v>0</v>
      </c>
      <c r="R885" s="21">
        <f t="shared" si="732"/>
        <v>0</v>
      </c>
      <c r="S885" s="21">
        <f t="shared" si="732"/>
        <v>0</v>
      </c>
      <c r="T885" s="21">
        <f t="shared" si="732"/>
        <v>0</v>
      </c>
      <c r="U885" s="21">
        <f t="shared" si="732"/>
        <v>0</v>
      </c>
      <c r="V885" s="21">
        <f t="shared" si="732"/>
        <v>0</v>
      </c>
      <c r="W885" s="563"/>
      <c r="X885" s="563"/>
      <c r="Y885" s="563"/>
      <c r="Z885" s="563"/>
      <c r="AA885" s="563"/>
      <c r="AB885" s="563"/>
      <c r="AC885" s="563"/>
      <c r="AD885" s="563"/>
      <c r="AE885" s="563"/>
    </row>
    <row r="886" spans="2:32" x14ac:dyDescent="0.2">
      <c r="B886" s="34"/>
      <c r="C886" s="1" t="s">
        <v>90</v>
      </c>
      <c r="E886" s="257">
        <f>'Plant model'!E886</f>
        <v>0</v>
      </c>
      <c r="F886" s="1" t="s">
        <v>55</v>
      </c>
      <c r="G886" s="21">
        <f>SUM(I886:AE886)</f>
        <v>0</v>
      </c>
      <c r="I886" s="21">
        <f t="shared" si="732"/>
        <v>0</v>
      </c>
      <c r="J886" s="21">
        <f t="shared" si="732"/>
        <v>0</v>
      </c>
      <c r="K886" s="21">
        <f t="shared" si="732"/>
        <v>0</v>
      </c>
      <c r="L886" s="21">
        <f t="shared" si="732"/>
        <v>0</v>
      </c>
      <c r="M886" s="21">
        <f t="shared" si="732"/>
        <v>0</v>
      </c>
      <c r="N886" s="21">
        <f t="shared" si="732"/>
        <v>0</v>
      </c>
      <c r="O886" s="21">
        <f t="shared" si="732"/>
        <v>0</v>
      </c>
      <c r="P886" s="21">
        <f t="shared" si="732"/>
        <v>0</v>
      </c>
      <c r="Q886" s="21">
        <f t="shared" si="732"/>
        <v>0</v>
      </c>
      <c r="R886" s="21">
        <f t="shared" si="732"/>
        <v>0</v>
      </c>
      <c r="S886" s="21">
        <f t="shared" si="732"/>
        <v>0</v>
      </c>
      <c r="T886" s="21">
        <f t="shared" si="732"/>
        <v>0</v>
      </c>
      <c r="U886" s="21">
        <f t="shared" si="732"/>
        <v>0</v>
      </c>
      <c r="V886" s="21">
        <f t="shared" si="732"/>
        <v>0</v>
      </c>
      <c r="W886" s="563"/>
      <c r="X886" s="563"/>
      <c r="Y886" s="563"/>
      <c r="Z886" s="563"/>
      <c r="AA886" s="563"/>
      <c r="AB886" s="563"/>
      <c r="AC886" s="563"/>
      <c r="AD886" s="563"/>
      <c r="AE886" s="563"/>
    </row>
    <row r="887" spans="2:32" x14ac:dyDescent="0.2">
      <c r="B887" s="34"/>
      <c r="C887" s="1" t="s">
        <v>23</v>
      </c>
      <c r="E887" s="257">
        <f>'Plant model'!E887</f>
        <v>0</v>
      </c>
      <c r="F887" s="1" t="s">
        <v>55</v>
      </c>
      <c r="G887" s="21">
        <f>SUM(I887:AE887)</f>
        <v>0</v>
      </c>
      <c r="I887" s="21">
        <f t="shared" si="732"/>
        <v>0</v>
      </c>
      <c r="J887" s="21">
        <f t="shared" si="732"/>
        <v>0</v>
      </c>
      <c r="K887" s="21">
        <f t="shared" si="732"/>
        <v>0</v>
      </c>
      <c r="L887" s="21">
        <f t="shared" si="732"/>
        <v>0</v>
      </c>
      <c r="M887" s="21">
        <f t="shared" si="732"/>
        <v>0</v>
      </c>
      <c r="N887" s="21">
        <f t="shared" si="732"/>
        <v>0</v>
      </c>
      <c r="O887" s="21">
        <f t="shared" si="732"/>
        <v>0</v>
      </c>
      <c r="P887" s="21">
        <f t="shared" si="732"/>
        <v>0</v>
      </c>
      <c r="Q887" s="21">
        <f t="shared" si="732"/>
        <v>0</v>
      </c>
      <c r="R887" s="21">
        <f t="shared" si="732"/>
        <v>0</v>
      </c>
      <c r="S887" s="21">
        <f t="shared" si="732"/>
        <v>0</v>
      </c>
      <c r="T887" s="21">
        <f t="shared" si="732"/>
        <v>0</v>
      </c>
      <c r="U887" s="21">
        <f t="shared" si="732"/>
        <v>0</v>
      </c>
      <c r="V887" s="21">
        <f t="shared" si="732"/>
        <v>0</v>
      </c>
      <c r="W887" s="563"/>
      <c r="X887" s="563"/>
      <c r="Y887" s="563"/>
      <c r="Z887" s="563"/>
      <c r="AA887" s="563"/>
      <c r="AB887" s="563"/>
      <c r="AC887" s="563"/>
      <c r="AD887" s="563"/>
      <c r="AE887" s="563"/>
    </row>
    <row r="888" spans="2:32" x14ac:dyDescent="0.2">
      <c r="B888" s="34"/>
      <c r="C888" s="1" t="s">
        <v>91</v>
      </c>
      <c r="E888" s="257">
        <f>'Plant model'!E888</f>
        <v>0</v>
      </c>
      <c r="F888" s="1" t="s">
        <v>55</v>
      </c>
      <c r="G888" s="21">
        <f>SUM(I888:AE888)</f>
        <v>0</v>
      </c>
      <c r="I888" s="21">
        <f t="shared" si="732"/>
        <v>0</v>
      </c>
      <c r="J888" s="21">
        <f t="shared" si="732"/>
        <v>0</v>
      </c>
      <c r="K888" s="21">
        <f t="shared" si="732"/>
        <v>0</v>
      </c>
      <c r="L888" s="21">
        <f t="shared" si="732"/>
        <v>0</v>
      </c>
      <c r="M888" s="21">
        <f t="shared" si="732"/>
        <v>0</v>
      </c>
      <c r="N888" s="21">
        <f t="shared" si="732"/>
        <v>0</v>
      </c>
      <c r="O888" s="21">
        <f t="shared" si="732"/>
        <v>0</v>
      </c>
      <c r="P888" s="21">
        <f t="shared" si="732"/>
        <v>0</v>
      </c>
      <c r="Q888" s="21">
        <f t="shared" si="732"/>
        <v>0</v>
      </c>
      <c r="R888" s="21">
        <f t="shared" si="732"/>
        <v>0</v>
      </c>
      <c r="S888" s="21">
        <f t="shared" si="732"/>
        <v>0</v>
      </c>
      <c r="T888" s="21">
        <f t="shared" si="732"/>
        <v>0</v>
      </c>
      <c r="U888" s="21">
        <f t="shared" si="732"/>
        <v>0</v>
      </c>
      <c r="V888" s="21">
        <f t="shared" si="732"/>
        <v>0</v>
      </c>
      <c r="W888" s="563"/>
      <c r="X888" s="563"/>
      <c r="Y888" s="563"/>
      <c r="Z888" s="563"/>
      <c r="AA888" s="563"/>
      <c r="AB888" s="563"/>
      <c r="AC888" s="563"/>
      <c r="AD888" s="563"/>
      <c r="AE888" s="563"/>
    </row>
    <row r="889" spans="2:32" x14ac:dyDescent="0.2">
      <c r="C889" s="20" t="s">
        <v>92</v>
      </c>
      <c r="D889" s="146">
        <f>$E$85</f>
        <v>1</v>
      </c>
      <c r="E889" s="282">
        <f>SUM(E877:E888)</f>
        <v>0</v>
      </c>
      <c r="F889" s="9" t="s">
        <v>55</v>
      </c>
      <c r="G889" s="44">
        <f>SUM(I889:AE889)</f>
        <v>0</v>
      </c>
      <c r="H889" s="9"/>
      <c r="I889" s="44">
        <f>SUM(I877:I888)*$E$85</f>
        <v>0</v>
      </c>
      <c r="J889" s="44">
        <f t="shared" ref="J889:V889" si="733">SUM(J877:J888)*$E$85</f>
        <v>0</v>
      </c>
      <c r="K889" s="44">
        <f t="shared" si="733"/>
        <v>0</v>
      </c>
      <c r="L889" s="44">
        <f t="shared" si="733"/>
        <v>0</v>
      </c>
      <c r="M889" s="44">
        <f t="shared" si="733"/>
        <v>0</v>
      </c>
      <c r="N889" s="44">
        <f t="shared" si="733"/>
        <v>0</v>
      </c>
      <c r="O889" s="44">
        <f t="shared" si="733"/>
        <v>0</v>
      </c>
      <c r="P889" s="44">
        <f t="shared" si="733"/>
        <v>0</v>
      </c>
      <c r="Q889" s="44">
        <f t="shared" si="733"/>
        <v>0</v>
      </c>
      <c r="R889" s="44">
        <f t="shared" si="733"/>
        <v>0</v>
      </c>
      <c r="S889" s="44">
        <f t="shared" si="733"/>
        <v>0</v>
      </c>
      <c r="T889" s="44">
        <f t="shared" si="733"/>
        <v>0</v>
      </c>
      <c r="U889" s="44">
        <f t="shared" si="733"/>
        <v>0</v>
      </c>
      <c r="V889" s="44">
        <f t="shared" si="733"/>
        <v>0</v>
      </c>
      <c r="W889" s="580"/>
      <c r="X889" s="580"/>
      <c r="Y889" s="580"/>
      <c r="Z889" s="580"/>
      <c r="AA889" s="580"/>
      <c r="AB889" s="580"/>
      <c r="AC889" s="580"/>
      <c r="AD889" s="580"/>
      <c r="AE889" s="580"/>
      <c r="AF889" s="575"/>
    </row>
    <row r="890" spans="2:32" x14ac:dyDescent="0.2">
      <c r="C890" s="5"/>
      <c r="D890" s="5"/>
    </row>
    <row r="891" spans="2:32" x14ac:dyDescent="0.2">
      <c r="B891" s="24">
        <f>B875+0.01</f>
        <v>7.129999999999999</v>
      </c>
      <c r="C891" s="20" t="s">
        <v>93</v>
      </c>
      <c r="D891" s="20"/>
    </row>
    <row r="892" spans="2:32" x14ac:dyDescent="0.2">
      <c r="C892" s="5"/>
      <c r="D892" s="5"/>
    </row>
    <row r="893" spans="2:32" x14ac:dyDescent="0.2">
      <c r="C893" s="5" t="s">
        <v>94</v>
      </c>
      <c r="D893" s="5"/>
      <c r="E893" s="449">
        <f>'Plant model'!E893</f>
        <v>0</v>
      </c>
      <c r="F893" s="1" t="s">
        <v>55</v>
      </c>
      <c r="G893" s="21">
        <f>SUM(I893:AE893)</f>
        <v>0</v>
      </c>
      <c r="I893" s="21">
        <f t="shared" ref="I893:V893" si="734">(I2&gt;0)*$G$873*$E$893</f>
        <v>0</v>
      </c>
      <c r="J893" s="21">
        <f t="shared" si="734"/>
        <v>0</v>
      </c>
      <c r="K893" s="21">
        <f t="shared" si="734"/>
        <v>0</v>
      </c>
      <c r="L893" s="21">
        <f t="shared" si="734"/>
        <v>0</v>
      </c>
      <c r="M893" s="21">
        <f t="shared" si="734"/>
        <v>0</v>
      </c>
      <c r="N893" s="21">
        <f t="shared" si="734"/>
        <v>0</v>
      </c>
      <c r="O893" s="21">
        <f t="shared" si="734"/>
        <v>0</v>
      </c>
      <c r="P893" s="21">
        <f t="shared" si="734"/>
        <v>0</v>
      </c>
      <c r="Q893" s="21">
        <f t="shared" si="734"/>
        <v>0</v>
      </c>
      <c r="R893" s="21">
        <f t="shared" si="734"/>
        <v>0</v>
      </c>
      <c r="S893" s="21">
        <f t="shared" si="734"/>
        <v>0</v>
      </c>
      <c r="T893" s="21">
        <f t="shared" si="734"/>
        <v>0</v>
      </c>
      <c r="U893" s="21">
        <f t="shared" si="734"/>
        <v>0</v>
      </c>
      <c r="V893" s="21">
        <f t="shared" si="734"/>
        <v>0</v>
      </c>
      <c r="W893" s="563"/>
      <c r="X893" s="563"/>
      <c r="Y893" s="563"/>
      <c r="Z893" s="563"/>
      <c r="AA893" s="563"/>
      <c r="AB893" s="563"/>
      <c r="AC893" s="563"/>
      <c r="AD893" s="563"/>
      <c r="AE893" s="563"/>
    </row>
    <row r="894" spans="2:32" x14ac:dyDescent="0.2">
      <c r="C894" s="5"/>
      <c r="D894" s="5"/>
      <c r="E894" s="55"/>
      <c r="G894" s="21"/>
      <c r="I894" s="21"/>
      <c r="J894" s="21"/>
      <c r="K894" s="21"/>
      <c r="L894" s="21"/>
      <c r="M894" s="21"/>
      <c r="N894" s="21"/>
      <c r="O894" s="21"/>
      <c r="P894" s="21"/>
      <c r="Q894" s="21"/>
      <c r="R894" s="21"/>
      <c r="S894" s="21"/>
      <c r="T894" s="21"/>
      <c r="U894" s="21"/>
      <c r="V894" s="21"/>
      <c r="W894" s="563"/>
      <c r="X894" s="563"/>
      <c r="Y894" s="563"/>
      <c r="Z894" s="563"/>
      <c r="AA894" s="563"/>
      <c r="AB894" s="563"/>
      <c r="AC894" s="563"/>
      <c r="AD894" s="563"/>
      <c r="AE894" s="563"/>
    </row>
    <row r="895" spans="2:32" x14ac:dyDescent="0.2">
      <c r="B895" s="24">
        <f>B891+0.01</f>
        <v>7.1399999999999988</v>
      </c>
      <c r="C895" s="20" t="s">
        <v>95</v>
      </c>
      <c r="D895" s="20"/>
      <c r="E895" s="55"/>
      <c r="G895" s="21"/>
      <c r="I895" s="21"/>
      <c r="J895" s="21"/>
      <c r="K895" s="21"/>
      <c r="L895" s="21"/>
      <c r="M895" s="21"/>
      <c r="N895" s="21"/>
      <c r="O895" s="21"/>
      <c r="P895" s="21"/>
      <c r="Q895" s="21"/>
      <c r="R895" s="21"/>
      <c r="S895" s="21"/>
      <c r="T895" s="21"/>
      <c r="U895" s="21"/>
      <c r="V895" s="21"/>
      <c r="W895" s="563"/>
      <c r="X895" s="563"/>
      <c r="Y895" s="563"/>
      <c r="Z895" s="563"/>
      <c r="AA895" s="563"/>
      <c r="AB895" s="563"/>
      <c r="AC895" s="563"/>
      <c r="AD895" s="563"/>
      <c r="AE895" s="563"/>
    </row>
    <row r="896" spans="2:32" x14ac:dyDescent="0.2">
      <c r="B896" s="24"/>
      <c r="C896" s="20"/>
      <c r="D896" s="20"/>
      <c r="E896" s="55"/>
      <c r="G896" s="21"/>
      <c r="I896" s="21"/>
      <c r="J896" s="21"/>
      <c r="K896" s="21"/>
      <c r="L896" s="21"/>
      <c r="M896" s="21"/>
      <c r="N896" s="21"/>
      <c r="O896" s="21"/>
      <c r="P896" s="21"/>
      <c r="Q896" s="21"/>
      <c r="R896" s="21"/>
      <c r="S896" s="21"/>
      <c r="T896" s="21"/>
      <c r="U896" s="21"/>
      <c r="V896" s="21"/>
      <c r="W896" s="563"/>
      <c r="X896" s="563"/>
      <c r="Y896" s="563"/>
      <c r="Z896" s="563"/>
      <c r="AA896" s="563"/>
      <c r="AB896" s="563"/>
      <c r="AC896" s="563"/>
      <c r="AD896" s="563"/>
      <c r="AE896" s="563"/>
    </row>
    <row r="897" spans="2:36" x14ac:dyDescent="0.2">
      <c r="B897" s="24"/>
      <c r="C897" s="5" t="s">
        <v>96</v>
      </c>
      <c r="D897" s="5"/>
      <c r="E897" s="55"/>
      <c r="F897" s="1" t="s">
        <v>55</v>
      </c>
      <c r="G897" s="21">
        <f>SUM(I897:AE897)</f>
        <v>475.57593141478941</v>
      </c>
      <c r="I897" s="21">
        <f t="shared" ref="I897:V897" si="735">I828+I893+I889+I873</f>
        <v>3.00687975</v>
      </c>
      <c r="J897" s="21">
        <f t="shared" si="735"/>
        <v>5.9361625</v>
      </c>
      <c r="K897" s="21">
        <f t="shared" si="735"/>
        <v>1.0569</v>
      </c>
      <c r="L897" s="21">
        <f t="shared" si="735"/>
        <v>46.557598916478945</v>
      </c>
      <c r="M897" s="21">
        <f t="shared" si="735"/>
        <v>58.196998645598669</v>
      </c>
      <c r="N897" s="21">
        <f t="shared" si="735"/>
        <v>69.836398374718414</v>
      </c>
      <c r="O897" s="21">
        <f t="shared" si="735"/>
        <v>69.836398374718414</v>
      </c>
      <c r="P897" s="21">
        <f t="shared" si="735"/>
        <v>69.836398374718414</v>
      </c>
      <c r="Q897" s="21">
        <f t="shared" si="735"/>
        <v>69.836398374718414</v>
      </c>
      <c r="R897" s="21">
        <f t="shared" si="735"/>
        <v>58.196998645598669</v>
      </c>
      <c r="S897" s="21">
        <f t="shared" si="735"/>
        <v>23.278799458239472</v>
      </c>
      <c r="T897" s="21">
        <f t="shared" si="735"/>
        <v>0</v>
      </c>
      <c r="U897" s="21">
        <f t="shared" si="735"/>
        <v>0</v>
      </c>
      <c r="V897" s="21">
        <f t="shared" si="735"/>
        <v>0</v>
      </c>
      <c r="W897" s="563"/>
      <c r="X897" s="563"/>
      <c r="Y897" s="563"/>
      <c r="Z897" s="563"/>
      <c r="AA897" s="563"/>
      <c r="AB897" s="563"/>
      <c r="AC897" s="563"/>
      <c r="AD897" s="563"/>
      <c r="AE897" s="563"/>
    </row>
    <row r="898" spans="2:36" x14ac:dyDescent="0.2">
      <c r="C898" s="5"/>
      <c r="D898" s="5"/>
    </row>
    <row r="899" spans="2:36" x14ac:dyDescent="0.2">
      <c r="B899" s="6"/>
      <c r="C899" s="6"/>
      <c r="D899" s="6"/>
      <c r="E899" s="7"/>
      <c r="F899" s="6"/>
      <c r="G899" s="6"/>
      <c r="H899" s="6"/>
      <c r="I899" s="6"/>
      <c r="J899" s="6"/>
      <c r="K899" s="6"/>
      <c r="L899" s="6"/>
      <c r="M899" s="6"/>
      <c r="N899" s="6"/>
      <c r="O899" s="6"/>
      <c r="P899" s="6"/>
      <c r="Q899" s="6"/>
      <c r="R899" s="6"/>
      <c r="S899" s="6"/>
      <c r="T899" s="6"/>
      <c r="U899" s="6"/>
      <c r="V899" s="6"/>
    </row>
    <row r="900" spans="2:36" x14ac:dyDescent="0.2">
      <c r="C900" s="5"/>
      <c r="D900" s="5"/>
    </row>
    <row r="901" spans="2:36" s="5" customFormat="1" x14ac:dyDescent="0.2">
      <c r="B901" s="279">
        <f>B809+1</f>
        <v>8</v>
      </c>
      <c r="C901" s="20" t="s">
        <v>97</v>
      </c>
      <c r="D901" s="20"/>
      <c r="W901" s="67"/>
      <c r="X901" s="67"/>
      <c r="Y901" s="67"/>
      <c r="Z901" s="67"/>
      <c r="AA901" s="67"/>
      <c r="AB901" s="67"/>
      <c r="AC901" s="67"/>
      <c r="AD901" s="67"/>
      <c r="AE901" s="67"/>
      <c r="AF901" s="67"/>
      <c r="AG901" s="67"/>
      <c r="AH901" s="67"/>
      <c r="AI901" s="67"/>
      <c r="AJ901" s="67"/>
    </row>
    <row r="902" spans="2:36" x14ac:dyDescent="0.2">
      <c r="C902" s="5"/>
      <c r="D902" s="5"/>
    </row>
    <row r="903" spans="2:36" x14ac:dyDescent="0.2">
      <c r="C903" s="9" t="s">
        <v>98</v>
      </c>
      <c r="D903" s="277"/>
      <c r="E903" s="277"/>
    </row>
    <row r="904" spans="2:36" x14ac:dyDescent="0.2">
      <c r="C904" s="1" t="s">
        <v>99</v>
      </c>
      <c r="D904" s="56"/>
      <c r="E904" s="520">
        <f>'Plant model'!E904</f>
        <v>30</v>
      </c>
      <c r="F904" s="1" t="s">
        <v>100</v>
      </c>
    </row>
    <row r="905" spans="2:36" x14ac:dyDescent="0.2">
      <c r="C905" s="1" t="s">
        <v>101</v>
      </c>
      <c r="D905" s="56"/>
      <c r="E905" s="520">
        <f>'Plant model'!E905</f>
        <v>60</v>
      </c>
      <c r="F905" s="1" t="s">
        <v>100</v>
      </c>
    </row>
    <row r="906" spans="2:36" x14ac:dyDescent="0.2">
      <c r="C906" s="1" t="s">
        <v>102</v>
      </c>
      <c r="D906" s="56"/>
      <c r="E906" s="520">
        <f>'Plant model'!E906</f>
        <v>0</v>
      </c>
      <c r="F906" s="1" t="s">
        <v>100</v>
      </c>
    </row>
    <row r="907" spans="2:36" x14ac:dyDescent="0.2">
      <c r="C907" s="1" t="s">
        <v>721</v>
      </c>
      <c r="D907" s="56"/>
      <c r="E907" s="520">
        <f>'Plant model'!E907</f>
        <v>30</v>
      </c>
      <c r="F907" s="1" t="s">
        <v>100</v>
      </c>
    </row>
    <row r="908" spans="2:36" x14ac:dyDescent="0.2">
      <c r="C908" s="1" t="s">
        <v>720</v>
      </c>
      <c r="D908" s="56"/>
      <c r="E908" s="520">
        <f>'Plant model'!E908</f>
        <v>30</v>
      </c>
      <c r="F908" s="1" t="s">
        <v>100</v>
      </c>
    </row>
    <row r="909" spans="2:36" x14ac:dyDescent="0.2">
      <c r="C909" s="5" t="s">
        <v>103</v>
      </c>
      <c r="D909" s="56"/>
      <c r="E909" s="520">
        <f>'Plant model'!E909</f>
        <v>45</v>
      </c>
      <c r="F909" s="1" t="s">
        <v>100</v>
      </c>
    </row>
    <row r="910" spans="2:36" x14ac:dyDescent="0.2">
      <c r="E910" s="56"/>
    </row>
    <row r="911" spans="2:36" x14ac:dyDescent="0.2">
      <c r="C911" s="1" t="s">
        <v>104</v>
      </c>
      <c r="E911" s="56"/>
      <c r="F911" s="1" t="s">
        <v>55</v>
      </c>
      <c r="G911" s="21"/>
      <c r="I911" s="21">
        <f t="shared" ref="I911:V911" si="736">I137</f>
        <v>0</v>
      </c>
      <c r="J911" s="21">
        <f t="shared" si="736"/>
        <v>0</v>
      </c>
      <c r="K911" s="21">
        <f t="shared" si="736"/>
        <v>0</v>
      </c>
      <c r="L911" s="21">
        <f t="shared" si="736"/>
        <v>0</v>
      </c>
      <c r="M911" s="21">
        <f t="shared" si="736"/>
        <v>0</v>
      </c>
      <c r="N911" s="21">
        <f t="shared" si="736"/>
        <v>0</v>
      </c>
      <c r="O911" s="21">
        <f t="shared" si="736"/>
        <v>0</v>
      </c>
      <c r="P911" s="21">
        <f t="shared" si="736"/>
        <v>0</v>
      </c>
      <c r="Q911" s="21">
        <f t="shared" si="736"/>
        <v>0</v>
      </c>
      <c r="R911" s="21">
        <f t="shared" si="736"/>
        <v>0</v>
      </c>
      <c r="S911" s="21">
        <f t="shared" si="736"/>
        <v>36.645368499999996</v>
      </c>
      <c r="T911" s="21">
        <f t="shared" si="736"/>
        <v>54.968052749999998</v>
      </c>
      <c r="U911" s="21">
        <f t="shared" si="736"/>
        <v>73.290736999999993</v>
      </c>
      <c r="V911" s="21">
        <f t="shared" si="736"/>
        <v>73.290736999999993</v>
      </c>
      <c r="W911" s="563"/>
      <c r="X911" s="563"/>
      <c r="Y911" s="563"/>
      <c r="Z911" s="563"/>
      <c r="AA911" s="563"/>
      <c r="AB911" s="563"/>
      <c r="AC911" s="563"/>
      <c r="AD911" s="563"/>
      <c r="AE911" s="563"/>
    </row>
    <row r="912" spans="2:36" x14ac:dyDescent="0.2">
      <c r="C912" s="1" t="s">
        <v>99</v>
      </c>
      <c r="E912" s="56"/>
      <c r="F912" s="1" t="s">
        <v>55</v>
      </c>
      <c r="I912" s="21">
        <f t="shared" ref="I912:V912" si="737">I911*$E$904/$E$72</f>
        <v>0</v>
      </c>
      <c r="J912" s="21">
        <f t="shared" si="737"/>
        <v>0</v>
      </c>
      <c r="K912" s="21">
        <f t="shared" si="737"/>
        <v>0</v>
      </c>
      <c r="L912" s="21">
        <f t="shared" si="737"/>
        <v>0</v>
      </c>
      <c r="M912" s="21">
        <f t="shared" si="737"/>
        <v>0</v>
      </c>
      <c r="N912" s="21">
        <f t="shared" si="737"/>
        <v>0</v>
      </c>
      <c r="O912" s="21">
        <f t="shared" si="737"/>
        <v>0</v>
      </c>
      <c r="P912" s="21">
        <f t="shared" si="737"/>
        <v>0</v>
      </c>
      <c r="Q912" s="21">
        <f t="shared" si="737"/>
        <v>0</v>
      </c>
      <c r="R912" s="21">
        <f t="shared" si="737"/>
        <v>0</v>
      </c>
      <c r="S912" s="21">
        <f t="shared" si="737"/>
        <v>12.047792383561642</v>
      </c>
      <c r="T912" s="21">
        <f t="shared" si="737"/>
        <v>18.071688575342467</v>
      </c>
      <c r="U912" s="21">
        <f t="shared" si="737"/>
        <v>24.095584767123285</v>
      </c>
      <c r="V912" s="21">
        <f t="shared" si="737"/>
        <v>24.095584767123285</v>
      </c>
      <c r="W912" s="563"/>
      <c r="X912" s="563"/>
      <c r="Y912" s="563"/>
      <c r="Z912" s="563"/>
      <c r="AA912" s="563"/>
      <c r="AB912" s="563"/>
      <c r="AC912" s="563"/>
      <c r="AD912" s="563"/>
      <c r="AE912" s="563"/>
    </row>
    <row r="913" spans="3:31" x14ac:dyDescent="0.2">
      <c r="E913" s="56"/>
      <c r="I913" s="21"/>
      <c r="J913" s="21"/>
      <c r="K913" s="21"/>
      <c r="L913" s="21"/>
      <c r="M913" s="21"/>
      <c r="N913" s="21"/>
      <c r="O913" s="21"/>
      <c r="P913" s="21"/>
      <c r="Q913" s="21"/>
      <c r="R913" s="21"/>
      <c r="S913" s="21"/>
      <c r="T913" s="21"/>
      <c r="U913" s="21"/>
      <c r="V913" s="21"/>
      <c r="W913" s="563"/>
      <c r="X913" s="563"/>
      <c r="Y913" s="563"/>
      <c r="Z913" s="563"/>
      <c r="AA913" s="563"/>
      <c r="AB913" s="563"/>
      <c r="AC913" s="563"/>
      <c r="AD913" s="563"/>
      <c r="AE913" s="563"/>
    </row>
    <row r="914" spans="3:31" x14ac:dyDescent="0.2">
      <c r="C914" s="1" t="s">
        <v>916</v>
      </c>
      <c r="E914" s="56"/>
      <c r="F914" s="1" t="s">
        <v>15</v>
      </c>
      <c r="I914" s="21">
        <f t="shared" ref="I914:V914" si="738">I104</f>
        <v>0</v>
      </c>
      <c r="J914" s="21">
        <f t="shared" si="738"/>
        <v>0</v>
      </c>
      <c r="K914" s="21">
        <f t="shared" si="738"/>
        <v>0</v>
      </c>
      <c r="L914" s="21">
        <f t="shared" si="738"/>
        <v>0</v>
      </c>
      <c r="M914" s="21">
        <f t="shared" si="738"/>
        <v>0</v>
      </c>
      <c r="N914" s="21">
        <f t="shared" si="738"/>
        <v>0</v>
      </c>
      <c r="O914" s="21">
        <f t="shared" si="738"/>
        <v>0</v>
      </c>
      <c r="P914" s="21">
        <f t="shared" si="738"/>
        <v>0</v>
      </c>
      <c r="Q914" s="21">
        <f t="shared" si="738"/>
        <v>0</v>
      </c>
      <c r="R914" s="21">
        <f t="shared" si="738"/>
        <v>0</v>
      </c>
      <c r="S914" s="21">
        <f t="shared" si="738"/>
        <v>5.4209124999999997E-2</v>
      </c>
      <c r="T914" s="21">
        <f t="shared" si="738"/>
        <v>8.1313687499999995E-2</v>
      </c>
      <c r="U914" s="21">
        <f t="shared" si="738"/>
        <v>0.10841824999999999</v>
      </c>
      <c r="V914" s="21">
        <f t="shared" si="738"/>
        <v>0.10841824999999999</v>
      </c>
      <c r="W914" s="563"/>
      <c r="X914" s="563"/>
      <c r="Y914" s="563"/>
      <c r="Z914" s="563"/>
      <c r="AA914" s="563"/>
      <c r="AB914" s="563"/>
      <c r="AC914" s="563"/>
      <c r="AD914" s="563"/>
      <c r="AE914" s="563"/>
    </row>
    <row r="915" spans="3:31" x14ac:dyDescent="0.2">
      <c r="C915" s="1" t="s">
        <v>716</v>
      </c>
      <c r="E915" s="56"/>
      <c r="F915" s="1" t="s">
        <v>15</v>
      </c>
      <c r="I915" s="21">
        <f t="shared" ref="I915:V915" si="739">I914*$E$907/$E$72</f>
        <v>0</v>
      </c>
      <c r="J915" s="21">
        <f t="shared" si="739"/>
        <v>0</v>
      </c>
      <c r="K915" s="21">
        <f t="shared" si="739"/>
        <v>0</v>
      </c>
      <c r="L915" s="21">
        <f t="shared" si="739"/>
        <v>0</v>
      </c>
      <c r="M915" s="21">
        <f t="shared" si="739"/>
        <v>0</v>
      </c>
      <c r="N915" s="21">
        <f t="shared" si="739"/>
        <v>0</v>
      </c>
      <c r="O915" s="21">
        <f t="shared" si="739"/>
        <v>0</v>
      </c>
      <c r="P915" s="21">
        <f t="shared" si="739"/>
        <v>0</v>
      </c>
      <c r="Q915" s="21">
        <f t="shared" si="739"/>
        <v>0</v>
      </c>
      <c r="R915" s="21">
        <f t="shared" si="739"/>
        <v>0</v>
      </c>
      <c r="S915" s="21">
        <f t="shared" si="739"/>
        <v>1.7822178082191779E-2</v>
      </c>
      <c r="T915" s="21">
        <f t="shared" si="739"/>
        <v>2.673326712328767E-2</v>
      </c>
      <c r="U915" s="21">
        <f t="shared" si="739"/>
        <v>3.5644356164383557E-2</v>
      </c>
      <c r="V915" s="21">
        <f t="shared" si="739"/>
        <v>3.5644356164383557E-2</v>
      </c>
      <c r="W915" s="563"/>
      <c r="X915" s="563"/>
      <c r="Y915" s="563"/>
      <c r="Z915" s="563"/>
      <c r="AA915" s="563"/>
      <c r="AB915" s="563"/>
      <c r="AC915" s="563"/>
      <c r="AD915" s="563"/>
      <c r="AE915" s="563"/>
    </row>
    <row r="916" spans="3:31" x14ac:dyDescent="0.2">
      <c r="C916" s="1" t="s">
        <v>717</v>
      </c>
      <c r="E916" s="56"/>
      <c r="F916" s="1" t="s">
        <v>3</v>
      </c>
      <c r="I916" s="21">
        <f t="shared" ref="I916:V916" si="740">I797</f>
        <v>0</v>
      </c>
      <c r="J916" s="21">
        <f t="shared" si="740"/>
        <v>0</v>
      </c>
      <c r="K916" s="21">
        <f t="shared" si="740"/>
        <v>0</v>
      </c>
      <c r="L916" s="21">
        <f t="shared" si="740"/>
        <v>0</v>
      </c>
      <c r="M916" s="21">
        <f t="shared" si="740"/>
        <v>0</v>
      </c>
      <c r="N916" s="21">
        <f t="shared" si="740"/>
        <v>0</v>
      </c>
      <c r="O916" s="21">
        <f t="shared" si="740"/>
        <v>0</v>
      </c>
      <c r="P916" s="21">
        <f t="shared" si="740"/>
        <v>0</v>
      </c>
      <c r="Q916" s="21">
        <f t="shared" si="740"/>
        <v>0</v>
      </c>
      <c r="R916" s="21">
        <f t="shared" si="740"/>
        <v>0</v>
      </c>
      <c r="S916" s="21">
        <f t="shared" si="740"/>
        <v>362.72326284351482</v>
      </c>
      <c r="T916" s="21">
        <f t="shared" si="740"/>
        <v>346.68119398265554</v>
      </c>
      <c r="U916" s="21">
        <f t="shared" si="740"/>
        <v>339.51736217802829</v>
      </c>
      <c r="V916" s="21">
        <f t="shared" si="740"/>
        <v>337.45028977731369</v>
      </c>
      <c r="W916" s="563"/>
      <c r="X916" s="563"/>
      <c r="Y916" s="563"/>
      <c r="Z916" s="563"/>
      <c r="AA916" s="563"/>
      <c r="AB916" s="563"/>
      <c r="AC916" s="563"/>
      <c r="AD916" s="563"/>
      <c r="AE916" s="563"/>
    </row>
    <row r="917" spans="3:31" x14ac:dyDescent="0.2">
      <c r="C917" s="1" t="s">
        <v>718</v>
      </c>
      <c r="E917" s="56"/>
      <c r="F917" s="1" t="s">
        <v>55</v>
      </c>
      <c r="I917" s="21">
        <f>I915*I916</f>
        <v>0</v>
      </c>
      <c r="J917" s="21">
        <f t="shared" ref="J917:U917" si="741">J915*J916</f>
        <v>0</v>
      </c>
      <c r="K917" s="21">
        <f t="shared" si="741"/>
        <v>0</v>
      </c>
      <c r="L917" s="21">
        <f t="shared" si="741"/>
        <v>0</v>
      </c>
      <c r="M917" s="21">
        <f t="shared" si="741"/>
        <v>0</v>
      </c>
      <c r="N917" s="21">
        <f t="shared" si="741"/>
        <v>0</v>
      </c>
      <c r="O917" s="21">
        <f t="shared" si="741"/>
        <v>0</v>
      </c>
      <c r="P917" s="21">
        <f t="shared" si="741"/>
        <v>0</v>
      </c>
      <c r="Q917" s="21">
        <f t="shared" si="741"/>
        <v>0</v>
      </c>
      <c r="R917" s="21">
        <f t="shared" si="741"/>
        <v>0</v>
      </c>
      <c r="S917" s="21">
        <f t="shared" si="741"/>
        <v>6.4645185849507776</v>
      </c>
      <c r="T917" s="21">
        <f t="shared" si="741"/>
        <v>9.2679209653586412</v>
      </c>
      <c r="U917" s="21">
        <f t="shared" si="741"/>
        <v>12.101877781465648</v>
      </c>
      <c r="V917" s="21">
        <f>V915*V916</f>
        <v>12.02819831659701</v>
      </c>
      <c r="W917" s="563"/>
      <c r="X917" s="563"/>
      <c r="Y917" s="563"/>
      <c r="Z917" s="563"/>
      <c r="AA917" s="563"/>
      <c r="AB917" s="563"/>
      <c r="AC917" s="563"/>
      <c r="AD917" s="563"/>
      <c r="AE917" s="563"/>
    </row>
    <row r="918" spans="3:31" x14ac:dyDescent="0.2">
      <c r="E918" s="56"/>
      <c r="I918" s="21"/>
      <c r="J918" s="21"/>
      <c r="K918" s="21"/>
      <c r="L918" s="21"/>
      <c r="M918" s="21"/>
      <c r="N918" s="21"/>
      <c r="O918" s="21"/>
      <c r="P918" s="21"/>
      <c r="Q918" s="21"/>
      <c r="R918" s="21"/>
      <c r="S918" s="21"/>
      <c r="T918" s="21"/>
      <c r="U918" s="21"/>
      <c r="V918" s="21"/>
      <c r="W918" s="563"/>
      <c r="X918" s="563"/>
      <c r="Y918" s="563"/>
      <c r="Z918" s="563"/>
      <c r="AA918" s="563"/>
      <c r="AB918" s="563"/>
      <c r="AC918" s="563"/>
      <c r="AD918" s="563"/>
      <c r="AE918" s="563"/>
    </row>
    <row r="919" spans="3:31" x14ac:dyDescent="0.2">
      <c r="C919" s="1" t="s">
        <v>917</v>
      </c>
      <c r="E919" s="56"/>
      <c r="F919" s="1" t="s">
        <v>15</v>
      </c>
      <c r="I919" s="21">
        <f t="shared" ref="I919:V919" si="742">I191</f>
        <v>0</v>
      </c>
      <c r="J919" s="21">
        <f t="shared" si="742"/>
        <v>0</v>
      </c>
      <c r="K919" s="21">
        <f t="shared" si="742"/>
        <v>0</v>
      </c>
      <c r="L919" s="21">
        <f t="shared" si="742"/>
        <v>0</v>
      </c>
      <c r="M919" s="21">
        <f t="shared" si="742"/>
        <v>0</v>
      </c>
      <c r="N919" s="21">
        <f t="shared" si="742"/>
        <v>0</v>
      </c>
      <c r="O919" s="21">
        <f t="shared" si="742"/>
        <v>0</v>
      </c>
      <c r="P919" s="21">
        <f t="shared" si="742"/>
        <v>0</v>
      </c>
      <c r="Q919" s="21">
        <f t="shared" si="742"/>
        <v>0</v>
      </c>
      <c r="R919" s="21">
        <f t="shared" si="742"/>
        <v>0</v>
      </c>
      <c r="S919" s="21">
        <f t="shared" si="742"/>
        <v>8.5555624999999996E-2</v>
      </c>
      <c r="T919" s="21">
        <f t="shared" si="742"/>
        <v>0.12833343749999998</v>
      </c>
      <c r="U919" s="21">
        <f t="shared" si="742"/>
        <v>0.17111124999999999</v>
      </c>
      <c r="V919" s="21">
        <f t="shared" si="742"/>
        <v>0.17111124999999999</v>
      </c>
      <c r="W919" s="563"/>
      <c r="X919" s="563"/>
      <c r="Y919" s="563"/>
      <c r="Z919" s="563"/>
      <c r="AA919" s="563"/>
      <c r="AB919" s="563"/>
      <c r="AC919" s="563"/>
      <c r="AD919" s="563"/>
      <c r="AE919" s="563"/>
    </row>
    <row r="920" spans="3:31" x14ac:dyDescent="0.2">
      <c r="C920" s="1" t="s">
        <v>535</v>
      </c>
      <c r="E920" s="56"/>
      <c r="F920" s="1" t="s">
        <v>15</v>
      </c>
      <c r="I920" s="21">
        <f t="shared" ref="I920:V920" si="743">I919*$E$908/$E$72</f>
        <v>0</v>
      </c>
      <c r="J920" s="21">
        <f t="shared" si="743"/>
        <v>0</v>
      </c>
      <c r="K920" s="21">
        <f t="shared" si="743"/>
        <v>0</v>
      </c>
      <c r="L920" s="21">
        <f t="shared" si="743"/>
        <v>0</v>
      </c>
      <c r="M920" s="21">
        <f t="shared" si="743"/>
        <v>0</v>
      </c>
      <c r="N920" s="21">
        <f t="shared" si="743"/>
        <v>0</v>
      </c>
      <c r="O920" s="21">
        <f t="shared" si="743"/>
        <v>0</v>
      </c>
      <c r="P920" s="21">
        <f t="shared" si="743"/>
        <v>0</v>
      </c>
      <c r="Q920" s="21">
        <f t="shared" si="743"/>
        <v>0</v>
      </c>
      <c r="R920" s="21">
        <f t="shared" si="743"/>
        <v>0</v>
      </c>
      <c r="S920" s="21">
        <f t="shared" si="743"/>
        <v>2.8127876712328765E-2</v>
      </c>
      <c r="T920" s="21">
        <f t="shared" si="743"/>
        <v>4.2191815068493142E-2</v>
      </c>
      <c r="U920" s="21">
        <f t="shared" si="743"/>
        <v>5.625575342465753E-2</v>
      </c>
      <c r="V920" s="21">
        <f t="shared" si="743"/>
        <v>5.625575342465753E-2</v>
      </c>
      <c r="W920" s="563"/>
      <c r="X920" s="563"/>
      <c r="Y920" s="563"/>
      <c r="Z920" s="563"/>
      <c r="AA920" s="563"/>
      <c r="AB920" s="563"/>
      <c r="AC920" s="563"/>
      <c r="AD920" s="563"/>
      <c r="AE920" s="563"/>
    </row>
    <row r="921" spans="3:31" x14ac:dyDescent="0.2">
      <c r="C921" s="1" t="s">
        <v>536</v>
      </c>
      <c r="E921" s="56"/>
      <c r="F921" s="1" t="s">
        <v>3</v>
      </c>
      <c r="I921" s="21">
        <f t="shared" ref="I921:V921" si="744">I199</f>
        <v>119.3707857142857</v>
      </c>
      <c r="J921" s="21">
        <f t="shared" si="744"/>
        <v>119.3707857142857</v>
      </c>
      <c r="K921" s="21">
        <f t="shared" si="744"/>
        <v>119.3707857142857</v>
      </c>
      <c r="L921" s="21">
        <f t="shared" si="744"/>
        <v>119.3707857142857</v>
      </c>
      <c r="M921" s="21">
        <f t="shared" si="744"/>
        <v>119.3707857142857</v>
      </c>
      <c r="N921" s="21">
        <f t="shared" si="744"/>
        <v>119.3707857142857</v>
      </c>
      <c r="O921" s="21">
        <f t="shared" si="744"/>
        <v>119.3707857142857</v>
      </c>
      <c r="P921" s="21">
        <f t="shared" si="744"/>
        <v>119.3707857142857</v>
      </c>
      <c r="Q921" s="21">
        <f t="shared" si="744"/>
        <v>119.3707857142857</v>
      </c>
      <c r="R921" s="21">
        <f t="shared" si="744"/>
        <v>119.3707857142857</v>
      </c>
      <c r="S921" s="21">
        <f t="shared" si="744"/>
        <v>119.3707857142857</v>
      </c>
      <c r="T921" s="21">
        <f t="shared" si="744"/>
        <v>119.3707857142857</v>
      </c>
      <c r="U921" s="21">
        <f t="shared" si="744"/>
        <v>119.3707857142857</v>
      </c>
      <c r="V921" s="21">
        <f t="shared" si="744"/>
        <v>119.3707857142857</v>
      </c>
      <c r="W921" s="563"/>
      <c r="X921" s="563"/>
      <c r="Y921" s="563"/>
      <c r="Z921" s="563"/>
      <c r="AA921" s="563"/>
      <c r="AB921" s="563"/>
      <c r="AC921" s="563"/>
      <c r="AD921" s="563"/>
      <c r="AE921" s="563"/>
    </row>
    <row r="922" spans="3:31" x14ac:dyDescent="0.2">
      <c r="C922" s="1" t="s">
        <v>537</v>
      </c>
      <c r="E922" s="56"/>
      <c r="F922" s="1" t="s">
        <v>55</v>
      </c>
      <c r="I922" s="21">
        <f>I920*I921</f>
        <v>0</v>
      </c>
      <c r="J922" s="21">
        <f t="shared" ref="J922:V922" si="745">J920*J921</f>
        <v>0</v>
      </c>
      <c r="K922" s="21">
        <f>K920*K921</f>
        <v>0</v>
      </c>
      <c r="L922" s="21">
        <f t="shared" si="745"/>
        <v>0</v>
      </c>
      <c r="M922" s="21">
        <f t="shared" si="745"/>
        <v>0</v>
      </c>
      <c r="N922" s="21">
        <f t="shared" si="745"/>
        <v>0</v>
      </c>
      <c r="O922" s="21">
        <f t="shared" si="745"/>
        <v>0</v>
      </c>
      <c r="P922" s="21">
        <f t="shared" si="745"/>
        <v>0</v>
      </c>
      <c r="Q922" s="21">
        <f t="shared" si="745"/>
        <v>0</v>
      </c>
      <c r="R922" s="21">
        <f t="shared" si="745"/>
        <v>0</v>
      </c>
      <c r="S922" s="21">
        <f t="shared" si="745"/>
        <v>3.357646743625244</v>
      </c>
      <c r="T922" s="21">
        <f t="shared" si="745"/>
        <v>5.036470115437865</v>
      </c>
      <c r="U922" s="21">
        <f t="shared" si="745"/>
        <v>6.7152934872504879</v>
      </c>
      <c r="V922" s="21">
        <f t="shared" si="745"/>
        <v>6.7152934872504879</v>
      </c>
      <c r="W922" s="563"/>
      <c r="X922" s="563"/>
      <c r="Y922" s="563"/>
      <c r="Z922" s="563"/>
      <c r="AA922" s="563"/>
      <c r="AB922" s="563"/>
      <c r="AC922" s="563"/>
      <c r="AD922" s="563"/>
      <c r="AE922" s="563"/>
    </row>
    <row r="923" spans="3:31" x14ac:dyDescent="0.2">
      <c r="E923" s="56"/>
    </row>
    <row r="924" spans="3:31" x14ac:dyDescent="0.2">
      <c r="C924" s="1" t="s">
        <v>918</v>
      </c>
      <c r="E924" s="56"/>
      <c r="F924" s="1" t="s">
        <v>15</v>
      </c>
      <c r="I924" s="21">
        <f t="shared" ref="I924:V924" si="746">I251</f>
        <v>0</v>
      </c>
      <c r="J924" s="21">
        <f t="shared" si="746"/>
        <v>0</v>
      </c>
      <c r="K924" s="21">
        <f t="shared" si="746"/>
        <v>0</v>
      </c>
      <c r="L924" s="21">
        <f t="shared" si="746"/>
        <v>0</v>
      </c>
      <c r="M924" s="21">
        <f t="shared" si="746"/>
        <v>0</v>
      </c>
      <c r="N924" s="21">
        <f t="shared" si="746"/>
        <v>0</v>
      </c>
      <c r="O924" s="21">
        <f t="shared" si="746"/>
        <v>0</v>
      </c>
      <c r="P924" s="21">
        <f t="shared" si="746"/>
        <v>0</v>
      </c>
      <c r="Q924" s="21">
        <f t="shared" si="746"/>
        <v>0</v>
      </c>
      <c r="R924" s="21">
        <f t="shared" si="746"/>
        <v>0</v>
      </c>
      <c r="S924" s="21">
        <f t="shared" si="746"/>
        <v>3.6103277250000001E-3</v>
      </c>
      <c r="T924" s="21">
        <f t="shared" si="746"/>
        <v>5.4154915875000006E-3</v>
      </c>
      <c r="U924" s="21">
        <f t="shared" si="746"/>
        <v>7.2206554500000002E-3</v>
      </c>
      <c r="V924" s="21">
        <f t="shared" si="746"/>
        <v>7.2206554500000002E-3</v>
      </c>
      <c r="W924" s="563"/>
      <c r="X924" s="563"/>
      <c r="Y924" s="563"/>
      <c r="Z924" s="563"/>
      <c r="AA924" s="563"/>
      <c r="AB924" s="563"/>
      <c r="AC924" s="563"/>
      <c r="AD924" s="563"/>
      <c r="AE924" s="563"/>
    </row>
    <row r="925" spans="3:31" x14ac:dyDescent="0.2">
      <c r="C925" s="1" t="s">
        <v>106</v>
      </c>
      <c r="E925" s="56"/>
      <c r="F925" s="1" t="s">
        <v>15</v>
      </c>
      <c r="I925" s="21">
        <f t="shared" ref="I925:V925" si="747">I924*$E$909/$E$72</f>
        <v>0</v>
      </c>
      <c r="J925" s="21">
        <f t="shared" si="747"/>
        <v>0</v>
      </c>
      <c r="K925" s="21">
        <f t="shared" si="747"/>
        <v>0</v>
      </c>
      <c r="L925" s="21">
        <f t="shared" si="747"/>
        <v>0</v>
      </c>
      <c r="M925" s="21">
        <f t="shared" si="747"/>
        <v>0</v>
      </c>
      <c r="N925" s="21">
        <f t="shared" si="747"/>
        <v>0</v>
      </c>
      <c r="O925" s="21">
        <f t="shared" si="747"/>
        <v>0</v>
      </c>
      <c r="P925" s="21">
        <f t="shared" si="747"/>
        <v>0</v>
      </c>
      <c r="Q925" s="21">
        <f t="shared" si="747"/>
        <v>0</v>
      </c>
      <c r="R925" s="21">
        <f t="shared" si="747"/>
        <v>0</v>
      </c>
      <c r="S925" s="21">
        <f t="shared" si="747"/>
        <v>1.7804355904109592E-3</v>
      </c>
      <c r="T925" s="21">
        <f t="shared" si="747"/>
        <v>2.6706533856164388E-3</v>
      </c>
      <c r="U925" s="21">
        <f t="shared" si="747"/>
        <v>3.5608711808219184E-3</v>
      </c>
      <c r="V925" s="21">
        <f t="shared" si="747"/>
        <v>3.5608711808219184E-3</v>
      </c>
      <c r="W925" s="563"/>
      <c r="X925" s="563"/>
      <c r="Y925" s="563"/>
      <c r="Z925" s="563"/>
      <c r="AA925" s="563"/>
      <c r="AB925" s="563"/>
      <c r="AC925" s="563"/>
      <c r="AD925" s="563"/>
      <c r="AE925" s="563"/>
    </row>
    <row r="926" spans="3:31" x14ac:dyDescent="0.2">
      <c r="C926" s="1" t="s">
        <v>107</v>
      </c>
      <c r="E926" s="56"/>
      <c r="F926" s="1" t="s">
        <v>3</v>
      </c>
      <c r="I926" s="21">
        <f t="shared" ref="I926:V926" si="748">I255</f>
        <v>120</v>
      </c>
      <c r="J926" s="21">
        <f t="shared" si="748"/>
        <v>120</v>
      </c>
      <c r="K926" s="21">
        <f t="shared" si="748"/>
        <v>120</v>
      </c>
      <c r="L926" s="21">
        <f t="shared" si="748"/>
        <v>120</v>
      </c>
      <c r="M926" s="21">
        <f t="shared" si="748"/>
        <v>120</v>
      </c>
      <c r="N926" s="21">
        <f t="shared" si="748"/>
        <v>120</v>
      </c>
      <c r="O926" s="21">
        <f t="shared" si="748"/>
        <v>120</v>
      </c>
      <c r="P926" s="21">
        <f t="shared" si="748"/>
        <v>120</v>
      </c>
      <c r="Q926" s="21">
        <f t="shared" si="748"/>
        <v>120</v>
      </c>
      <c r="R926" s="21">
        <f t="shared" si="748"/>
        <v>120</v>
      </c>
      <c r="S926" s="21">
        <f t="shared" si="748"/>
        <v>120</v>
      </c>
      <c r="T926" s="21">
        <f t="shared" si="748"/>
        <v>120</v>
      </c>
      <c r="U926" s="21">
        <f t="shared" si="748"/>
        <v>120</v>
      </c>
      <c r="V926" s="21">
        <f t="shared" si="748"/>
        <v>120</v>
      </c>
      <c r="W926" s="563"/>
      <c r="X926" s="563"/>
      <c r="Y926" s="563"/>
      <c r="Z926" s="563"/>
      <c r="AA926" s="563"/>
      <c r="AB926" s="563"/>
      <c r="AC926" s="563"/>
      <c r="AD926" s="563"/>
      <c r="AE926" s="563"/>
    </row>
    <row r="927" spans="3:31" x14ac:dyDescent="0.2">
      <c r="C927" s="1" t="s">
        <v>108</v>
      </c>
      <c r="E927" s="56"/>
      <c r="F927" s="1" t="s">
        <v>55</v>
      </c>
      <c r="I927" s="21">
        <f>I925*I926</f>
        <v>0</v>
      </c>
      <c r="J927" s="21">
        <f t="shared" ref="J927:V927" si="749">J925*J926</f>
        <v>0</v>
      </c>
      <c r="K927" s="21">
        <f>K925*K926</f>
        <v>0</v>
      </c>
      <c r="L927" s="21">
        <f t="shared" si="749"/>
        <v>0</v>
      </c>
      <c r="M927" s="21">
        <f t="shared" si="749"/>
        <v>0</v>
      </c>
      <c r="N927" s="21">
        <f t="shared" si="749"/>
        <v>0</v>
      </c>
      <c r="O927" s="21">
        <f t="shared" si="749"/>
        <v>0</v>
      </c>
      <c r="P927" s="21">
        <f t="shared" si="749"/>
        <v>0</v>
      </c>
      <c r="Q927" s="21">
        <f t="shared" si="749"/>
        <v>0</v>
      </c>
      <c r="R927" s="21">
        <f t="shared" si="749"/>
        <v>0</v>
      </c>
      <c r="S927" s="21">
        <f t="shared" si="749"/>
        <v>0.2136522708493151</v>
      </c>
      <c r="T927" s="21">
        <f t="shared" si="749"/>
        <v>0.32047840627397267</v>
      </c>
      <c r="U927" s="21">
        <f t="shared" si="749"/>
        <v>0.42730454169863019</v>
      </c>
      <c r="V927" s="21">
        <f t="shared" si="749"/>
        <v>0.42730454169863019</v>
      </c>
      <c r="W927" s="563"/>
      <c r="X927" s="563"/>
      <c r="Y927" s="563"/>
      <c r="Z927" s="563"/>
      <c r="AA927" s="563"/>
      <c r="AB927" s="563"/>
      <c r="AC927" s="563"/>
      <c r="AD927" s="563"/>
      <c r="AE927" s="563"/>
    </row>
    <row r="928" spans="3:31" x14ac:dyDescent="0.2">
      <c r="E928" s="56"/>
    </row>
    <row r="929" spans="2:31" x14ac:dyDescent="0.2">
      <c r="C929" s="1" t="s">
        <v>109</v>
      </c>
      <c r="E929" s="56"/>
      <c r="F929" s="1" t="s">
        <v>55</v>
      </c>
      <c r="I929" s="21">
        <f t="shared" ref="I929:V929" si="750">I791</f>
        <v>0</v>
      </c>
      <c r="J929" s="21">
        <f t="shared" si="750"/>
        <v>0</v>
      </c>
      <c r="K929" s="21">
        <f t="shared" si="750"/>
        <v>0</v>
      </c>
      <c r="L929" s="21">
        <f t="shared" si="750"/>
        <v>0</v>
      </c>
      <c r="M929" s="21">
        <f t="shared" si="750"/>
        <v>0</v>
      </c>
      <c r="N929" s="21">
        <f t="shared" si="750"/>
        <v>0</v>
      </c>
      <c r="O929" s="21">
        <f t="shared" si="750"/>
        <v>0</v>
      </c>
      <c r="P929" s="21">
        <f t="shared" si="750"/>
        <v>0</v>
      </c>
      <c r="Q929" s="21">
        <f t="shared" si="750"/>
        <v>0</v>
      </c>
      <c r="R929" s="21">
        <f t="shared" si="750"/>
        <v>0</v>
      </c>
      <c r="S929" s="21">
        <f t="shared" si="750"/>
        <v>19.662910695891949</v>
      </c>
      <c r="T929" s="21">
        <f t="shared" si="750"/>
        <v>28.189926269632529</v>
      </c>
      <c r="U929" s="21">
        <f t="shared" si="750"/>
        <v>36.809878251958011</v>
      </c>
      <c r="V929" s="21">
        <f t="shared" si="750"/>
        <v>36.585769879649234</v>
      </c>
      <c r="W929" s="563"/>
      <c r="X929" s="563"/>
      <c r="Y929" s="563"/>
      <c r="Z929" s="563"/>
      <c r="AA929" s="563"/>
      <c r="AB929" s="563"/>
      <c r="AC929" s="563"/>
      <c r="AD929" s="563"/>
      <c r="AE929" s="563"/>
    </row>
    <row r="930" spans="2:31" x14ac:dyDescent="0.2">
      <c r="C930" s="1" t="s">
        <v>110</v>
      </c>
      <c r="E930" s="56"/>
      <c r="F930" s="1" t="s">
        <v>55</v>
      </c>
      <c r="I930" s="21">
        <f t="shared" ref="I930:V930" si="751">-I929*$E$905/$E$72</f>
        <v>0</v>
      </c>
      <c r="J930" s="21">
        <f t="shared" si="751"/>
        <v>0</v>
      </c>
      <c r="K930" s="21">
        <f t="shared" si="751"/>
        <v>0</v>
      </c>
      <c r="L930" s="21">
        <f t="shared" si="751"/>
        <v>0</v>
      </c>
      <c r="M930" s="21">
        <f t="shared" si="751"/>
        <v>0</v>
      </c>
      <c r="N930" s="21">
        <f t="shared" si="751"/>
        <v>0</v>
      </c>
      <c r="O930" s="21">
        <f t="shared" si="751"/>
        <v>0</v>
      </c>
      <c r="P930" s="21">
        <f t="shared" si="751"/>
        <v>0</v>
      </c>
      <c r="Q930" s="21">
        <f t="shared" si="751"/>
        <v>0</v>
      </c>
      <c r="R930" s="21">
        <f t="shared" si="751"/>
        <v>0</v>
      </c>
      <c r="S930" s="21">
        <f t="shared" si="751"/>
        <v>-12.929037169901557</v>
      </c>
      <c r="T930" s="21">
        <f t="shared" si="751"/>
        <v>-18.535841930717279</v>
      </c>
      <c r="U930" s="21">
        <f t="shared" si="751"/>
        <v>-24.203755562931295</v>
      </c>
      <c r="V930" s="21">
        <f t="shared" si="751"/>
        <v>-24.056396633194019</v>
      </c>
      <c r="W930" s="563"/>
      <c r="X930" s="563"/>
      <c r="Y930" s="563"/>
      <c r="Z930" s="563"/>
      <c r="AA930" s="563"/>
      <c r="AB930" s="563"/>
      <c r="AC930" s="563"/>
      <c r="AD930" s="563"/>
      <c r="AE930" s="563"/>
    </row>
    <row r="931" spans="2:31" x14ac:dyDescent="0.2">
      <c r="E931" s="56"/>
    </row>
    <row r="932" spans="2:31" x14ac:dyDescent="0.2">
      <c r="C932" s="1" t="s">
        <v>111</v>
      </c>
      <c r="E932" s="56"/>
      <c r="F932" s="1" t="s">
        <v>55</v>
      </c>
      <c r="I932" s="21">
        <f t="shared" ref="I932:V932" si="752">I897</f>
        <v>3.00687975</v>
      </c>
      <c r="J932" s="21">
        <f t="shared" si="752"/>
        <v>5.9361625</v>
      </c>
      <c r="K932" s="21">
        <f t="shared" si="752"/>
        <v>1.0569</v>
      </c>
      <c r="L932" s="21">
        <f t="shared" si="752"/>
        <v>46.557598916478945</v>
      </c>
      <c r="M932" s="21">
        <f t="shared" si="752"/>
        <v>58.196998645598669</v>
      </c>
      <c r="N932" s="21">
        <f t="shared" si="752"/>
        <v>69.836398374718414</v>
      </c>
      <c r="O932" s="21">
        <f t="shared" si="752"/>
        <v>69.836398374718414</v>
      </c>
      <c r="P932" s="21">
        <f t="shared" si="752"/>
        <v>69.836398374718414</v>
      </c>
      <c r="Q932" s="21">
        <f t="shared" si="752"/>
        <v>69.836398374718414</v>
      </c>
      <c r="R932" s="21">
        <f t="shared" si="752"/>
        <v>58.196998645598669</v>
      </c>
      <c r="S932" s="21">
        <f t="shared" si="752"/>
        <v>23.278799458239472</v>
      </c>
      <c r="T932" s="21">
        <f t="shared" si="752"/>
        <v>0</v>
      </c>
      <c r="U932" s="21">
        <f t="shared" si="752"/>
        <v>0</v>
      </c>
      <c r="V932" s="21">
        <f t="shared" si="752"/>
        <v>0</v>
      </c>
      <c r="W932" s="563"/>
      <c r="X932" s="563"/>
      <c r="Y932" s="563"/>
      <c r="Z932" s="563"/>
      <c r="AA932" s="563"/>
      <c r="AB932" s="563"/>
      <c r="AC932" s="563"/>
      <c r="AD932" s="563"/>
      <c r="AE932" s="563"/>
    </row>
    <row r="933" spans="2:31" x14ac:dyDescent="0.2">
      <c r="C933" s="1" t="s">
        <v>110</v>
      </c>
      <c r="E933" s="56"/>
      <c r="F933" s="1" t="s">
        <v>55</v>
      </c>
      <c r="I933" s="21">
        <f t="shared" ref="I933:V933" si="753">-I932*$E$906/$E$72</f>
        <v>0</v>
      </c>
      <c r="J933" s="21">
        <f t="shared" si="753"/>
        <v>0</v>
      </c>
      <c r="K933" s="21">
        <f t="shared" si="753"/>
        <v>0</v>
      </c>
      <c r="L933" s="21">
        <f t="shared" si="753"/>
        <v>0</v>
      </c>
      <c r="M933" s="21">
        <f t="shared" si="753"/>
        <v>0</v>
      </c>
      <c r="N933" s="21">
        <f t="shared" si="753"/>
        <v>0</v>
      </c>
      <c r="O933" s="21">
        <f t="shared" si="753"/>
        <v>0</v>
      </c>
      <c r="P933" s="21">
        <f t="shared" si="753"/>
        <v>0</v>
      </c>
      <c r="Q933" s="21">
        <f t="shared" si="753"/>
        <v>0</v>
      </c>
      <c r="R933" s="21">
        <f t="shared" si="753"/>
        <v>0</v>
      </c>
      <c r="S933" s="21">
        <f t="shared" si="753"/>
        <v>0</v>
      </c>
      <c r="T933" s="21">
        <f t="shared" si="753"/>
        <v>0</v>
      </c>
      <c r="U933" s="21">
        <f t="shared" si="753"/>
        <v>0</v>
      </c>
      <c r="V933" s="21">
        <f t="shared" si="753"/>
        <v>0</v>
      </c>
      <c r="W933" s="563"/>
      <c r="X933" s="563"/>
      <c r="Y933" s="563"/>
      <c r="Z933" s="563"/>
      <c r="AA933" s="563"/>
      <c r="AB933" s="563"/>
      <c r="AC933" s="563"/>
      <c r="AD933" s="563"/>
      <c r="AE933" s="563"/>
    </row>
    <row r="934" spans="2:31" x14ac:dyDescent="0.2">
      <c r="E934" s="56"/>
    </row>
    <row r="935" spans="2:31" x14ac:dyDescent="0.2">
      <c r="C935" s="1" t="s">
        <v>112</v>
      </c>
      <c r="E935" s="56"/>
      <c r="F935" s="1" t="s">
        <v>55</v>
      </c>
      <c r="I935" s="21">
        <f>I912+I917+I922+I927+I930+I933</f>
        <v>0</v>
      </c>
      <c r="J935" s="21">
        <f t="shared" ref="J935:V935" si="754">J912+J917+J922+J927+J930+J933</f>
        <v>0</v>
      </c>
      <c r="K935" s="21">
        <f t="shared" si="754"/>
        <v>0</v>
      </c>
      <c r="L935" s="21">
        <f t="shared" si="754"/>
        <v>0</v>
      </c>
      <c r="M935" s="21">
        <f t="shared" si="754"/>
        <v>0</v>
      </c>
      <c r="N935" s="21">
        <f t="shared" si="754"/>
        <v>0</v>
      </c>
      <c r="O935" s="21">
        <f t="shared" si="754"/>
        <v>0</v>
      </c>
      <c r="P935" s="21">
        <f t="shared" si="754"/>
        <v>0</v>
      </c>
      <c r="Q935" s="21">
        <f t="shared" si="754"/>
        <v>0</v>
      </c>
      <c r="R935" s="21">
        <f t="shared" si="754"/>
        <v>0</v>
      </c>
      <c r="S935" s="21">
        <f t="shared" si="754"/>
        <v>9.1545728130854211</v>
      </c>
      <c r="T935" s="21">
        <f t="shared" si="754"/>
        <v>14.160716131695661</v>
      </c>
      <c r="U935" s="21">
        <f t="shared" si="754"/>
        <v>19.136305014606759</v>
      </c>
      <c r="V935" s="21">
        <f t="shared" si="754"/>
        <v>19.209984479475402</v>
      </c>
      <c r="W935" s="563"/>
      <c r="X935" s="563"/>
      <c r="Y935" s="563"/>
      <c r="Z935" s="563"/>
      <c r="AA935" s="563"/>
      <c r="AB935" s="563"/>
      <c r="AC935" s="563"/>
      <c r="AD935" s="563"/>
      <c r="AE935" s="563"/>
    </row>
    <row r="936" spans="2:31" x14ac:dyDescent="0.2">
      <c r="E936" s="56"/>
    </row>
    <row r="937" spans="2:31" x14ac:dyDescent="0.2">
      <c r="C937" s="9" t="s">
        <v>113</v>
      </c>
      <c r="D937" s="9"/>
      <c r="E937" s="57"/>
      <c r="F937" s="9" t="s">
        <v>55</v>
      </c>
      <c r="I937" s="21">
        <f>I935-H935</f>
        <v>0</v>
      </c>
      <c r="J937" s="21">
        <f t="shared" ref="J937:V937" si="755">J935-I935</f>
        <v>0</v>
      </c>
      <c r="K937" s="21">
        <f t="shared" si="755"/>
        <v>0</v>
      </c>
      <c r="L937" s="21">
        <f t="shared" si="755"/>
        <v>0</v>
      </c>
      <c r="M937" s="21">
        <f t="shared" si="755"/>
        <v>0</v>
      </c>
      <c r="N937" s="21">
        <f t="shared" si="755"/>
        <v>0</v>
      </c>
      <c r="O937" s="21">
        <f t="shared" si="755"/>
        <v>0</v>
      </c>
      <c r="P937" s="21">
        <f t="shared" si="755"/>
        <v>0</v>
      </c>
      <c r="Q937" s="21">
        <f t="shared" si="755"/>
        <v>0</v>
      </c>
      <c r="R937" s="21">
        <f t="shared" si="755"/>
        <v>0</v>
      </c>
      <c r="S937" s="21">
        <f t="shared" si="755"/>
        <v>9.1545728130854211</v>
      </c>
      <c r="T937" s="21">
        <f t="shared" si="755"/>
        <v>5.0061433186102402</v>
      </c>
      <c r="U937" s="21">
        <f t="shared" si="755"/>
        <v>4.9755888829110972</v>
      </c>
      <c r="V937" s="21">
        <f t="shared" si="755"/>
        <v>7.3679464868643407E-2</v>
      </c>
      <c r="W937" s="563"/>
      <c r="X937" s="563"/>
      <c r="Y937" s="563"/>
      <c r="Z937" s="563"/>
      <c r="AA937" s="563"/>
      <c r="AB937" s="563"/>
      <c r="AC937" s="563"/>
      <c r="AD937" s="563"/>
      <c r="AE937" s="563"/>
    </row>
    <row r="938" spans="2:31" x14ac:dyDescent="0.2">
      <c r="E938" s="56"/>
    </row>
    <row r="939" spans="2:31" x14ac:dyDescent="0.2">
      <c r="B939" s="10">
        <f>B901+0.1</f>
        <v>8.1</v>
      </c>
      <c r="C939" s="9" t="s">
        <v>461</v>
      </c>
      <c r="E939" s="56"/>
    </row>
    <row r="940" spans="2:31" x14ac:dyDescent="0.2">
      <c r="E940" s="56"/>
    </row>
    <row r="941" spans="2:31" x14ac:dyDescent="0.2">
      <c r="C941" s="1" t="s">
        <v>460</v>
      </c>
      <c r="E941" s="56"/>
      <c r="F941" s="1" t="s">
        <v>55</v>
      </c>
      <c r="I941" s="21">
        <f t="shared" ref="I941:V941" si="756">I912+I922+I927</f>
        <v>0</v>
      </c>
      <c r="J941" s="21">
        <f t="shared" si="756"/>
        <v>0</v>
      </c>
      <c r="K941" s="21">
        <f t="shared" si="756"/>
        <v>0</v>
      </c>
      <c r="L941" s="21">
        <f t="shared" si="756"/>
        <v>0</v>
      </c>
      <c r="M941" s="21">
        <f t="shared" si="756"/>
        <v>0</v>
      </c>
      <c r="N941" s="21">
        <f t="shared" si="756"/>
        <v>0</v>
      </c>
      <c r="O941" s="21">
        <f t="shared" si="756"/>
        <v>0</v>
      </c>
      <c r="P941" s="21">
        <f t="shared" si="756"/>
        <v>0</v>
      </c>
      <c r="Q941" s="21">
        <f t="shared" si="756"/>
        <v>0</v>
      </c>
      <c r="R941" s="21">
        <f t="shared" si="756"/>
        <v>0</v>
      </c>
      <c r="S941" s="21">
        <f t="shared" si="756"/>
        <v>15.619091398036201</v>
      </c>
      <c r="T941" s="21">
        <f t="shared" si="756"/>
        <v>23.428637097054306</v>
      </c>
      <c r="U941" s="21">
        <f t="shared" si="756"/>
        <v>31.238182796072401</v>
      </c>
      <c r="V941" s="21">
        <f t="shared" si="756"/>
        <v>31.238182796072401</v>
      </c>
      <c r="W941" s="563"/>
      <c r="X941" s="563"/>
      <c r="Y941" s="563"/>
      <c r="Z941" s="563"/>
      <c r="AA941" s="563"/>
      <c r="AB941" s="563"/>
      <c r="AC941" s="563"/>
      <c r="AD941" s="563"/>
      <c r="AE941" s="563"/>
    </row>
    <row r="942" spans="2:31" x14ac:dyDescent="0.2">
      <c r="C942" s="1" t="s">
        <v>455</v>
      </c>
      <c r="E942" s="521">
        <f>'Plant model'!E942</f>
        <v>0.75</v>
      </c>
      <c r="F942" s="1" t="s">
        <v>8</v>
      </c>
      <c r="I942" s="35">
        <f t="shared" ref="I942:V942" si="757">$E$942</f>
        <v>0.75</v>
      </c>
      <c r="J942" s="35">
        <f t="shared" si="757"/>
        <v>0.75</v>
      </c>
      <c r="K942" s="35">
        <f t="shared" si="757"/>
        <v>0.75</v>
      </c>
      <c r="L942" s="35">
        <f t="shared" si="757"/>
        <v>0.75</v>
      </c>
      <c r="M942" s="35">
        <f t="shared" si="757"/>
        <v>0.75</v>
      </c>
      <c r="N942" s="35">
        <f t="shared" si="757"/>
        <v>0.75</v>
      </c>
      <c r="O942" s="35">
        <f t="shared" si="757"/>
        <v>0.75</v>
      </c>
      <c r="P942" s="35">
        <f t="shared" si="757"/>
        <v>0.75</v>
      </c>
      <c r="Q942" s="35">
        <f t="shared" si="757"/>
        <v>0.75</v>
      </c>
      <c r="R942" s="35">
        <f t="shared" si="757"/>
        <v>0.75</v>
      </c>
      <c r="S942" s="35">
        <f t="shared" si="757"/>
        <v>0.75</v>
      </c>
      <c r="T942" s="35">
        <f t="shared" si="757"/>
        <v>0.75</v>
      </c>
      <c r="U942" s="35">
        <f t="shared" si="757"/>
        <v>0.75</v>
      </c>
      <c r="V942" s="35">
        <f t="shared" si="757"/>
        <v>0.75</v>
      </c>
      <c r="W942" s="588"/>
      <c r="X942" s="588"/>
      <c r="Y942" s="588"/>
      <c r="Z942" s="588"/>
      <c r="AA942" s="588"/>
      <c r="AB942" s="588"/>
      <c r="AC942" s="588"/>
      <c r="AD942" s="588"/>
      <c r="AE942" s="588"/>
    </row>
    <row r="943" spans="2:31" x14ac:dyDescent="0.2">
      <c r="C943" s="1" t="s">
        <v>456</v>
      </c>
      <c r="E943" s="281"/>
      <c r="I943" s="21">
        <f>I941*I942</f>
        <v>0</v>
      </c>
      <c r="J943" s="21">
        <f>J941*J942</f>
        <v>0</v>
      </c>
      <c r="K943" s="21">
        <f>K941*K942</f>
        <v>0</v>
      </c>
      <c r="L943" s="21">
        <f>L941*L942</f>
        <v>0</v>
      </c>
      <c r="M943" s="21">
        <f t="shared" ref="M943:V943" si="758">M941*M942</f>
        <v>0</v>
      </c>
      <c r="N943" s="21">
        <f t="shared" si="758"/>
        <v>0</v>
      </c>
      <c r="O943" s="21">
        <f t="shared" si="758"/>
        <v>0</v>
      </c>
      <c r="P943" s="21">
        <f t="shared" si="758"/>
        <v>0</v>
      </c>
      <c r="Q943" s="21">
        <f t="shared" si="758"/>
        <v>0</v>
      </c>
      <c r="R943" s="21">
        <f t="shared" si="758"/>
        <v>0</v>
      </c>
      <c r="S943" s="21">
        <f t="shared" si="758"/>
        <v>11.714318548527149</v>
      </c>
      <c r="T943" s="21">
        <f t="shared" si="758"/>
        <v>17.57147782279073</v>
      </c>
      <c r="U943" s="21">
        <f t="shared" si="758"/>
        <v>23.428637097054299</v>
      </c>
      <c r="V943" s="21">
        <f t="shared" si="758"/>
        <v>23.428637097054299</v>
      </c>
      <c r="W943" s="563"/>
      <c r="X943" s="563"/>
      <c r="Y943" s="563"/>
      <c r="Z943" s="563"/>
      <c r="AA943" s="563"/>
      <c r="AB943" s="563"/>
      <c r="AC943" s="563"/>
      <c r="AD943" s="563"/>
      <c r="AE943" s="563"/>
    </row>
    <row r="944" spans="2:31" x14ac:dyDescent="0.2">
      <c r="C944" s="1" t="s">
        <v>145</v>
      </c>
      <c r="E944" s="522">
        <f>(1+'Plant model'!E944)^(1/4)-1</f>
        <v>1.9426546908273501E-2</v>
      </c>
      <c r="F944" s="1" t="s">
        <v>8</v>
      </c>
      <c r="I944" s="21"/>
      <c r="J944" s="21"/>
      <c r="K944" s="21"/>
      <c r="L944" s="21"/>
      <c r="M944" s="21"/>
      <c r="N944" s="21"/>
      <c r="O944" s="21"/>
      <c r="P944" s="21"/>
      <c r="Q944" s="21"/>
      <c r="R944" s="21"/>
      <c r="S944" s="21"/>
      <c r="T944" s="21"/>
      <c r="U944" s="21"/>
      <c r="V944" s="21"/>
      <c r="W944" s="563"/>
      <c r="X944" s="563"/>
      <c r="Y944" s="563"/>
      <c r="Z944" s="563"/>
      <c r="AA944" s="563"/>
      <c r="AB944" s="563"/>
      <c r="AC944" s="563"/>
      <c r="AD944" s="563"/>
      <c r="AE944" s="563"/>
    </row>
    <row r="945" spans="2:31" x14ac:dyDescent="0.2">
      <c r="E945" s="56"/>
    </row>
    <row r="946" spans="2:31" x14ac:dyDescent="0.2">
      <c r="C946" s="1" t="s">
        <v>457</v>
      </c>
      <c r="E946" s="56"/>
      <c r="F946" s="1" t="s">
        <v>55</v>
      </c>
      <c r="I946" s="106">
        <v>0</v>
      </c>
      <c r="J946" s="21">
        <f>I949</f>
        <v>0</v>
      </c>
      <c r="K946" s="21">
        <f t="shared" ref="K946:V946" si="759">J949</f>
        <v>0</v>
      </c>
      <c r="L946" s="21">
        <f t="shared" si="759"/>
        <v>0</v>
      </c>
      <c r="M946" s="21">
        <f t="shared" si="759"/>
        <v>0</v>
      </c>
      <c r="N946" s="21">
        <f t="shared" si="759"/>
        <v>0</v>
      </c>
      <c r="O946" s="21">
        <f t="shared" si="759"/>
        <v>0</v>
      </c>
      <c r="P946" s="21">
        <f t="shared" si="759"/>
        <v>0</v>
      </c>
      <c r="Q946" s="21">
        <f t="shared" si="759"/>
        <v>0</v>
      </c>
      <c r="R946" s="21">
        <f t="shared" si="759"/>
        <v>0</v>
      </c>
      <c r="S946" s="21">
        <f t="shared" si="759"/>
        <v>0</v>
      </c>
      <c r="T946" s="21">
        <f t="shared" si="759"/>
        <v>11.714318548527149</v>
      </c>
      <c r="U946" s="21">
        <f t="shared" si="759"/>
        <v>17.57147782279073</v>
      </c>
      <c r="V946" s="21">
        <f t="shared" si="759"/>
        <v>23.428637097054299</v>
      </c>
      <c r="W946" s="563"/>
      <c r="X946" s="563"/>
      <c r="Y946" s="563"/>
      <c r="Z946" s="563"/>
      <c r="AA946" s="563"/>
      <c r="AB946" s="563"/>
      <c r="AC946" s="563"/>
      <c r="AD946" s="563"/>
      <c r="AE946" s="563"/>
    </row>
    <row r="947" spans="2:31" x14ac:dyDescent="0.2">
      <c r="C947" s="1" t="s">
        <v>207</v>
      </c>
      <c r="E947" s="56"/>
      <c r="F947" s="1" t="s">
        <v>55</v>
      </c>
      <c r="G947" s="21">
        <f>SUM(I947:V947)</f>
        <v>23.428637097054299</v>
      </c>
      <c r="I947" s="21">
        <f t="shared" ref="I947:U947" si="760">MAX(I943-H943,0)</f>
        <v>0</v>
      </c>
      <c r="J947" s="21">
        <f t="shared" si="760"/>
        <v>0</v>
      </c>
      <c r="K947" s="21">
        <f t="shared" si="760"/>
        <v>0</v>
      </c>
      <c r="L947" s="21">
        <f t="shared" si="760"/>
        <v>0</v>
      </c>
      <c r="M947" s="21">
        <f t="shared" si="760"/>
        <v>0</v>
      </c>
      <c r="N947" s="21">
        <f t="shared" si="760"/>
        <v>0</v>
      </c>
      <c r="O947" s="21">
        <f t="shared" si="760"/>
        <v>0</v>
      </c>
      <c r="P947" s="21">
        <f t="shared" si="760"/>
        <v>0</v>
      </c>
      <c r="Q947" s="21">
        <f t="shared" si="760"/>
        <v>0</v>
      </c>
      <c r="R947" s="21">
        <f t="shared" si="760"/>
        <v>0</v>
      </c>
      <c r="S947" s="21">
        <f t="shared" si="760"/>
        <v>11.714318548527149</v>
      </c>
      <c r="T947" s="21">
        <f t="shared" si="760"/>
        <v>5.8571592742635801</v>
      </c>
      <c r="U947" s="21">
        <f t="shared" si="760"/>
        <v>5.8571592742635694</v>
      </c>
      <c r="V947" s="21">
        <f>MAX(V943-U943,0)</f>
        <v>0</v>
      </c>
      <c r="W947" s="563"/>
      <c r="X947" s="563"/>
      <c r="Y947" s="563"/>
      <c r="Z947" s="563"/>
      <c r="AA947" s="563"/>
      <c r="AB947" s="563"/>
      <c r="AC947" s="563"/>
      <c r="AD947" s="563"/>
      <c r="AE947" s="563"/>
    </row>
    <row r="948" spans="2:31" x14ac:dyDescent="0.2">
      <c r="C948" s="1" t="s">
        <v>208</v>
      </c>
      <c r="E948" s="56"/>
      <c r="F948" s="1" t="s">
        <v>55</v>
      </c>
      <c r="G948" s="21">
        <f>SUM(I948:V948)</f>
        <v>0</v>
      </c>
      <c r="I948" s="21">
        <f>MIN(I943-H943,0)</f>
        <v>0</v>
      </c>
      <c r="J948" s="21">
        <f t="shared" ref="J948:V948" si="761">MIN(J943-I943,0)</f>
        <v>0</v>
      </c>
      <c r="K948" s="21">
        <f t="shared" si="761"/>
        <v>0</v>
      </c>
      <c r="L948" s="21">
        <f t="shared" si="761"/>
        <v>0</v>
      </c>
      <c r="M948" s="21">
        <f t="shared" si="761"/>
        <v>0</v>
      </c>
      <c r="N948" s="21">
        <f t="shared" si="761"/>
        <v>0</v>
      </c>
      <c r="O948" s="21">
        <f t="shared" si="761"/>
        <v>0</v>
      </c>
      <c r="P948" s="21">
        <f t="shared" si="761"/>
        <v>0</v>
      </c>
      <c r="Q948" s="21">
        <f t="shared" si="761"/>
        <v>0</v>
      </c>
      <c r="R948" s="21">
        <f t="shared" si="761"/>
        <v>0</v>
      </c>
      <c r="S948" s="21">
        <f t="shared" si="761"/>
        <v>0</v>
      </c>
      <c r="T948" s="21">
        <f t="shared" si="761"/>
        <v>0</v>
      </c>
      <c r="U948" s="21">
        <f t="shared" si="761"/>
        <v>0</v>
      </c>
      <c r="V948" s="21">
        <f t="shared" si="761"/>
        <v>0</v>
      </c>
      <c r="W948" s="563"/>
      <c r="X948" s="563"/>
      <c r="Y948" s="563"/>
      <c r="Z948" s="563"/>
      <c r="AA948" s="563"/>
      <c r="AB948" s="563"/>
      <c r="AC948" s="563"/>
      <c r="AD948" s="563"/>
      <c r="AE948" s="563"/>
    </row>
    <row r="949" spans="2:31" x14ac:dyDescent="0.2">
      <c r="C949" s="1" t="s">
        <v>458</v>
      </c>
      <c r="E949" s="56"/>
      <c r="F949" s="1" t="s">
        <v>55</v>
      </c>
      <c r="I949" s="21">
        <f>SUM(I946:I948)</f>
        <v>0</v>
      </c>
      <c r="J949" s="21">
        <f t="shared" ref="J949:V949" si="762">SUM(J946:J948)</f>
        <v>0</v>
      </c>
      <c r="K949" s="21">
        <f t="shared" si="762"/>
        <v>0</v>
      </c>
      <c r="L949" s="21">
        <f t="shared" si="762"/>
        <v>0</v>
      </c>
      <c r="M949" s="21">
        <f t="shared" si="762"/>
        <v>0</v>
      </c>
      <c r="N949" s="21">
        <f t="shared" si="762"/>
        <v>0</v>
      </c>
      <c r="O949" s="21">
        <f t="shared" si="762"/>
        <v>0</v>
      </c>
      <c r="P949" s="21">
        <f t="shared" si="762"/>
        <v>0</v>
      </c>
      <c r="Q949" s="21">
        <f t="shared" si="762"/>
        <v>0</v>
      </c>
      <c r="R949" s="21">
        <f t="shared" si="762"/>
        <v>0</v>
      </c>
      <c r="S949" s="21">
        <f t="shared" si="762"/>
        <v>11.714318548527149</v>
      </c>
      <c r="T949" s="21">
        <f t="shared" si="762"/>
        <v>17.57147782279073</v>
      </c>
      <c r="U949" s="21">
        <f t="shared" si="762"/>
        <v>23.428637097054299</v>
      </c>
      <c r="V949" s="21">
        <f t="shared" si="762"/>
        <v>23.428637097054299</v>
      </c>
      <c r="W949" s="563"/>
      <c r="X949" s="563"/>
      <c r="Y949" s="563"/>
      <c r="Z949" s="563"/>
      <c r="AA949" s="563"/>
      <c r="AB949" s="563"/>
      <c r="AC949" s="563"/>
      <c r="AD949" s="563"/>
      <c r="AE949" s="563"/>
    </row>
    <row r="950" spans="2:31" x14ac:dyDescent="0.2">
      <c r="E950" s="56"/>
    </row>
    <row r="951" spans="2:31" x14ac:dyDescent="0.2">
      <c r="C951" s="1" t="s">
        <v>459</v>
      </c>
      <c r="E951" s="56"/>
      <c r="F951" s="1" t="s">
        <v>55</v>
      </c>
      <c r="G951" s="21">
        <f>SUM(I951:V951)</f>
        <v>1.2516281732978158</v>
      </c>
      <c r="I951" s="21">
        <f t="shared" ref="I951:V951" si="763">AVERAGE(I946,I949)*$E$944</f>
        <v>0</v>
      </c>
      <c r="J951" s="21">
        <f t="shared" si="763"/>
        <v>0</v>
      </c>
      <c r="K951" s="21">
        <f t="shared" si="763"/>
        <v>0</v>
      </c>
      <c r="L951" s="21">
        <f t="shared" si="763"/>
        <v>0</v>
      </c>
      <c r="M951" s="21">
        <f t="shared" si="763"/>
        <v>0</v>
      </c>
      <c r="N951" s="21">
        <f t="shared" si="763"/>
        <v>0</v>
      </c>
      <c r="O951" s="21">
        <f t="shared" si="763"/>
        <v>0</v>
      </c>
      <c r="P951" s="21">
        <f t="shared" si="763"/>
        <v>0</v>
      </c>
      <c r="Q951" s="21">
        <f t="shared" si="763"/>
        <v>0</v>
      </c>
      <c r="R951" s="21">
        <f t="shared" si="763"/>
        <v>0</v>
      </c>
      <c r="S951" s="21">
        <f t="shared" si="763"/>
        <v>0.11378437939071051</v>
      </c>
      <c r="T951" s="21">
        <f t="shared" si="763"/>
        <v>0.28446094847677633</v>
      </c>
      <c r="U951" s="21">
        <f t="shared" si="763"/>
        <v>0.3982453278674869</v>
      </c>
      <c r="V951" s="21">
        <f t="shared" si="763"/>
        <v>0.45513751756284204</v>
      </c>
      <c r="W951" s="563"/>
      <c r="X951" s="563"/>
      <c r="Y951" s="563"/>
      <c r="Z951" s="563"/>
      <c r="AA951" s="563"/>
      <c r="AB951" s="563"/>
      <c r="AC951" s="563"/>
      <c r="AD951" s="563"/>
      <c r="AE951" s="563"/>
    </row>
    <row r="952" spans="2:31" x14ac:dyDescent="0.2">
      <c r="E952" s="56"/>
    </row>
    <row r="953" spans="2:31" x14ac:dyDescent="0.2">
      <c r="B953" s="6"/>
      <c r="C953" s="6"/>
      <c r="D953" s="6"/>
      <c r="E953" s="7"/>
      <c r="F953" s="6"/>
      <c r="G953" s="6"/>
      <c r="H953" s="6"/>
      <c r="I953" s="6"/>
      <c r="J953" s="6"/>
      <c r="K953" s="6"/>
      <c r="L953" s="6"/>
      <c r="M953" s="6"/>
      <c r="N953" s="6"/>
      <c r="O953" s="6"/>
      <c r="P953" s="6"/>
      <c r="Q953" s="6"/>
      <c r="R953" s="6"/>
      <c r="S953" s="6"/>
      <c r="T953" s="6"/>
      <c r="U953" s="6"/>
      <c r="V953" s="6"/>
    </row>
    <row r="954" spans="2:31" x14ac:dyDescent="0.2">
      <c r="C954" s="5"/>
      <c r="D954" s="5"/>
    </row>
    <row r="955" spans="2:31" x14ac:dyDescent="0.2">
      <c r="B955" s="8">
        <f>B901+1</f>
        <v>9</v>
      </c>
      <c r="C955" s="20" t="s">
        <v>289</v>
      </c>
      <c r="D955" s="20"/>
    </row>
    <row r="956" spans="2:31" x14ac:dyDescent="0.2">
      <c r="C956" s="5"/>
      <c r="D956" s="5"/>
    </row>
    <row r="957" spans="2:31" x14ac:dyDescent="0.2">
      <c r="B957" s="10">
        <f>B955+0.1</f>
        <v>9.1</v>
      </c>
      <c r="C957" s="20" t="s">
        <v>98</v>
      </c>
      <c r="D957" s="5"/>
      <c r="E957" s="115"/>
    </row>
    <row r="958" spans="2:31" x14ac:dyDescent="0.2">
      <c r="C958" s="5"/>
      <c r="D958" s="5"/>
    </row>
    <row r="959" spans="2:31" x14ac:dyDescent="0.2">
      <c r="C959" s="20" t="s">
        <v>114</v>
      </c>
      <c r="D959" s="20"/>
    </row>
    <row r="960" spans="2:31" x14ac:dyDescent="0.2">
      <c r="C960" s="5" t="s">
        <v>115</v>
      </c>
      <c r="D960" s="5"/>
      <c r="E960" s="449">
        <f>'Plant model'!E960</f>
        <v>0.15</v>
      </c>
      <c r="F960" s="1" t="s">
        <v>8</v>
      </c>
      <c r="H960" s="115"/>
      <c r="I960" s="115"/>
    </row>
    <row r="961" spans="3:6" x14ac:dyDescent="0.2">
      <c r="C961" s="5"/>
      <c r="D961" s="5"/>
      <c r="E961" s="100"/>
    </row>
    <row r="962" spans="3:6" x14ac:dyDescent="0.2">
      <c r="C962" s="47" t="s">
        <v>247</v>
      </c>
      <c r="D962" s="5"/>
      <c r="E962" s="100"/>
    </row>
    <row r="963" spans="3:6" x14ac:dyDescent="0.2">
      <c r="C963" s="5" t="s">
        <v>246</v>
      </c>
      <c r="D963" s="5"/>
      <c r="E963" s="449">
        <f>'Plant model'!E963</f>
        <v>0.5</v>
      </c>
      <c r="F963" s="1" t="s">
        <v>8</v>
      </c>
    </row>
    <row r="964" spans="3:6" x14ac:dyDescent="0.2">
      <c r="C964" s="5" t="s">
        <v>368</v>
      </c>
      <c r="D964" s="5"/>
      <c r="E964" s="449">
        <f>'Plant model'!E964</f>
        <v>0.3</v>
      </c>
      <c r="F964" s="1" t="s">
        <v>8</v>
      </c>
    </row>
    <row r="965" spans="3:6" x14ac:dyDescent="0.2">
      <c r="C965" s="5" t="s">
        <v>369</v>
      </c>
      <c r="D965" s="5"/>
      <c r="E965" s="524">
        <f>'Plant model'!E965</f>
        <v>1</v>
      </c>
      <c r="F965" s="1" t="s">
        <v>249</v>
      </c>
    </row>
    <row r="966" spans="3:6" x14ac:dyDescent="0.2">
      <c r="C966" s="1" t="s">
        <v>248</v>
      </c>
      <c r="E966" s="449">
        <f>'Plant model'!E966</f>
        <v>0.5</v>
      </c>
      <c r="F966" s="1" t="s">
        <v>8</v>
      </c>
    </row>
    <row r="967" spans="3:6" x14ac:dyDescent="0.2">
      <c r="C967" s="5" t="s">
        <v>250</v>
      </c>
      <c r="D967" s="5"/>
      <c r="E967" s="449">
        <f>'Plant model'!E967</f>
        <v>0.1</v>
      </c>
      <c r="F967" s="1" t="s">
        <v>8</v>
      </c>
    </row>
    <row r="968" spans="3:6" x14ac:dyDescent="0.2">
      <c r="C968" s="5"/>
      <c r="D968" s="5"/>
    </row>
    <row r="969" spans="3:6" x14ac:dyDescent="0.2">
      <c r="C969" s="47" t="s">
        <v>263</v>
      </c>
      <c r="D969" s="5"/>
    </row>
    <row r="970" spans="3:6" x14ac:dyDescent="0.2">
      <c r="C970" s="5" t="s">
        <v>245</v>
      </c>
      <c r="D970" s="5"/>
      <c r="E970" s="257">
        <f>'Plant model'!E970</f>
        <v>0</v>
      </c>
      <c r="F970" s="1" t="s">
        <v>55</v>
      </c>
    </row>
    <row r="971" spans="3:6" x14ac:dyDescent="0.2">
      <c r="C971" s="5" t="s">
        <v>117</v>
      </c>
      <c r="D971" s="5"/>
      <c r="E971" s="257">
        <f>'Plant model'!E971</f>
        <v>0</v>
      </c>
      <c r="F971" s="1" t="s">
        <v>55</v>
      </c>
    </row>
    <row r="972" spans="3:6" x14ac:dyDescent="0.2">
      <c r="C972" s="5" t="s">
        <v>250</v>
      </c>
      <c r="D972" s="5"/>
      <c r="E972" s="257">
        <f>'Plant model'!E972</f>
        <v>0</v>
      </c>
      <c r="F972" s="1" t="s">
        <v>55</v>
      </c>
    </row>
    <row r="973" spans="3:6" x14ac:dyDescent="0.2">
      <c r="C973" s="5"/>
      <c r="D973" s="5"/>
    </row>
    <row r="974" spans="3:6" x14ac:dyDescent="0.2">
      <c r="C974" s="20" t="s">
        <v>244</v>
      </c>
      <c r="D974" s="20"/>
    </row>
    <row r="975" spans="3:6" x14ac:dyDescent="0.2">
      <c r="C975" s="5" t="s">
        <v>251</v>
      </c>
      <c r="D975" s="5"/>
      <c r="E975" s="517">
        <f>'Plant model'!E975</f>
        <v>0.11899999999999999</v>
      </c>
      <c r="F975" s="1" t="s">
        <v>8</v>
      </c>
    </row>
    <row r="976" spans="3:6" x14ac:dyDescent="0.2">
      <c r="C976" s="5"/>
      <c r="D976" s="5"/>
      <c r="E976" s="103"/>
    </row>
    <row r="977" spans="3:6" x14ac:dyDescent="0.2">
      <c r="C977" s="47" t="s">
        <v>247</v>
      </c>
      <c r="D977" s="5"/>
      <c r="E977" s="103"/>
    </row>
    <row r="978" spans="3:6" x14ac:dyDescent="0.2">
      <c r="C978" s="5" t="s">
        <v>246</v>
      </c>
      <c r="D978" s="5"/>
      <c r="E978" s="449">
        <f>'Plant model'!E978</f>
        <v>0.5</v>
      </c>
      <c r="F978" s="1" t="s">
        <v>8</v>
      </c>
    </row>
    <row r="979" spans="3:6" x14ac:dyDescent="0.2">
      <c r="C979" s="5" t="s">
        <v>368</v>
      </c>
      <c r="D979" s="5"/>
      <c r="E979" s="449">
        <f>'Plant model'!E979</f>
        <v>0.3</v>
      </c>
      <c r="F979" s="1" t="s">
        <v>8</v>
      </c>
    </row>
    <row r="980" spans="3:6" x14ac:dyDescent="0.2">
      <c r="C980" s="5" t="s">
        <v>369</v>
      </c>
      <c r="D980" s="5"/>
      <c r="E980" s="524">
        <f>'Plant model'!E980</f>
        <v>1</v>
      </c>
      <c r="F980" s="1" t="s">
        <v>249</v>
      </c>
    </row>
    <row r="981" spans="3:6" x14ac:dyDescent="0.2">
      <c r="C981" s="1" t="s">
        <v>248</v>
      </c>
      <c r="E981" s="449">
        <f>'Plant model'!E981</f>
        <v>0.5</v>
      </c>
      <c r="F981" s="1" t="s">
        <v>8</v>
      </c>
    </row>
    <row r="982" spans="3:6" x14ac:dyDescent="0.2">
      <c r="E982" s="100"/>
    </row>
    <row r="983" spans="3:6" x14ac:dyDescent="0.2">
      <c r="C983" s="5" t="s">
        <v>252</v>
      </c>
      <c r="D983" s="5"/>
      <c r="E983" s="449">
        <f>'Plant model'!E983</f>
        <v>0.04</v>
      </c>
      <c r="F983" s="1" t="s">
        <v>8</v>
      </c>
    </row>
    <row r="984" spans="3:6" x14ac:dyDescent="0.2">
      <c r="C984" s="5" t="s">
        <v>253</v>
      </c>
      <c r="D984" s="5"/>
      <c r="E984" s="449">
        <f>'Plant model'!E984</f>
        <v>0.16</v>
      </c>
      <c r="F984" s="1" t="s">
        <v>8</v>
      </c>
    </row>
    <row r="985" spans="3:6" x14ac:dyDescent="0.2">
      <c r="C985" s="5" t="s">
        <v>370</v>
      </c>
      <c r="D985" s="5"/>
      <c r="E985" s="523">
        <f>'Plant model'!E985</f>
        <v>75</v>
      </c>
      <c r="F985" s="1" t="s">
        <v>55</v>
      </c>
    </row>
    <row r="986" spans="3:6" x14ac:dyDescent="0.2">
      <c r="C986" s="5" t="s">
        <v>698</v>
      </c>
      <c r="D986" s="5"/>
      <c r="E986" s="429">
        <f>G1141+G1147</f>
        <v>0</v>
      </c>
      <c r="F986" s="1" t="s">
        <v>55</v>
      </c>
    </row>
    <row r="987" spans="3:6" x14ac:dyDescent="0.2">
      <c r="C987" s="5"/>
      <c r="D987" s="5"/>
      <c r="E987" s="428"/>
    </row>
    <row r="988" spans="3:6" x14ac:dyDescent="0.2">
      <c r="C988" s="5" t="s">
        <v>697</v>
      </c>
      <c r="D988" s="5"/>
      <c r="E988" s="449">
        <f>'Plant model'!E988</f>
        <v>0.15</v>
      </c>
      <c r="F988" s="1" t="s">
        <v>8</v>
      </c>
    </row>
    <row r="989" spans="3:6" x14ac:dyDescent="0.2">
      <c r="C989" s="5" t="s">
        <v>706</v>
      </c>
      <c r="D989" s="5"/>
      <c r="E989" s="257">
        <f>'Plant model'!E989</f>
        <v>15</v>
      </c>
      <c r="F989" s="1" t="s">
        <v>116</v>
      </c>
    </row>
    <row r="990" spans="3:6" x14ac:dyDescent="0.2">
      <c r="C990" s="5" t="s">
        <v>698</v>
      </c>
      <c r="D990" s="5"/>
      <c r="E990" s="429">
        <f>-G1159</f>
        <v>0</v>
      </c>
      <c r="F990" s="1" t="s">
        <v>55</v>
      </c>
    </row>
    <row r="991" spans="3:6" x14ac:dyDescent="0.2">
      <c r="C991" s="5"/>
      <c r="D991" s="5"/>
    </row>
    <row r="992" spans="3:6" x14ac:dyDescent="0.2">
      <c r="C992" s="5" t="str">
        <f>"Choice of ITC or Tax Holiday - "&amp;IF(E992=E990,C988,"ITC")</f>
        <v>Choice of ITC or Tax Holiday - Tax Holiday Large Investment Projects</v>
      </c>
      <c r="D992" s="5"/>
      <c r="E992" s="429">
        <f>MAX(E986,E990)</f>
        <v>0</v>
      </c>
      <c r="F992" s="1" t="s">
        <v>55</v>
      </c>
    </row>
    <row r="993" spans="2:31" x14ac:dyDescent="0.2">
      <c r="C993" s="5" t="s">
        <v>700</v>
      </c>
      <c r="D993" s="5"/>
      <c r="E993" s="429">
        <f>(E990=E992)*1</f>
        <v>1</v>
      </c>
      <c r="F993" s="1" t="s">
        <v>571</v>
      </c>
    </row>
    <row r="994" spans="2:31" x14ac:dyDescent="0.2">
      <c r="C994" s="5"/>
      <c r="D994" s="5"/>
    </row>
    <row r="995" spans="2:31" x14ac:dyDescent="0.2">
      <c r="C995" s="47" t="s">
        <v>263</v>
      </c>
      <c r="D995" s="5"/>
    </row>
    <row r="996" spans="2:31" x14ac:dyDescent="0.2">
      <c r="C996" s="5" t="s">
        <v>245</v>
      </c>
      <c r="D996" s="5"/>
      <c r="E996" s="257">
        <f>'Plant model'!E996</f>
        <v>0</v>
      </c>
      <c r="F996" s="1" t="s">
        <v>55</v>
      </c>
    </row>
    <row r="997" spans="2:31" x14ac:dyDescent="0.2">
      <c r="C997" s="5" t="s">
        <v>250</v>
      </c>
      <c r="D997" s="5"/>
      <c r="E997" s="257">
        <f>'Plant model'!E997</f>
        <v>0</v>
      </c>
      <c r="F997" s="1" t="s">
        <v>55</v>
      </c>
    </row>
    <row r="998" spans="2:31" x14ac:dyDescent="0.2">
      <c r="C998" s="5" t="s">
        <v>697</v>
      </c>
      <c r="D998" s="5"/>
      <c r="E998" s="257">
        <f>'Plant model'!E998</f>
        <v>0</v>
      </c>
      <c r="F998" s="1" t="s">
        <v>55</v>
      </c>
    </row>
    <row r="999" spans="2:31" x14ac:dyDescent="0.2">
      <c r="C999" s="5"/>
      <c r="D999" s="5"/>
      <c r="E999" s="446"/>
    </row>
    <row r="1000" spans="2:31" x14ac:dyDescent="0.2">
      <c r="C1000" s="20" t="s">
        <v>118</v>
      </c>
      <c r="D1000" s="5"/>
      <c r="E1000" s="446"/>
    </row>
    <row r="1001" spans="2:31" x14ac:dyDescent="0.2">
      <c r="C1001" s="5" t="s">
        <v>326</v>
      </c>
      <c r="D1001" s="5"/>
      <c r="E1001" s="449">
        <f>'Plant model'!E1001</f>
        <v>0</v>
      </c>
    </row>
    <row r="1002" spans="2:31" x14ac:dyDescent="0.2">
      <c r="C1002" s="5" t="s">
        <v>449</v>
      </c>
      <c r="D1002" s="5"/>
      <c r="E1002" s="257">
        <f>(CAPEX!M11+CAPEX!M14+CAPEX!M16)/1000000</f>
        <v>40.082915861189825</v>
      </c>
    </row>
    <row r="1003" spans="2:31" x14ac:dyDescent="0.2">
      <c r="C1003" s="5"/>
      <c r="D1003" s="5"/>
    </row>
    <row r="1004" spans="2:31" hidden="1" outlineLevel="1" x14ac:dyDescent="0.2">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row>
    <row r="1005" spans="2:31" hidden="1" outlineLevel="1" x14ac:dyDescent="0.2">
      <c r="C1005" s="5"/>
      <c r="D1005" s="5"/>
    </row>
    <row r="1006" spans="2:31" hidden="1" outlineLevel="1" x14ac:dyDescent="0.2">
      <c r="B1006" s="10">
        <f>B957+0.1</f>
        <v>9.1999999999999993</v>
      </c>
      <c r="C1006" s="20" t="s">
        <v>167</v>
      </c>
      <c r="D1006" s="5"/>
    </row>
    <row r="1007" spans="2:31" hidden="1" outlineLevel="1" x14ac:dyDescent="0.2">
      <c r="B1007" s="24"/>
      <c r="C1007" s="20"/>
      <c r="D1007" s="5"/>
    </row>
    <row r="1008" spans="2:31" hidden="1" outlineLevel="1" x14ac:dyDescent="0.2">
      <c r="C1008" s="5" t="s">
        <v>254</v>
      </c>
      <c r="D1008" s="5"/>
      <c r="F1008" s="1" t="s">
        <v>55</v>
      </c>
      <c r="G1008" s="21">
        <f>SUM(I1008:AE1008)</f>
        <v>475.57593141478941</v>
      </c>
      <c r="I1008" s="21">
        <f t="shared" ref="I1008:V1008" si="764">I897</f>
        <v>3.00687975</v>
      </c>
      <c r="J1008" s="21">
        <f t="shared" si="764"/>
        <v>5.9361625</v>
      </c>
      <c r="K1008" s="21">
        <f t="shared" si="764"/>
        <v>1.0569</v>
      </c>
      <c r="L1008" s="21">
        <f t="shared" si="764"/>
        <v>46.557598916478945</v>
      </c>
      <c r="M1008" s="21">
        <f t="shared" si="764"/>
        <v>58.196998645598669</v>
      </c>
      <c r="N1008" s="21">
        <f t="shared" si="764"/>
        <v>69.836398374718414</v>
      </c>
      <c r="O1008" s="21">
        <f t="shared" si="764"/>
        <v>69.836398374718414</v>
      </c>
      <c r="P1008" s="21">
        <f t="shared" si="764"/>
        <v>69.836398374718414</v>
      </c>
      <c r="Q1008" s="21">
        <f t="shared" si="764"/>
        <v>69.836398374718414</v>
      </c>
      <c r="R1008" s="21">
        <f t="shared" si="764"/>
        <v>58.196998645598669</v>
      </c>
      <c r="S1008" s="21">
        <f t="shared" si="764"/>
        <v>23.278799458239472</v>
      </c>
      <c r="T1008" s="21">
        <f t="shared" si="764"/>
        <v>0</v>
      </c>
      <c r="U1008" s="21">
        <f t="shared" si="764"/>
        <v>0</v>
      </c>
      <c r="V1008" s="21">
        <f t="shared" si="764"/>
        <v>0</v>
      </c>
      <c r="W1008" s="563"/>
      <c r="X1008" s="563"/>
      <c r="Y1008" s="563"/>
      <c r="Z1008" s="563"/>
      <c r="AA1008" s="563"/>
      <c r="AB1008" s="563"/>
      <c r="AC1008" s="563"/>
      <c r="AD1008" s="563"/>
      <c r="AE1008" s="563"/>
    </row>
    <row r="1009" spans="2:31" hidden="1" outlineLevel="1" x14ac:dyDescent="0.2">
      <c r="C1009" s="5"/>
      <c r="D1009" s="5"/>
    </row>
    <row r="1010" spans="2:31" hidden="1" outlineLevel="1" x14ac:dyDescent="0.2">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row>
    <row r="1011" spans="2:31" hidden="1" outlineLevel="1" x14ac:dyDescent="0.2">
      <c r="C1011" s="5"/>
      <c r="D1011" s="5"/>
    </row>
    <row r="1012" spans="2:31" hidden="1" outlineLevel="1" x14ac:dyDescent="0.2">
      <c r="B1012" s="10">
        <f>B1006+0.1</f>
        <v>9.2999999999999989</v>
      </c>
      <c r="C1012" s="20" t="s">
        <v>255</v>
      </c>
      <c r="D1012" s="5"/>
    </row>
    <row r="1013" spans="2:31" hidden="1" outlineLevel="1" x14ac:dyDescent="0.2">
      <c r="B1013" s="24"/>
      <c r="C1013" s="20"/>
      <c r="D1013" s="5"/>
      <c r="AE1013" s="563"/>
    </row>
    <row r="1014" spans="2:31" hidden="1" outlineLevel="1" x14ac:dyDescent="0.2">
      <c r="C1014" s="5" t="s">
        <v>104</v>
      </c>
      <c r="D1014" s="5"/>
      <c r="F1014" s="1" t="s">
        <v>55</v>
      </c>
      <c r="G1014" s="21">
        <f t="shared" ref="G1014:G1021" si="765">SUM(I1014:AE1014)</f>
        <v>0</v>
      </c>
      <c r="I1014" s="21"/>
      <c r="J1014" s="21"/>
      <c r="K1014" s="21"/>
      <c r="L1014" s="21"/>
      <c r="M1014" s="21"/>
      <c r="N1014" s="21"/>
      <c r="O1014" s="21"/>
      <c r="P1014" s="21"/>
      <c r="Q1014" s="21"/>
      <c r="R1014" s="21"/>
      <c r="S1014" s="21"/>
      <c r="T1014" s="21"/>
      <c r="U1014" s="21"/>
      <c r="V1014" s="21"/>
      <c r="W1014" s="563"/>
      <c r="X1014" s="563"/>
      <c r="Y1014" s="563"/>
      <c r="Z1014" s="563"/>
      <c r="AA1014" s="563"/>
      <c r="AB1014" s="563"/>
      <c r="AC1014" s="563"/>
      <c r="AD1014" s="563"/>
      <c r="AE1014" s="563"/>
    </row>
    <row r="1015" spans="2:31" hidden="1" outlineLevel="1" x14ac:dyDescent="0.2">
      <c r="C1015" s="5" t="s">
        <v>120</v>
      </c>
      <c r="D1015" s="5"/>
      <c r="F1015" s="1" t="s">
        <v>55</v>
      </c>
      <c r="G1015" s="21">
        <f t="shared" si="765"/>
        <v>0</v>
      </c>
      <c r="I1015" s="21"/>
      <c r="J1015" s="21"/>
      <c r="K1015" s="21"/>
      <c r="L1015" s="21"/>
      <c r="M1015" s="21"/>
      <c r="N1015" s="21"/>
      <c r="O1015" s="21"/>
      <c r="P1015" s="21"/>
      <c r="Q1015" s="21"/>
      <c r="R1015" s="21"/>
      <c r="S1015" s="21"/>
      <c r="T1015" s="21"/>
      <c r="U1015" s="21"/>
      <c r="V1015" s="21"/>
      <c r="W1015" s="563"/>
      <c r="X1015" s="563"/>
      <c r="Y1015" s="563"/>
      <c r="Z1015" s="563"/>
      <c r="AA1015" s="563"/>
      <c r="AB1015" s="563"/>
      <c r="AC1015" s="563"/>
      <c r="AD1015" s="563"/>
      <c r="AE1015" s="563"/>
    </row>
    <row r="1016" spans="2:31" hidden="1" outlineLevel="1" x14ac:dyDescent="0.2">
      <c r="C1016" s="5" t="s">
        <v>444</v>
      </c>
      <c r="D1016" s="5"/>
      <c r="F1016" s="1" t="s">
        <v>55</v>
      </c>
      <c r="G1016" s="21">
        <f t="shared" si="765"/>
        <v>0</v>
      </c>
      <c r="I1016" s="21"/>
      <c r="J1016" s="21"/>
      <c r="K1016" s="21"/>
      <c r="L1016" s="21"/>
      <c r="M1016" s="21"/>
      <c r="N1016" s="21"/>
      <c r="O1016" s="21"/>
      <c r="P1016" s="21"/>
      <c r="Q1016" s="21"/>
      <c r="R1016" s="21"/>
      <c r="S1016" s="21"/>
      <c r="T1016" s="21"/>
      <c r="U1016" s="21"/>
      <c r="V1016" s="21"/>
      <c r="W1016" s="563"/>
      <c r="X1016" s="563"/>
      <c r="Y1016" s="563"/>
      <c r="Z1016" s="563"/>
      <c r="AA1016" s="563"/>
      <c r="AB1016" s="563"/>
      <c r="AC1016" s="563"/>
      <c r="AD1016" s="563"/>
      <c r="AE1016" s="563"/>
    </row>
    <row r="1017" spans="2:31" hidden="1" outlineLevel="1" x14ac:dyDescent="0.2">
      <c r="C1017" s="5" t="s">
        <v>473</v>
      </c>
      <c r="D1017" s="5"/>
      <c r="F1017" s="1" t="s">
        <v>55</v>
      </c>
      <c r="G1017" s="21">
        <f t="shared" si="765"/>
        <v>0</v>
      </c>
      <c r="I1017" s="45"/>
      <c r="J1017" s="45"/>
      <c r="K1017" s="45"/>
      <c r="L1017" s="45"/>
      <c r="M1017" s="45"/>
      <c r="N1017" s="45"/>
      <c r="O1017" s="45"/>
      <c r="P1017" s="45"/>
      <c r="Q1017" s="45"/>
      <c r="R1017" s="45"/>
      <c r="S1017" s="45"/>
      <c r="T1017" s="45"/>
      <c r="U1017" s="45"/>
      <c r="V1017" s="45"/>
      <c r="W1017" s="568"/>
      <c r="X1017" s="568"/>
      <c r="Y1017" s="568"/>
      <c r="Z1017" s="568"/>
      <c r="AA1017" s="568"/>
      <c r="AB1017" s="568"/>
      <c r="AC1017" s="568"/>
      <c r="AD1017" s="568"/>
      <c r="AE1017" s="568"/>
    </row>
    <row r="1018" spans="2:31" hidden="1" outlineLevel="1" x14ac:dyDescent="0.2">
      <c r="C1018" s="5" t="s">
        <v>472</v>
      </c>
      <c r="D1018" s="5"/>
      <c r="F1018" s="1" t="s">
        <v>55</v>
      </c>
      <c r="G1018" s="21">
        <f>SUM(I1018:AE1018)</f>
        <v>0</v>
      </c>
      <c r="I1018" s="45"/>
      <c r="J1018" s="45"/>
      <c r="K1018" s="45"/>
      <c r="L1018" s="45"/>
      <c r="M1018" s="45"/>
      <c r="N1018" s="45"/>
      <c r="O1018" s="45"/>
      <c r="P1018" s="45"/>
      <c r="Q1018" s="45"/>
      <c r="R1018" s="45"/>
      <c r="S1018" s="45"/>
      <c r="T1018" s="45"/>
      <c r="U1018" s="45"/>
      <c r="V1018" s="45"/>
      <c r="W1018" s="568"/>
      <c r="X1018" s="568"/>
      <c r="Y1018" s="568"/>
      <c r="Z1018" s="568"/>
      <c r="AA1018" s="568"/>
      <c r="AB1018" s="568"/>
      <c r="AC1018" s="568"/>
      <c r="AD1018" s="568"/>
      <c r="AE1018" s="568"/>
    </row>
    <row r="1019" spans="2:31" hidden="1" outlineLevel="1" x14ac:dyDescent="0.2">
      <c r="C1019" s="5" t="s">
        <v>775</v>
      </c>
      <c r="D1019" s="5"/>
      <c r="F1019" s="1" t="s">
        <v>55</v>
      </c>
      <c r="G1019" s="21">
        <f>SUM(I1019:AE1019)</f>
        <v>0</v>
      </c>
      <c r="I1019" s="45"/>
      <c r="J1019" s="45"/>
      <c r="K1019" s="45"/>
      <c r="L1019" s="45"/>
      <c r="M1019" s="45"/>
      <c r="N1019" s="45"/>
      <c r="O1019" s="45"/>
      <c r="P1019" s="45"/>
      <c r="Q1019" s="45"/>
      <c r="R1019" s="45"/>
      <c r="S1019" s="45"/>
      <c r="T1019" s="45"/>
      <c r="U1019" s="45"/>
      <c r="V1019" s="45"/>
      <c r="W1019" s="568"/>
      <c r="X1019" s="568"/>
      <c r="Y1019" s="568"/>
      <c r="Z1019" s="568"/>
      <c r="AA1019" s="568"/>
      <c r="AB1019" s="568"/>
      <c r="AC1019" s="568"/>
      <c r="AD1019" s="568"/>
      <c r="AE1019" s="568"/>
    </row>
    <row r="1020" spans="2:31" hidden="1" outlineLevel="1" x14ac:dyDescent="0.2">
      <c r="C1020" s="5" t="s">
        <v>256</v>
      </c>
      <c r="D1020" s="5"/>
      <c r="F1020" s="1" t="s">
        <v>55</v>
      </c>
      <c r="G1020" s="21">
        <f t="shared" si="765"/>
        <v>0</v>
      </c>
      <c r="I1020" s="45"/>
      <c r="J1020" s="45"/>
      <c r="K1020" s="45"/>
      <c r="L1020" s="45"/>
      <c r="M1020" s="45"/>
      <c r="N1020" s="45"/>
      <c r="O1020" s="45"/>
      <c r="P1020" s="45"/>
      <c r="Q1020" s="45"/>
      <c r="R1020" s="45"/>
      <c r="S1020" s="45"/>
      <c r="T1020" s="45"/>
      <c r="U1020" s="45"/>
      <c r="V1020" s="45"/>
      <c r="W1020" s="568"/>
      <c r="X1020" s="568"/>
      <c r="Y1020" s="568"/>
      <c r="Z1020" s="568"/>
      <c r="AA1020" s="568"/>
      <c r="AB1020" s="568"/>
      <c r="AC1020" s="568"/>
      <c r="AD1020" s="568"/>
      <c r="AE1020" s="568"/>
    </row>
    <row r="1021" spans="2:31" hidden="1" outlineLevel="1" x14ac:dyDescent="0.2">
      <c r="C1021" s="9" t="s">
        <v>121</v>
      </c>
      <c r="D1021" s="9"/>
      <c r="E1021" s="2"/>
      <c r="F1021" s="9" t="s">
        <v>55</v>
      </c>
      <c r="G1021" s="44">
        <f t="shared" si="765"/>
        <v>0</v>
      </c>
      <c r="I1021" s="21"/>
      <c r="J1021" s="21"/>
      <c r="K1021" s="21"/>
      <c r="L1021" s="21"/>
      <c r="M1021" s="21"/>
      <c r="N1021" s="21"/>
      <c r="O1021" s="21"/>
      <c r="P1021" s="21"/>
      <c r="Q1021" s="21"/>
      <c r="R1021" s="21"/>
      <c r="S1021" s="21"/>
      <c r="T1021" s="21"/>
      <c r="U1021" s="21"/>
      <c r="V1021" s="21"/>
      <c r="W1021" s="563"/>
      <c r="X1021" s="563"/>
      <c r="Y1021" s="563"/>
      <c r="Z1021" s="563"/>
      <c r="AA1021" s="563"/>
      <c r="AB1021" s="563"/>
      <c r="AC1021" s="563"/>
      <c r="AD1021" s="563"/>
      <c r="AE1021" s="563"/>
    </row>
    <row r="1022" spans="2:31" hidden="1" outlineLevel="1" x14ac:dyDescent="0.2">
      <c r="C1022" s="5"/>
      <c r="D1022" s="5"/>
    </row>
    <row r="1023" spans="2:31" hidden="1" outlineLevel="1" x14ac:dyDescent="0.2">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row>
    <row r="1024" spans="2:31" hidden="1" outlineLevel="1" x14ac:dyDescent="0.2">
      <c r="C1024" s="5"/>
      <c r="D1024" s="5"/>
    </row>
    <row r="1025" spans="2:31" hidden="1" outlineLevel="1" x14ac:dyDescent="0.2">
      <c r="B1025" s="10">
        <f>B1012+0.1</f>
        <v>9.3999999999999986</v>
      </c>
      <c r="C1025" s="20" t="s">
        <v>257</v>
      </c>
      <c r="D1025" s="5"/>
    </row>
    <row r="1026" spans="2:31" hidden="1" outlineLevel="1" x14ac:dyDescent="0.2">
      <c r="B1026" s="24"/>
      <c r="C1026" s="20"/>
      <c r="D1026" s="5"/>
    </row>
    <row r="1027" spans="2:31" hidden="1" outlineLevel="1" x14ac:dyDescent="0.2">
      <c r="C1027" s="5" t="s">
        <v>104</v>
      </c>
      <c r="D1027" s="5"/>
      <c r="F1027" s="1" t="s">
        <v>55</v>
      </c>
      <c r="G1027" s="21">
        <f t="shared" ref="G1027:G1033" si="766">SUM(I1027:AE1027)</f>
        <v>0</v>
      </c>
      <c r="I1027" s="21"/>
      <c r="J1027" s="21"/>
      <c r="K1027" s="21"/>
      <c r="L1027" s="21"/>
      <c r="M1027" s="21"/>
      <c r="N1027" s="21"/>
      <c r="O1027" s="21"/>
      <c r="P1027" s="21"/>
      <c r="Q1027" s="21"/>
      <c r="R1027" s="21"/>
      <c r="S1027" s="21"/>
      <c r="T1027" s="21"/>
      <c r="U1027" s="21"/>
      <c r="V1027" s="21"/>
      <c r="W1027" s="563"/>
      <c r="X1027" s="563"/>
      <c r="Y1027" s="563"/>
      <c r="Z1027" s="563"/>
      <c r="AA1027" s="563"/>
      <c r="AB1027" s="563"/>
      <c r="AC1027" s="563"/>
      <c r="AD1027" s="563"/>
      <c r="AE1027" s="563"/>
    </row>
    <row r="1028" spans="2:31" hidden="1" outlineLevel="1" x14ac:dyDescent="0.2">
      <c r="C1028" s="5" t="s">
        <v>120</v>
      </c>
      <c r="D1028" s="5"/>
      <c r="F1028" s="1" t="s">
        <v>55</v>
      </c>
      <c r="G1028" s="21">
        <f t="shared" si="766"/>
        <v>0</v>
      </c>
      <c r="I1028" s="21"/>
      <c r="J1028" s="21"/>
      <c r="K1028" s="21"/>
      <c r="L1028" s="21"/>
      <c r="M1028" s="21"/>
      <c r="N1028" s="21"/>
      <c r="O1028" s="21"/>
      <c r="P1028" s="21"/>
      <c r="Q1028" s="21"/>
      <c r="R1028" s="21"/>
      <c r="S1028" s="21"/>
      <c r="T1028" s="21"/>
      <c r="U1028" s="21"/>
      <c r="V1028" s="21"/>
      <c r="W1028" s="563"/>
      <c r="X1028" s="563"/>
      <c r="Y1028" s="563"/>
      <c r="Z1028" s="563"/>
      <c r="AA1028" s="563"/>
      <c r="AB1028" s="563"/>
      <c r="AC1028" s="563"/>
      <c r="AD1028" s="563"/>
      <c r="AE1028" s="563"/>
    </row>
    <row r="1029" spans="2:31" hidden="1" outlineLevel="1" x14ac:dyDescent="0.2">
      <c r="C1029" s="5" t="s">
        <v>444</v>
      </c>
      <c r="D1029" s="5"/>
      <c r="F1029" s="1" t="s">
        <v>55</v>
      </c>
      <c r="G1029" s="21">
        <f t="shared" si="766"/>
        <v>0</v>
      </c>
      <c r="I1029" s="21"/>
      <c r="J1029" s="21"/>
      <c r="K1029" s="21"/>
      <c r="L1029" s="21"/>
      <c r="M1029" s="21"/>
      <c r="N1029" s="21"/>
      <c r="O1029" s="21"/>
      <c r="P1029" s="21"/>
      <c r="Q1029" s="21"/>
      <c r="R1029" s="21"/>
      <c r="S1029" s="21"/>
      <c r="T1029" s="21"/>
      <c r="U1029" s="21"/>
      <c r="V1029" s="21"/>
      <c r="W1029" s="563"/>
      <c r="X1029" s="563"/>
      <c r="Y1029" s="563"/>
      <c r="Z1029" s="563"/>
      <c r="AA1029" s="563"/>
      <c r="AB1029" s="563"/>
      <c r="AC1029" s="563"/>
      <c r="AD1029" s="563"/>
      <c r="AE1029" s="563"/>
    </row>
    <row r="1030" spans="2:31" hidden="1" outlineLevel="1" x14ac:dyDescent="0.2">
      <c r="C1030" s="5" t="s">
        <v>471</v>
      </c>
      <c r="D1030" s="5"/>
      <c r="F1030" s="1" t="s">
        <v>55</v>
      </c>
      <c r="G1030" s="21">
        <f t="shared" si="766"/>
        <v>0</v>
      </c>
      <c r="I1030" s="52"/>
      <c r="J1030" s="52"/>
      <c r="K1030" s="52"/>
      <c r="L1030" s="52"/>
      <c r="M1030" s="52"/>
      <c r="N1030" s="52"/>
      <c r="O1030" s="52"/>
      <c r="P1030" s="52"/>
      <c r="Q1030" s="52"/>
      <c r="R1030" s="52"/>
      <c r="S1030" s="52"/>
      <c r="T1030" s="52"/>
      <c r="U1030" s="52"/>
      <c r="V1030" s="52"/>
      <c r="W1030" s="563"/>
      <c r="X1030" s="563"/>
      <c r="Y1030" s="563"/>
      <c r="Z1030" s="563"/>
      <c r="AA1030" s="563"/>
      <c r="AB1030" s="563"/>
      <c r="AC1030" s="563"/>
      <c r="AD1030" s="563"/>
      <c r="AE1030" s="563"/>
    </row>
    <row r="1031" spans="2:31" hidden="1" outlineLevel="1" x14ac:dyDescent="0.2">
      <c r="C1031" s="5" t="s">
        <v>472</v>
      </c>
      <c r="D1031" s="5"/>
      <c r="F1031" s="1" t="s">
        <v>55</v>
      </c>
      <c r="G1031" s="21">
        <f t="shared" si="766"/>
        <v>0</v>
      </c>
      <c r="I1031" s="52"/>
      <c r="J1031" s="52"/>
      <c r="K1031" s="52"/>
      <c r="L1031" s="52"/>
      <c r="M1031" s="52"/>
      <c r="N1031" s="52"/>
      <c r="O1031" s="52"/>
      <c r="P1031" s="52"/>
      <c r="Q1031" s="52"/>
      <c r="R1031" s="52"/>
      <c r="S1031" s="52"/>
      <c r="T1031" s="52"/>
      <c r="U1031" s="52"/>
      <c r="V1031" s="52"/>
      <c r="W1031" s="563"/>
      <c r="X1031" s="563"/>
      <c r="Y1031" s="563"/>
      <c r="Z1031" s="563"/>
      <c r="AA1031" s="563"/>
      <c r="AB1031" s="563"/>
      <c r="AC1031" s="563"/>
      <c r="AD1031" s="563"/>
      <c r="AE1031" s="563"/>
    </row>
    <row r="1032" spans="2:31" hidden="1" outlineLevel="1" x14ac:dyDescent="0.2">
      <c r="C1032" s="5" t="s">
        <v>775</v>
      </c>
      <c r="D1032" s="5"/>
      <c r="F1032" s="1" t="s">
        <v>55</v>
      </c>
      <c r="G1032" s="21">
        <f t="shared" si="766"/>
        <v>0</v>
      </c>
      <c r="I1032" s="52"/>
      <c r="J1032" s="52"/>
      <c r="K1032" s="52"/>
      <c r="L1032" s="52"/>
      <c r="M1032" s="52"/>
      <c r="N1032" s="52"/>
      <c r="O1032" s="52"/>
      <c r="P1032" s="52"/>
      <c r="Q1032" s="52"/>
      <c r="R1032" s="52"/>
      <c r="S1032" s="52"/>
      <c r="T1032" s="52"/>
      <c r="U1032" s="52"/>
      <c r="V1032" s="52"/>
      <c r="W1032" s="563"/>
      <c r="X1032" s="563"/>
      <c r="Y1032" s="563"/>
      <c r="Z1032" s="563"/>
      <c r="AA1032" s="563"/>
      <c r="AB1032" s="563"/>
      <c r="AC1032" s="563"/>
      <c r="AD1032" s="563"/>
      <c r="AE1032" s="563"/>
    </row>
    <row r="1033" spans="2:31" hidden="1" outlineLevel="1" x14ac:dyDescent="0.2">
      <c r="C1033" s="9" t="s">
        <v>121</v>
      </c>
      <c r="D1033" s="5"/>
      <c r="F1033" s="9" t="s">
        <v>55</v>
      </c>
      <c r="G1033" s="44">
        <f t="shared" si="766"/>
        <v>0</v>
      </c>
      <c r="I1033" s="44"/>
      <c r="J1033" s="44"/>
      <c r="K1033" s="44"/>
      <c r="L1033" s="44"/>
      <c r="M1033" s="44"/>
      <c r="N1033" s="44"/>
      <c r="O1033" s="44"/>
      <c r="P1033" s="44"/>
      <c r="Q1033" s="44"/>
      <c r="R1033" s="44"/>
      <c r="S1033" s="44"/>
      <c r="T1033" s="44"/>
      <c r="U1033" s="44"/>
      <c r="V1033" s="44"/>
      <c r="W1033" s="580"/>
      <c r="X1033" s="580"/>
      <c r="Y1033" s="580"/>
      <c r="Z1033" s="580"/>
      <c r="AA1033" s="580"/>
      <c r="AB1033" s="580"/>
      <c r="AC1033" s="580"/>
      <c r="AD1033" s="580"/>
      <c r="AE1033" s="580"/>
    </row>
    <row r="1034" spans="2:31" hidden="1" outlineLevel="1" x14ac:dyDescent="0.2">
      <c r="C1034" s="5"/>
      <c r="D1034" s="5"/>
    </row>
    <row r="1035" spans="2:31" hidden="1" outlineLevel="1" x14ac:dyDescent="0.2">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row>
    <row r="1036" spans="2:31" hidden="1" outlineLevel="1" x14ac:dyDescent="0.2">
      <c r="C1036" s="5"/>
      <c r="D1036" s="5"/>
    </row>
    <row r="1037" spans="2:31" hidden="1" outlineLevel="1" x14ac:dyDescent="0.2">
      <c r="B1037" s="10">
        <f>B1025+0.1</f>
        <v>9.4999999999999982</v>
      </c>
      <c r="C1037" s="9" t="s">
        <v>259</v>
      </c>
      <c r="D1037" s="5"/>
    </row>
    <row r="1038" spans="2:31" hidden="1" outlineLevel="1" x14ac:dyDescent="0.2">
      <c r="C1038" s="5"/>
      <c r="D1038" s="5"/>
    </row>
    <row r="1039" spans="2:31" hidden="1" outlineLevel="1" x14ac:dyDescent="0.2">
      <c r="C1039" s="5" t="str">
        <f>"Deduction methodology - "&amp;IF($E$980=0,C1044,C1080)</f>
        <v>Deduction methodology - Declining Balance</v>
      </c>
      <c r="D1039" s="5"/>
      <c r="F1039" s="1" t="s">
        <v>55</v>
      </c>
      <c r="G1039" s="21">
        <f>SUM(I1039:AE1039)</f>
        <v>0</v>
      </c>
      <c r="I1039" s="21"/>
      <c r="J1039" s="21"/>
      <c r="K1039" s="21"/>
      <c r="L1039" s="21"/>
      <c r="M1039" s="21"/>
      <c r="N1039" s="21"/>
      <c r="O1039" s="21"/>
      <c r="P1039" s="21"/>
      <c r="Q1039" s="21"/>
      <c r="R1039" s="21"/>
      <c r="S1039" s="21"/>
      <c r="T1039" s="21"/>
      <c r="U1039" s="21"/>
      <c r="V1039" s="21"/>
      <c r="W1039" s="563"/>
      <c r="X1039" s="563"/>
      <c r="Y1039" s="563"/>
      <c r="Z1039" s="563"/>
      <c r="AA1039" s="563"/>
      <c r="AB1039" s="563"/>
      <c r="AC1039" s="563"/>
      <c r="AD1039" s="563"/>
      <c r="AE1039" s="563"/>
    </row>
    <row r="1040" spans="2:31" hidden="1" outlineLevel="1" x14ac:dyDescent="0.2">
      <c r="C1040" s="5"/>
      <c r="D1040" s="5"/>
    </row>
    <row r="1041" spans="3:31" hidden="1" outlineLevel="1" x14ac:dyDescent="0.2">
      <c r="C1041" s="1" t="s">
        <v>121</v>
      </c>
      <c r="D1041" s="5"/>
      <c r="F1041" s="1" t="s">
        <v>55</v>
      </c>
      <c r="G1041" s="21">
        <f>SUM(I1041:AE1041)</f>
        <v>0</v>
      </c>
      <c r="I1041" s="21"/>
      <c r="J1041" s="21"/>
      <c r="K1041" s="21"/>
      <c r="L1041" s="21"/>
      <c r="M1041" s="21"/>
      <c r="N1041" s="21"/>
      <c r="O1041" s="21"/>
      <c r="P1041" s="21"/>
      <c r="Q1041" s="21"/>
      <c r="R1041" s="21"/>
      <c r="S1041" s="21"/>
      <c r="T1041" s="21"/>
      <c r="U1041" s="21"/>
      <c r="V1041" s="21"/>
      <c r="W1041" s="563"/>
      <c r="X1041" s="563"/>
      <c r="Y1041" s="563"/>
      <c r="Z1041" s="563"/>
      <c r="AA1041" s="563"/>
      <c r="AB1041" s="563"/>
      <c r="AC1041" s="563"/>
      <c r="AD1041" s="563"/>
      <c r="AE1041" s="563"/>
    </row>
    <row r="1042" spans="3:31" hidden="1" outlineLevel="1" x14ac:dyDescent="0.2">
      <c r="C1042" s="5" t="s">
        <v>258</v>
      </c>
      <c r="D1042" s="5"/>
      <c r="F1042" s="1" t="s">
        <v>55</v>
      </c>
      <c r="G1042" s="21">
        <f>SUM(I1042:AE1042)</f>
        <v>0</v>
      </c>
      <c r="I1042" s="21"/>
      <c r="J1042" s="21"/>
      <c r="K1042" s="21"/>
      <c r="L1042" s="21"/>
      <c r="M1042" s="21"/>
      <c r="N1042" s="21"/>
      <c r="O1042" s="21"/>
      <c r="P1042" s="21"/>
      <c r="Q1042" s="21"/>
      <c r="R1042" s="21"/>
      <c r="S1042" s="21"/>
      <c r="T1042" s="21"/>
      <c r="U1042" s="21"/>
      <c r="V1042" s="21"/>
      <c r="W1042" s="563"/>
      <c r="X1042" s="563"/>
      <c r="Y1042" s="563"/>
      <c r="Z1042" s="563"/>
      <c r="AA1042" s="563"/>
      <c r="AB1042" s="563"/>
      <c r="AC1042" s="563"/>
      <c r="AD1042" s="563"/>
      <c r="AE1042" s="563"/>
    </row>
    <row r="1043" spans="3:31" hidden="1" outlineLevel="1" x14ac:dyDescent="0.2">
      <c r="C1043" s="5"/>
      <c r="D1043" s="5"/>
    </row>
    <row r="1044" spans="3:31" hidden="1" outlineLevel="1" x14ac:dyDescent="0.2">
      <c r="C1044" s="90" t="s">
        <v>262</v>
      </c>
      <c r="D1044" s="5"/>
    </row>
    <row r="1045" spans="3:31" hidden="1" outlineLevel="1" x14ac:dyDescent="0.2">
      <c r="C1045" s="5" t="s">
        <v>260</v>
      </c>
      <c r="D1045" s="5"/>
      <c r="F1045" s="1" t="s">
        <v>55</v>
      </c>
      <c r="G1045" s="21"/>
      <c r="I1045" s="52"/>
      <c r="J1045" s="21"/>
      <c r="K1045" s="21"/>
      <c r="L1045" s="21"/>
      <c r="M1045" s="21"/>
      <c r="N1045" s="21"/>
      <c r="O1045" s="21"/>
      <c r="P1045" s="21"/>
      <c r="Q1045" s="21"/>
      <c r="R1045" s="21"/>
      <c r="S1045" s="21"/>
      <c r="T1045" s="21"/>
      <c r="U1045" s="21"/>
      <c r="V1045" s="21"/>
      <c r="W1045" s="563"/>
      <c r="X1045" s="563"/>
      <c r="Y1045" s="563"/>
      <c r="Z1045" s="563"/>
      <c r="AA1045" s="563"/>
      <c r="AB1045" s="563"/>
      <c r="AC1045" s="563"/>
      <c r="AD1045" s="563"/>
      <c r="AE1045" s="563"/>
    </row>
    <row r="1046" spans="3:31" hidden="1" outlineLevel="1" x14ac:dyDescent="0.2">
      <c r="C1046" s="5" t="s">
        <v>126</v>
      </c>
      <c r="D1046" s="5"/>
      <c r="F1046" s="1" t="s">
        <v>55</v>
      </c>
      <c r="G1046" s="21">
        <f>SUM(I1046:AE1046)</f>
        <v>0</v>
      </c>
      <c r="I1046" s="21"/>
      <c r="J1046" s="21"/>
      <c r="K1046" s="21"/>
      <c r="L1046" s="21"/>
      <c r="M1046" s="21"/>
      <c r="N1046" s="21"/>
      <c r="O1046" s="21"/>
      <c r="P1046" s="21"/>
      <c r="Q1046" s="21"/>
      <c r="R1046" s="21"/>
      <c r="S1046" s="21"/>
      <c r="T1046" s="21"/>
      <c r="U1046" s="21"/>
      <c r="V1046" s="21"/>
      <c r="W1046" s="563"/>
      <c r="X1046" s="563"/>
      <c r="Y1046" s="563"/>
      <c r="Z1046" s="563"/>
      <c r="AA1046" s="563"/>
      <c r="AB1046" s="563"/>
      <c r="AC1046" s="563"/>
      <c r="AD1046" s="563"/>
      <c r="AE1046" s="563"/>
    </row>
    <row r="1047" spans="3:31" hidden="1" outlineLevel="1" x14ac:dyDescent="0.2">
      <c r="C1047" s="5" t="s">
        <v>261</v>
      </c>
      <c r="D1047" s="5"/>
      <c r="F1047" s="1" t="s">
        <v>55</v>
      </c>
      <c r="G1047" s="21">
        <f>SUM(I1047:AE1047)</f>
        <v>0</v>
      </c>
      <c r="I1047" s="21"/>
      <c r="J1047" s="21"/>
      <c r="K1047" s="21"/>
      <c r="L1047" s="21"/>
      <c r="M1047" s="21"/>
      <c r="N1047" s="21"/>
      <c r="O1047" s="21"/>
      <c r="P1047" s="21"/>
      <c r="Q1047" s="21"/>
      <c r="R1047" s="21"/>
      <c r="S1047" s="21"/>
      <c r="T1047" s="21"/>
      <c r="U1047" s="21"/>
      <c r="V1047" s="21"/>
      <c r="W1047" s="563"/>
      <c r="X1047" s="563"/>
      <c r="Y1047" s="563"/>
      <c r="Z1047" s="563"/>
      <c r="AA1047" s="563"/>
      <c r="AB1047" s="563"/>
      <c r="AC1047" s="563"/>
      <c r="AD1047" s="563"/>
      <c r="AE1047" s="563"/>
    </row>
    <row r="1048" spans="3:31" hidden="1" outlineLevel="1" x14ac:dyDescent="0.2">
      <c r="C1048" s="5" t="s">
        <v>127</v>
      </c>
      <c r="D1048" s="5"/>
      <c r="F1048" s="1" t="s">
        <v>55</v>
      </c>
      <c r="G1048" s="21"/>
      <c r="I1048" s="21"/>
      <c r="J1048" s="21"/>
      <c r="K1048" s="21"/>
      <c r="L1048" s="21"/>
      <c r="M1048" s="21"/>
      <c r="N1048" s="21"/>
      <c r="O1048" s="21"/>
      <c r="P1048" s="21"/>
      <c r="Q1048" s="21"/>
      <c r="R1048" s="21"/>
      <c r="S1048" s="21"/>
      <c r="T1048" s="21"/>
      <c r="U1048" s="21"/>
      <c r="V1048" s="21"/>
      <c r="W1048" s="563"/>
      <c r="X1048" s="563"/>
      <c r="Y1048" s="563"/>
      <c r="Z1048" s="563"/>
      <c r="AA1048" s="563"/>
      <c r="AB1048" s="563"/>
      <c r="AC1048" s="563"/>
      <c r="AD1048" s="563"/>
      <c r="AE1048" s="563"/>
    </row>
    <row r="1049" spans="3:31" hidden="1" outlineLevel="1" x14ac:dyDescent="0.2">
      <c r="C1049" s="5"/>
      <c r="D1049" s="5"/>
    </row>
    <row r="1050" spans="3:31" hidden="1" outlineLevel="1" x14ac:dyDescent="0.2">
      <c r="C1050" s="5"/>
      <c r="D1050" s="5"/>
    </row>
    <row r="1051" spans="3:31" hidden="1" outlineLevel="1" x14ac:dyDescent="0.2">
      <c r="C1051" s="5"/>
      <c r="D1051" s="5"/>
      <c r="L1051" s="36"/>
      <c r="M1051" s="35"/>
      <c r="N1051" s="36"/>
    </row>
    <row r="1052" spans="3:31" hidden="1" outlineLevel="1" x14ac:dyDescent="0.2">
      <c r="C1052" s="89"/>
      <c r="D1052" s="47"/>
    </row>
    <row r="1053" spans="3:31" hidden="1" outlineLevel="1" x14ac:dyDescent="0.2">
      <c r="C1053" s="60"/>
      <c r="D1053" s="60"/>
      <c r="E1053" s="21"/>
      <c r="F1053" s="21"/>
      <c r="G1053" s="21"/>
      <c r="I1053" s="21"/>
      <c r="J1053" s="21"/>
      <c r="K1053" s="21"/>
    </row>
    <row r="1054" spans="3:31" hidden="1" outlineLevel="1" x14ac:dyDescent="0.2">
      <c r="C1054" s="60"/>
      <c r="D1054" s="60"/>
      <c r="E1054" s="21"/>
      <c r="F1054" s="21"/>
      <c r="G1054" s="21"/>
      <c r="J1054" s="21"/>
      <c r="K1054" s="21"/>
      <c r="L1054" s="21"/>
    </row>
    <row r="1055" spans="3:31" hidden="1" outlineLevel="1" x14ac:dyDescent="0.2">
      <c r="C1055" s="60"/>
      <c r="D1055" s="60"/>
      <c r="E1055" s="21"/>
      <c r="F1055" s="21"/>
      <c r="G1055" s="21"/>
      <c r="K1055" s="21"/>
      <c r="L1055" s="21"/>
      <c r="M1055" s="21"/>
    </row>
    <row r="1056" spans="3:31" hidden="1" outlineLevel="1" x14ac:dyDescent="0.2">
      <c r="C1056" s="60"/>
      <c r="D1056" s="60"/>
      <c r="E1056" s="21"/>
      <c r="F1056" s="21"/>
      <c r="G1056" s="21"/>
      <c r="L1056" s="21"/>
      <c r="M1056" s="21"/>
      <c r="N1056" s="21"/>
    </row>
    <row r="1057" spans="3:30" hidden="1" outlineLevel="1" x14ac:dyDescent="0.2">
      <c r="C1057" s="60"/>
      <c r="D1057" s="60"/>
      <c r="E1057" s="21"/>
      <c r="F1057" s="21"/>
      <c r="G1057" s="21"/>
      <c r="M1057" s="21"/>
      <c r="N1057" s="21"/>
      <c r="O1057" s="21"/>
    </row>
    <row r="1058" spans="3:30" hidden="1" outlineLevel="1" x14ac:dyDescent="0.2">
      <c r="C1058" s="60"/>
      <c r="D1058" s="60"/>
      <c r="E1058" s="21"/>
      <c r="F1058" s="21"/>
      <c r="G1058" s="21"/>
      <c r="N1058" s="21"/>
      <c r="O1058" s="21"/>
      <c r="P1058" s="21"/>
    </row>
    <row r="1059" spans="3:30" hidden="1" outlineLevel="1" x14ac:dyDescent="0.2">
      <c r="C1059" s="60"/>
      <c r="D1059" s="60"/>
      <c r="E1059" s="21"/>
      <c r="F1059" s="21"/>
      <c r="G1059" s="21"/>
      <c r="O1059" s="21"/>
      <c r="P1059" s="21"/>
      <c r="Q1059" s="21"/>
    </row>
    <row r="1060" spans="3:30" hidden="1" outlineLevel="1" x14ac:dyDescent="0.2">
      <c r="C1060" s="60"/>
      <c r="D1060" s="60"/>
      <c r="E1060" s="21"/>
      <c r="F1060" s="21"/>
      <c r="G1060" s="21"/>
      <c r="P1060" s="21"/>
      <c r="Q1060" s="21"/>
      <c r="R1060" s="21"/>
    </row>
    <row r="1061" spans="3:30" hidden="1" outlineLevel="1" x14ac:dyDescent="0.2">
      <c r="C1061" s="60"/>
      <c r="D1061" s="60"/>
      <c r="E1061" s="21"/>
      <c r="F1061" s="21"/>
      <c r="G1061" s="21"/>
      <c r="Q1061" s="21"/>
      <c r="R1061" s="21"/>
      <c r="S1061" s="21"/>
    </row>
    <row r="1062" spans="3:30" hidden="1" outlineLevel="1" x14ac:dyDescent="0.2">
      <c r="C1062" s="60"/>
      <c r="D1062" s="60"/>
      <c r="E1062" s="21"/>
      <c r="F1062" s="21"/>
      <c r="G1062" s="21"/>
      <c r="R1062" s="21"/>
      <c r="S1062" s="21"/>
      <c r="T1062" s="21"/>
    </row>
    <row r="1063" spans="3:30" hidden="1" outlineLevel="1" x14ac:dyDescent="0.2">
      <c r="C1063" s="60"/>
      <c r="D1063" s="60"/>
      <c r="E1063" s="21"/>
      <c r="F1063" s="21"/>
      <c r="G1063" s="21"/>
      <c r="S1063" s="21"/>
      <c r="T1063" s="21"/>
      <c r="U1063" s="21"/>
    </row>
    <row r="1064" spans="3:30" hidden="1" outlineLevel="1" x14ac:dyDescent="0.2">
      <c r="C1064" s="60"/>
      <c r="D1064" s="60"/>
      <c r="E1064" s="21"/>
      <c r="F1064" s="21"/>
      <c r="G1064" s="21"/>
      <c r="T1064" s="21"/>
      <c r="U1064" s="21"/>
      <c r="V1064" s="21"/>
    </row>
    <row r="1065" spans="3:30" hidden="1" outlineLevel="1" x14ac:dyDescent="0.2">
      <c r="C1065" s="60"/>
      <c r="D1065" s="60"/>
      <c r="E1065" s="21"/>
      <c r="F1065" s="21"/>
      <c r="G1065" s="21"/>
      <c r="U1065" s="21"/>
      <c r="V1065" s="21"/>
      <c r="W1065" s="563"/>
    </row>
    <row r="1066" spans="3:30" hidden="1" outlineLevel="1" x14ac:dyDescent="0.2">
      <c r="C1066" s="60"/>
      <c r="D1066" s="60"/>
      <c r="E1066" s="21"/>
      <c r="F1066" s="21"/>
      <c r="G1066" s="21"/>
      <c r="V1066" s="21"/>
      <c r="W1066" s="563"/>
      <c r="X1066" s="563"/>
    </row>
    <row r="1067" spans="3:30" hidden="1" outlineLevel="1" x14ac:dyDescent="0.2">
      <c r="C1067" s="60"/>
      <c r="D1067" s="60"/>
      <c r="E1067" s="21"/>
      <c r="F1067" s="21"/>
      <c r="G1067" s="21"/>
      <c r="W1067" s="563"/>
      <c r="X1067" s="563"/>
      <c r="Y1067" s="563"/>
    </row>
    <row r="1068" spans="3:30" hidden="1" outlineLevel="1" x14ac:dyDescent="0.2">
      <c r="C1068" s="60"/>
      <c r="D1068" s="60"/>
      <c r="E1068" s="21"/>
      <c r="F1068" s="21"/>
      <c r="G1068" s="21"/>
      <c r="X1068" s="563"/>
      <c r="Y1068" s="563"/>
      <c r="Z1068" s="563"/>
    </row>
    <row r="1069" spans="3:30" hidden="1" outlineLevel="1" x14ac:dyDescent="0.2">
      <c r="C1069" s="60"/>
      <c r="D1069" s="60"/>
      <c r="E1069" s="21"/>
      <c r="F1069" s="21"/>
      <c r="G1069" s="21"/>
      <c r="Y1069" s="563"/>
      <c r="Z1069" s="563"/>
      <c r="AA1069" s="563"/>
    </row>
    <row r="1070" spans="3:30" hidden="1" outlineLevel="1" x14ac:dyDescent="0.2">
      <c r="C1070" s="60"/>
      <c r="D1070" s="60"/>
      <c r="E1070" s="21"/>
      <c r="F1070" s="21"/>
      <c r="G1070" s="21"/>
      <c r="Z1070" s="563"/>
      <c r="AA1070" s="563"/>
      <c r="AB1070" s="563"/>
    </row>
    <row r="1071" spans="3:30" hidden="1" outlineLevel="1" x14ac:dyDescent="0.2">
      <c r="C1071" s="60"/>
      <c r="D1071" s="60"/>
      <c r="E1071" s="21"/>
      <c r="F1071" s="21"/>
      <c r="G1071" s="21"/>
      <c r="AA1071" s="563"/>
      <c r="AB1071" s="563"/>
      <c r="AC1071" s="563"/>
    </row>
    <row r="1072" spans="3:30" hidden="1" outlineLevel="1" x14ac:dyDescent="0.2">
      <c r="C1072" s="60"/>
      <c r="D1072" s="60"/>
      <c r="E1072" s="21"/>
      <c r="F1072" s="21"/>
      <c r="G1072" s="21"/>
      <c r="AB1072" s="563"/>
      <c r="AC1072" s="563"/>
      <c r="AD1072" s="563"/>
    </row>
    <row r="1073" spans="3:33" hidden="1" outlineLevel="1" x14ac:dyDescent="0.2">
      <c r="C1073" s="60"/>
      <c r="D1073" s="60"/>
      <c r="E1073" s="21"/>
      <c r="F1073" s="21"/>
      <c r="G1073" s="21"/>
      <c r="AC1073" s="563"/>
      <c r="AD1073" s="563"/>
      <c r="AE1073" s="563"/>
    </row>
    <row r="1074" spans="3:33" hidden="1" outlineLevel="1" x14ac:dyDescent="0.2">
      <c r="C1074" s="60"/>
      <c r="D1074" s="60"/>
      <c r="E1074" s="21"/>
      <c r="F1074" s="21"/>
      <c r="G1074" s="21"/>
      <c r="AD1074" s="563"/>
      <c r="AE1074" s="563"/>
      <c r="AF1074" s="563"/>
    </row>
    <row r="1075" spans="3:33" hidden="1" outlineLevel="1" x14ac:dyDescent="0.2">
      <c r="C1075" s="60"/>
      <c r="D1075" s="60"/>
      <c r="E1075" s="21"/>
      <c r="F1075" s="21"/>
      <c r="G1075" s="21"/>
      <c r="AE1075" s="563"/>
      <c r="AF1075" s="563"/>
      <c r="AG1075" s="563"/>
    </row>
    <row r="1076" spans="3:33" hidden="1" outlineLevel="1" x14ac:dyDescent="0.2">
      <c r="C1076" s="61"/>
      <c r="D1076" s="61"/>
      <c r="E1076" s="44"/>
      <c r="F1076" s="44"/>
      <c r="G1076" s="44"/>
      <c r="I1076" s="44"/>
      <c r="J1076" s="44"/>
      <c r="K1076" s="44"/>
      <c r="L1076" s="44"/>
      <c r="M1076" s="44"/>
      <c r="N1076" s="44"/>
      <c r="O1076" s="44"/>
      <c r="P1076" s="44"/>
      <c r="Q1076" s="44"/>
      <c r="R1076" s="44"/>
      <c r="S1076" s="44"/>
      <c r="T1076" s="44"/>
      <c r="U1076" s="44"/>
      <c r="V1076" s="44"/>
      <c r="W1076" s="580"/>
      <c r="X1076" s="580"/>
      <c r="Y1076" s="580"/>
      <c r="Z1076" s="580"/>
      <c r="AA1076" s="580"/>
      <c r="AB1076" s="580"/>
      <c r="AC1076" s="580"/>
      <c r="AD1076" s="580"/>
      <c r="AE1076" s="580"/>
    </row>
    <row r="1077" spans="3:33" hidden="1" outlineLevel="1" x14ac:dyDescent="0.2">
      <c r="C1077" s="5"/>
      <c r="D1077" s="5"/>
    </row>
    <row r="1078" spans="3:33" hidden="1" outlineLevel="1" x14ac:dyDescent="0.2">
      <c r="C1078" s="5" t="s">
        <v>338</v>
      </c>
      <c r="D1078" s="5"/>
      <c r="F1078" s="1" t="s">
        <v>55</v>
      </c>
      <c r="G1078" s="21"/>
      <c r="I1078" s="34"/>
      <c r="J1078" s="34"/>
      <c r="K1078" s="34"/>
      <c r="L1078" s="34"/>
      <c r="M1078" s="34"/>
      <c r="N1078" s="34"/>
      <c r="O1078" s="34"/>
      <c r="P1078" s="34"/>
      <c r="Q1078" s="34"/>
      <c r="R1078" s="34"/>
      <c r="S1078" s="34"/>
      <c r="T1078" s="34"/>
      <c r="U1078" s="34"/>
      <c r="V1078" s="34"/>
      <c r="W1078" s="589"/>
      <c r="X1078" s="589"/>
      <c r="Y1078" s="589"/>
      <c r="Z1078" s="589"/>
      <c r="AA1078" s="589"/>
      <c r="AB1078" s="589"/>
      <c r="AC1078" s="589"/>
      <c r="AD1078" s="589"/>
      <c r="AE1078" s="589"/>
    </row>
    <row r="1079" spans="3:33" hidden="1" outlineLevel="1" x14ac:dyDescent="0.2">
      <c r="C1079" s="5"/>
      <c r="D1079" s="5"/>
    </row>
    <row r="1080" spans="3:33" hidden="1" outlineLevel="1" x14ac:dyDescent="0.2">
      <c r="C1080" s="90" t="s">
        <v>264</v>
      </c>
      <c r="D1080" s="5"/>
    </row>
    <row r="1081" spans="3:33" hidden="1" outlineLevel="1" x14ac:dyDescent="0.2">
      <c r="C1081" s="5" t="s">
        <v>260</v>
      </c>
      <c r="D1081" s="5"/>
      <c r="F1081" s="1" t="s">
        <v>55</v>
      </c>
      <c r="G1081" s="21"/>
      <c r="I1081" s="52"/>
      <c r="J1081" s="21"/>
      <c r="K1081" s="21"/>
      <c r="L1081" s="21"/>
      <c r="M1081" s="21"/>
      <c r="N1081" s="21"/>
      <c r="O1081" s="21"/>
      <c r="P1081" s="21"/>
      <c r="Q1081" s="21"/>
      <c r="R1081" s="21"/>
      <c r="S1081" s="21"/>
      <c r="T1081" s="21"/>
      <c r="U1081" s="21"/>
      <c r="V1081" s="21"/>
      <c r="W1081" s="563"/>
      <c r="X1081" s="563"/>
      <c r="Y1081" s="563"/>
      <c r="Z1081" s="563"/>
      <c r="AA1081" s="563"/>
      <c r="AB1081" s="563"/>
      <c r="AC1081" s="563"/>
      <c r="AD1081" s="563"/>
      <c r="AE1081" s="563"/>
    </row>
    <row r="1082" spans="3:33" hidden="1" outlineLevel="1" x14ac:dyDescent="0.2">
      <c r="C1082" s="5" t="s">
        <v>126</v>
      </c>
      <c r="D1082" s="5"/>
      <c r="F1082" s="1" t="s">
        <v>55</v>
      </c>
      <c r="G1082" s="21">
        <f>SUM(I1082:AE1082)</f>
        <v>0</v>
      </c>
      <c r="I1082" s="21"/>
      <c r="J1082" s="21"/>
      <c r="K1082" s="21"/>
      <c r="L1082" s="21"/>
      <c r="M1082" s="21"/>
      <c r="N1082" s="21"/>
      <c r="O1082" s="21"/>
      <c r="P1082" s="21"/>
      <c r="Q1082" s="21"/>
      <c r="R1082" s="21"/>
      <c r="S1082" s="21"/>
      <c r="T1082" s="21"/>
      <c r="U1082" s="21"/>
      <c r="V1082" s="21"/>
      <c r="W1082" s="563"/>
      <c r="X1082" s="563"/>
      <c r="Y1082" s="563"/>
      <c r="Z1082" s="563"/>
      <c r="AA1082" s="563"/>
      <c r="AB1082" s="563"/>
      <c r="AC1082" s="563"/>
      <c r="AD1082" s="563"/>
      <c r="AE1082" s="563"/>
    </row>
    <row r="1083" spans="3:33" hidden="1" outlineLevel="1" x14ac:dyDescent="0.2">
      <c r="C1083" s="5" t="s">
        <v>261</v>
      </c>
      <c r="D1083" s="5"/>
      <c r="F1083" s="1" t="s">
        <v>55</v>
      </c>
      <c r="G1083" s="21">
        <f>SUM(I1083:AE1083)</f>
        <v>0</v>
      </c>
      <c r="I1083" s="21"/>
      <c r="J1083" s="21"/>
      <c r="K1083" s="21"/>
      <c r="L1083" s="21"/>
      <c r="M1083" s="21"/>
      <c r="N1083" s="21"/>
      <c r="O1083" s="21"/>
      <c r="P1083" s="21"/>
      <c r="Q1083" s="21"/>
      <c r="R1083" s="21"/>
      <c r="S1083" s="21"/>
      <c r="T1083" s="21"/>
      <c r="U1083" s="21"/>
      <c r="V1083" s="21"/>
      <c r="W1083" s="563"/>
      <c r="X1083" s="563"/>
      <c r="Y1083" s="563"/>
      <c r="Z1083" s="563"/>
      <c r="AA1083" s="563"/>
      <c r="AB1083" s="563"/>
      <c r="AC1083" s="563"/>
      <c r="AD1083" s="563"/>
      <c r="AE1083" s="563"/>
    </row>
    <row r="1084" spans="3:33" hidden="1" outlineLevel="1" x14ac:dyDescent="0.2">
      <c r="C1084" s="5" t="s">
        <v>127</v>
      </c>
      <c r="D1084" s="5"/>
      <c r="F1084" s="1" t="s">
        <v>55</v>
      </c>
      <c r="G1084" s="21"/>
      <c r="I1084" s="21"/>
      <c r="J1084" s="21"/>
      <c r="K1084" s="21"/>
      <c r="L1084" s="21"/>
      <c r="M1084" s="21"/>
      <c r="N1084" s="21"/>
      <c r="O1084" s="21"/>
      <c r="P1084" s="21"/>
      <c r="Q1084" s="21"/>
      <c r="R1084" s="21"/>
      <c r="S1084" s="21"/>
      <c r="T1084" s="21"/>
      <c r="U1084" s="21"/>
      <c r="V1084" s="21"/>
      <c r="W1084" s="563"/>
      <c r="X1084" s="563"/>
      <c r="Y1084" s="563"/>
      <c r="Z1084" s="563"/>
      <c r="AA1084" s="563"/>
      <c r="AB1084" s="563"/>
      <c r="AC1084" s="563"/>
      <c r="AD1084" s="563"/>
      <c r="AE1084" s="563"/>
    </row>
    <row r="1085" spans="3:33" hidden="1" outlineLevel="1" x14ac:dyDescent="0.2">
      <c r="C1085" s="5"/>
      <c r="D1085" s="5"/>
      <c r="I1085" s="21"/>
      <c r="J1085" s="21"/>
      <c r="K1085" s="21"/>
      <c r="L1085" s="21"/>
      <c r="M1085" s="21"/>
      <c r="N1085" s="21"/>
      <c r="O1085" s="21"/>
      <c r="P1085" s="21"/>
      <c r="Q1085" s="21"/>
      <c r="R1085" s="21"/>
      <c r="S1085" s="21"/>
      <c r="T1085" s="21"/>
      <c r="U1085" s="21"/>
      <c r="V1085" s="21"/>
      <c r="W1085" s="563"/>
      <c r="X1085" s="563"/>
      <c r="Y1085" s="563"/>
      <c r="Z1085" s="563"/>
      <c r="AA1085" s="563"/>
      <c r="AB1085" s="563"/>
      <c r="AC1085" s="563"/>
      <c r="AD1085" s="563"/>
      <c r="AE1085" s="563"/>
    </row>
    <row r="1086" spans="3:33" hidden="1" outlineLevel="1" x14ac:dyDescent="0.2">
      <c r="C1086" s="5" t="s">
        <v>372</v>
      </c>
      <c r="D1086" s="5"/>
      <c r="F1086" s="1" t="s">
        <v>55</v>
      </c>
      <c r="G1086" s="21"/>
      <c r="I1086" s="21"/>
      <c r="J1086" s="21"/>
      <c r="K1086" s="21"/>
      <c r="L1086" s="21"/>
      <c r="M1086" s="21"/>
      <c r="N1086" s="21"/>
      <c r="O1086" s="21"/>
      <c r="P1086" s="21"/>
      <c r="Q1086" s="21"/>
      <c r="R1086" s="21"/>
      <c r="S1086" s="21"/>
      <c r="T1086" s="21"/>
      <c r="U1086" s="21"/>
      <c r="V1086" s="21"/>
      <c r="W1086" s="563"/>
      <c r="X1086" s="563"/>
      <c r="Y1086" s="563"/>
      <c r="Z1086" s="563"/>
      <c r="AA1086" s="563"/>
      <c r="AB1086" s="563"/>
      <c r="AC1086" s="563"/>
      <c r="AD1086" s="563"/>
      <c r="AE1086" s="563"/>
    </row>
    <row r="1087" spans="3:33" hidden="1" outlineLevel="1" x14ac:dyDescent="0.2">
      <c r="C1087" s="5"/>
      <c r="D1087" s="5"/>
    </row>
    <row r="1088" spans="3:33" hidden="1" outlineLevel="1" x14ac:dyDescent="0.2">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row>
    <row r="1089" spans="2:31" hidden="1" outlineLevel="1" x14ac:dyDescent="0.2">
      <c r="C1089" s="5"/>
      <c r="D1089" s="5"/>
    </row>
    <row r="1090" spans="2:31" hidden="1" outlineLevel="1" x14ac:dyDescent="0.2">
      <c r="B1090" s="10">
        <f>B1037+0.1</f>
        <v>9.5999999999999979</v>
      </c>
      <c r="C1090" s="20" t="s">
        <v>265</v>
      </c>
      <c r="D1090" s="5"/>
    </row>
    <row r="1091" spans="2:31" hidden="1" outlineLevel="1" x14ac:dyDescent="0.2">
      <c r="C1091" s="5"/>
      <c r="D1091" s="5"/>
    </row>
    <row r="1092" spans="2:31" hidden="1" outlineLevel="1" x14ac:dyDescent="0.2">
      <c r="C1092" s="1" t="s">
        <v>125</v>
      </c>
      <c r="D1092" s="5"/>
      <c r="F1092" s="1" t="s">
        <v>55</v>
      </c>
      <c r="I1092" s="52"/>
      <c r="J1092" s="21"/>
      <c r="K1092" s="21"/>
      <c r="L1092" s="21"/>
      <c r="M1092" s="21"/>
      <c r="N1092" s="21"/>
      <c r="O1092" s="21"/>
      <c r="P1092" s="21"/>
      <c r="Q1092" s="21"/>
      <c r="R1092" s="21"/>
      <c r="S1092" s="21"/>
      <c r="T1092" s="21"/>
      <c r="U1092" s="21"/>
      <c r="V1092" s="21"/>
      <c r="W1092" s="563"/>
      <c r="X1092" s="563"/>
      <c r="Y1092" s="563"/>
      <c r="Z1092" s="563"/>
      <c r="AA1092" s="563"/>
      <c r="AB1092" s="563"/>
      <c r="AC1092" s="563"/>
      <c r="AD1092" s="563"/>
      <c r="AE1092" s="563"/>
    </row>
    <row r="1093" spans="2:31" hidden="1" outlineLevel="1" x14ac:dyDescent="0.2">
      <c r="C1093" s="1" t="s">
        <v>126</v>
      </c>
      <c r="D1093" s="5"/>
      <c r="F1093" s="1" t="s">
        <v>55</v>
      </c>
      <c r="G1093" s="21">
        <f>SUM(I1093:AE1093)</f>
        <v>0</v>
      </c>
      <c r="I1093" s="21"/>
      <c r="J1093" s="21"/>
      <c r="K1093" s="21"/>
      <c r="L1093" s="21"/>
      <c r="M1093" s="21"/>
      <c r="N1093" s="21"/>
      <c r="O1093" s="21"/>
      <c r="P1093" s="21"/>
      <c r="Q1093" s="21"/>
      <c r="R1093" s="21"/>
      <c r="S1093" s="21"/>
      <c r="T1093" s="21"/>
      <c r="U1093" s="21"/>
      <c r="V1093" s="21"/>
      <c r="W1093" s="563"/>
      <c r="X1093" s="563"/>
      <c r="Y1093" s="563"/>
      <c r="Z1093" s="563"/>
      <c r="AA1093" s="563"/>
      <c r="AB1093" s="563"/>
      <c r="AC1093" s="563"/>
      <c r="AD1093" s="563"/>
      <c r="AE1093" s="563"/>
    </row>
    <row r="1094" spans="2:31" hidden="1" outlineLevel="1" x14ac:dyDescent="0.2">
      <c r="C1094" s="67" t="s">
        <v>266</v>
      </c>
      <c r="D1094" s="5"/>
      <c r="F1094" s="1" t="s">
        <v>55</v>
      </c>
      <c r="G1094" s="21">
        <f>SUM(I1094:AE1094)</f>
        <v>0</v>
      </c>
      <c r="I1094" s="45"/>
      <c r="J1094" s="45"/>
      <c r="K1094" s="45"/>
      <c r="L1094" s="45"/>
      <c r="M1094" s="45"/>
      <c r="N1094" s="45"/>
      <c r="O1094" s="45"/>
      <c r="P1094" s="45"/>
      <c r="Q1094" s="45"/>
      <c r="R1094" s="45"/>
      <c r="S1094" s="45"/>
      <c r="T1094" s="45"/>
      <c r="U1094" s="45"/>
      <c r="V1094" s="45"/>
      <c r="W1094" s="568"/>
      <c r="X1094" s="568"/>
      <c r="Y1094" s="568"/>
      <c r="Z1094" s="568"/>
      <c r="AA1094" s="568"/>
      <c r="AB1094" s="568"/>
      <c r="AC1094" s="568"/>
      <c r="AD1094" s="568"/>
      <c r="AE1094" s="568"/>
    </row>
    <row r="1095" spans="2:31" hidden="1" outlineLevel="1" x14ac:dyDescent="0.2">
      <c r="C1095" s="1" t="s">
        <v>267</v>
      </c>
      <c r="D1095" s="5"/>
      <c r="F1095" s="1" t="s">
        <v>55</v>
      </c>
      <c r="I1095" s="21"/>
      <c r="J1095" s="21"/>
      <c r="K1095" s="21"/>
      <c r="L1095" s="21"/>
      <c r="M1095" s="21"/>
      <c r="N1095" s="21"/>
      <c r="O1095" s="21"/>
      <c r="P1095" s="21"/>
      <c r="Q1095" s="21"/>
      <c r="R1095" s="21"/>
      <c r="S1095" s="21"/>
      <c r="T1095" s="21"/>
      <c r="U1095" s="21"/>
      <c r="V1095" s="21"/>
      <c r="W1095" s="563"/>
      <c r="X1095" s="563"/>
      <c r="Y1095" s="563"/>
      <c r="Z1095" s="563"/>
      <c r="AA1095" s="563"/>
      <c r="AB1095" s="563"/>
      <c r="AC1095" s="563"/>
      <c r="AD1095" s="563"/>
      <c r="AE1095" s="563"/>
    </row>
    <row r="1096" spans="2:31" hidden="1" outlineLevel="1" x14ac:dyDescent="0.2">
      <c r="C1096" s="5"/>
      <c r="D1096" s="5"/>
    </row>
    <row r="1097" spans="2:31" hidden="1" outlineLevel="1" x14ac:dyDescent="0.2">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row>
    <row r="1098" spans="2:31" hidden="1" outlineLevel="1" x14ac:dyDescent="0.2">
      <c r="C1098" s="5"/>
      <c r="D1098" s="5"/>
    </row>
    <row r="1099" spans="2:31" hidden="1" outlineLevel="1" x14ac:dyDescent="0.2">
      <c r="B1099" s="10">
        <f>B1090+0.1</f>
        <v>9.6999999999999975</v>
      </c>
      <c r="C1099" s="20" t="s">
        <v>275</v>
      </c>
      <c r="D1099" s="5"/>
    </row>
    <row r="1100" spans="2:31" hidden="1" outlineLevel="1" x14ac:dyDescent="0.2">
      <c r="B1100" s="24"/>
      <c r="C1100" s="20"/>
      <c r="D1100" s="5"/>
    </row>
    <row r="1101" spans="2:31" hidden="1" outlineLevel="1" x14ac:dyDescent="0.2">
      <c r="C1101" s="1" t="s">
        <v>125</v>
      </c>
      <c r="D1101" s="5"/>
      <c r="F1101" s="1" t="s">
        <v>55</v>
      </c>
      <c r="I1101" s="52"/>
      <c r="J1101" s="21"/>
      <c r="K1101" s="21"/>
      <c r="L1101" s="21"/>
      <c r="M1101" s="21"/>
      <c r="N1101" s="21"/>
      <c r="O1101" s="21"/>
      <c r="P1101" s="21"/>
      <c r="Q1101" s="21"/>
      <c r="R1101" s="21"/>
      <c r="S1101" s="21"/>
      <c r="T1101" s="21"/>
      <c r="U1101" s="21"/>
      <c r="V1101" s="21"/>
      <c r="W1101" s="563"/>
      <c r="X1101" s="563"/>
      <c r="Y1101" s="563"/>
      <c r="Z1101" s="563"/>
      <c r="AA1101" s="563"/>
      <c r="AB1101" s="563"/>
      <c r="AC1101" s="563"/>
      <c r="AD1101" s="563"/>
      <c r="AE1101" s="563"/>
    </row>
    <row r="1102" spans="2:31" hidden="1" outlineLevel="1" x14ac:dyDescent="0.2">
      <c r="C1102" s="1" t="s">
        <v>126</v>
      </c>
      <c r="D1102" s="5"/>
      <c r="F1102" s="1" t="s">
        <v>55</v>
      </c>
      <c r="G1102" s="21">
        <f>SUM(I1102:AE1102)</f>
        <v>0</v>
      </c>
      <c r="I1102" s="21"/>
      <c r="J1102" s="21"/>
      <c r="K1102" s="21"/>
      <c r="L1102" s="21"/>
      <c r="M1102" s="21"/>
      <c r="N1102" s="21"/>
      <c r="O1102" s="21"/>
      <c r="P1102" s="21"/>
      <c r="Q1102" s="21"/>
      <c r="R1102" s="21"/>
      <c r="S1102" s="21"/>
      <c r="T1102" s="21"/>
      <c r="U1102" s="21"/>
      <c r="V1102" s="21"/>
      <c r="W1102" s="563"/>
      <c r="X1102" s="563"/>
      <c r="Y1102" s="563"/>
      <c r="Z1102" s="563"/>
      <c r="AA1102" s="563"/>
      <c r="AB1102" s="563"/>
      <c r="AC1102" s="563"/>
      <c r="AD1102" s="563"/>
      <c r="AE1102" s="563"/>
    </row>
    <row r="1103" spans="2:31" hidden="1" outlineLevel="1" x14ac:dyDescent="0.2">
      <c r="C1103" s="67" t="s">
        <v>266</v>
      </c>
      <c r="D1103" s="5"/>
      <c r="F1103" s="1" t="s">
        <v>55</v>
      </c>
      <c r="G1103" s="21">
        <f>SUM(I1103:AE1103)</f>
        <v>0</v>
      </c>
      <c r="I1103" s="45"/>
      <c r="J1103" s="45"/>
      <c r="K1103" s="45"/>
      <c r="L1103" s="45"/>
      <c r="M1103" s="45"/>
      <c r="N1103" s="45"/>
      <c r="O1103" s="45"/>
      <c r="P1103" s="45"/>
      <c r="Q1103" s="45"/>
      <c r="R1103" s="45"/>
      <c r="S1103" s="45"/>
      <c r="T1103" s="45"/>
      <c r="U1103" s="45"/>
      <c r="V1103" s="45"/>
      <c r="W1103" s="568"/>
      <c r="X1103" s="568"/>
      <c r="Y1103" s="568"/>
      <c r="Z1103" s="568"/>
      <c r="AA1103" s="568"/>
      <c r="AB1103" s="568"/>
      <c r="AC1103" s="568"/>
      <c r="AD1103" s="568"/>
      <c r="AE1103" s="568"/>
    </row>
    <row r="1104" spans="2:31" hidden="1" outlineLevel="1" x14ac:dyDescent="0.2">
      <c r="C1104" s="1" t="s">
        <v>267</v>
      </c>
      <c r="D1104" s="5"/>
      <c r="F1104" s="1" t="s">
        <v>55</v>
      </c>
      <c r="I1104" s="21"/>
      <c r="J1104" s="21"/>
      <c r="K1104" s="21"/>
      <c r="L1104" s="21"/>
      <c r="M1104" s="21"/>
      <c r="N1104" s="21"/>
      <c r="O1104" s="21"/>
      <c r="P1104" s="21"/>
      <c r="Q1104" s="21"/>
      <c r="R1104" s="21"/>
      <c r="S1104" s="21"/>
      <c r="T1104" s="21"/>
      <c r="U1104" s="21"/>
      <c r="V1104" s="21"/>
      <c r="W1104" s="563"/>
      <c r="X1104" s="563"/>
      <c r="Y1104" s="563"/>
      <c r="Z1104" s="563"/>
      <c r="AA1104" s="563"/>
      <c r="AB1104" s="563"/>
      <c r="AC1104" s="563"/>
      <c r="AD1104" s="563"/>
      <c r="AE1104" s="563"/>
    </row>
    <row r="1105" spans="2:31" hidden="1" outlineLevel="1" x14ac:dyDescent="0.2">
      <c r="C1105" s="5"/>
      <c r="D1105" s="5"/>
    </row>
    <row r="1106" spans="2:31" hidden="1" outlineLevel="1" x14ac:dyDescent="0.2">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row>
    <row r="1107" spans="2:31" hidden="1" outlineLevel="1" x14ac:dyDescent="0.2">
      <c r="C1107" s="5"/>
      <c r="D1107" s="5"/>
    </row>
    <row r="1108" spans="2:31" hidden="1" outlineLevel="1" x14ac:dyDescent="0.2">
      <c r="B1108" s="10">
        <f>B1099+0.1</f>
        <v>9.7999999999999972</v>
      </c>
      <c r="C1108" s="20" t="s">
        <v>268</v>
      </c>
      <c r="D1108" s="5"/>
    </row>
    <row r="1109" spans="2:31" hidden="1" outlineLevel="1" x14ac:dyDescent="0.2">
      <c r="C1109" s="5"/>
      <c r="D1109" s="5"/>
    </row>
    <row r="1110" spans="2:31" hidden="1" outlineLevel="1" x14ac:dyDescent="0.2">
      <c r="C1110" s="5" t="str">
        <f>"Deduction methodology - "&amp;IF($E$980=0,C1115,C1123)</f>
        <v>Deduction methodology - Declining Balance</v>
      </c>
      <c r="D1110" s="5"/>
      <c r="F1110" s="1" t="s">
        <v>55</v>
      </c>
      <c r="G1110" s="21">
        <f>SUM(I1110:AE1110)</f>
        <v>0</v>
      </c>
      <c r="I1110" s="21"/>
      <c r="J1110" s="21"/>
      <c r="K1110" s="21"/>
      <c r="L1110" s="21"/>
      <c r="M1110" s="21"/>
      <c r="N1110" s="21"/>
      <c r="O1110" s="21"/>
      <c r="P1110" s="21"/>
      <c r="Q1110" s="21"/>
      <c r="R1110" s="21"/>
      <c r="S1110" s="21"/>
      <c r="T1110" s="21"/>
      <c r="U1110" s="21"/>
      <c r="V1110" s="21"/>
      <c r="W1110" s="563"/>
      <c r="X1110" s="563"/>
      <c r="Y1110" s="563"/>
      <c r="Z1110" s="563"/>
      <c r="AA1110" s="563"/>
      <c r="AB1110" s="563"/>
      <c r="AC1110" s="563"/>
      <c r="AD1110" s="563"/>
      <c r="AE1110" s="563"/>
    </row>
    <row r="1111" spans="2:31" hidden="1" outlineLevel="1" x14ac:dyDescent="0.2">
      <c r="C1111" s="5"/>
      <c r="D1111" s="5"/>
    </row>
    <row r="1112" spans="2:31" hidden="1" outlineLevel="1" x14ac:dyDescent="0.2">
      <c r="C1112" s="1" t="s">
        <v>121</v>
      </c>
      <c r="D1112" s="5"/>
      <c r="F1112" s="1" t="s">
        <v>55</v>
      </c>
      <c r="G1112" s="21">
        <f>SUM(I1112:AE1112)</f>
        <v>0</v>
      </c>
      <c r="I1112" s="21"/>
      <c r="J1112" s="21"/>
      <c r="K1112" s="21"/>
      <c r="L1112" s="21"/>
      <c r="M1112" s="21"/>
      <c r="N1112" s="21"/>
      <c r="O1112" s="21"/>
      <c r="P1112" s="21"/>
      <c r="Q1112" s="21"/>
      <c r="R1112" s="21"/>
      <c r="S1112" s="21"/>
      <c r="T1112" s="21"/>
      <c r="U1112" s="21"/>
      <c r="V1112" s="21"/>
      <c r="W1112" s="563"/>
      <c r="X1112" s="563"/>
      <c r="Y1112" s="563"/>
      <c r="Z1112" s="563"/>
      <c r="AA1112" s="563"/>
      <c r="AB1112" s="563"/>
      <c r="AC1112" s="563"/>
      <c r="AD1112" s="563"/>
      <c r="AE1112" s="563"/>
    </row>
    <row r="1113" spans="2:31" hidden="1" outlineLevel="1" x14ac:dyDescent="0.2">
      <c r="C1113" s="5" t="s">
        <v>258</v>
      </c>
      <c r="D1113" s="5"/>
      <c r="F1113" s="1" t="s">
        <v>55</v>
      </c>
      <c r="G1113" s="21">
        <f>SUM(I1113:AE1113)</f>
        <v>0</v>
      </c>
      <c r="I1113" s="21"/>
      <c r="J1113" s="21"/>
      <c r="K1113" s="21"/>
      <c r="L1113" s="21"/>
      <c r="M1113" s="21"/>
      <c r="N1113" s="21"/>
      <c r="O1113" s="21"/>
      <c r="P1113" s="21"/>
      <c r="Q1113" s="21"/>
      <c r="R1113" s="21"/>
      <c r="S1113" s="21"/>
      <c r="T1113" s="21"/>
      <c r="U1113" s="21"/>
      <c r="V1113" s="21"/>
      <c r="W1113" s="563"/>
      <c r="X1113" s="563"/>
      <c r="Y1113" s="563"/>
      <c r="Z1113" s="563"/>
      <c r="AA1113" s="563"/>
      <c r="AB1113" s="563"/>
      <c r="AC1113" s="563"/>
      <c r="AD1113" s="563"/>
      <c r="AE1113" s="563"/>
    </row>
    <row r="1114" spans="2:31" hidden="1" outlineLevel="1" x14ac:dyDescent="0.2">
      <c r="C1114" s="5"/>
      <c r="D1114" s="5"/>
    </row>
    <row r="1115" spans="2:31" hidden="1" outlineLevel="1" x14ac:dyDescent="0.2">
      <c r="C1115" s="90" t="s">
        <v>262</v>
      </c>
      <c r="D1115" s="5"/>
    </row>
    <row r="1116" spans="2:31" hidden="1" outlineLevel="1" x14ac:dyDescent="0.2">
      <c r="C1116" s="5" t="s">
        <v>260</v>
      </c>
      <c r="D1116" s="5"/>
      <c r="F1116" s="1" t="s">
        <v>55</v>
      </c>
      <c r="I1116" s="52"/>
      <c r="J1116" s="21"/>
      <c r="K1116" s="21"/>
      <c r="L1116" s="21"/>
      <c r="M1116" s="21"/>
      <c r="N1116" s="21"/>
      <c r="O1116" s="21"/>
      <c r="P1116" s="21"/>
      <c r="Q1116" s="21"/>
      <c r="R1116" s="21"/>
      <c r="S1116" s="21"/>
      <c r="T1116" s="21"/>
      <c r="U1116" s="21"/>
      <c r="V1116" s="21"/>
      <c r="W1116" s="563"/>
      <c r="X1116" s="563"/>
      <c r="Y1116" s="563"/>
      <c r="Z1116" s="563"/>
      <c r="AA1116" s="563"/>
      <c r="AB1116" s="563"/>
      <c r="AC1116" s="563"/>
      <c r="AD1116" s="563"/>
      <c r="AE1116" s="563"/>
    </row>
    <row r="1117" spans="2:31" hidden="1" outlineLevel="1" x14ac:dyDescent="0.2">
      <c r="C1117" s="5" t="s">
        <v>126</v>
      </c>
      <c r="D1117" s="5"/>
      <c r="F1117" s="1" t="s">
        <v>55</v>
      </c>
      <c r="G1117" s="21">
        <f>SUM(I1117:AE1117)</f>
        <v>0</v>
      </c>
      <c r="I1117" s="21"/>
      <c r="J1117" s="21"/>
      <c r="K1117" s="21"/>
      <c r="L1117" s="21"/>
      <c r="M1117" s="21"/>
      <c r="N1117" s="21"/>
      <c r="O1117" s="21"/>
      <c r="P1117" s="21"/>
      <c r="Q1117" s="21"/>
      <c r="R1117" s="21"/>
      <c r="S1117" s="21"/>
      <c r="T1117" s="21"/>
      <c r="U1117" s="21"/>
      <c r="V1117" s="21"/>
      <c r="W1117" s="563"/>
      <c r="X1117" s="563"/>
      <c r="Y1117" s="563"/>
      <c r="Z1117" s="563"/>
      <c r="AA1117" s="563"/>
      <c r="AB1117" s="563"/>
      <c r="AC1117" s="563"/>
      <c r="AD1117" s="563"/>
      <c r="AE1117" s="563"/>
    </row>
    <row r="1118" spans="2:31" hidden="1" outlineLevel="1" x14ac:dyDescent="0.2">
      <c r="C1118" s="5" t="s">
        <v>261</v>
      </c>
      <c r="D1118" s="5"/>
      <c r="F1118" s="1" t="s">
        <v>55</v>
      </c>
      <c r="G1118" s="21">
        <f>SUM(I1118:AE1118)</f>
        <v>0</v>
      </c>
      <c r="I1118" s="21"/>
      <c r="J1118" s="21"/>
      <c r="K1118" s="21"/>
      <c r="L1118" s="21"/>
      <c r="M1118" s="21"/>
      <c r="N1118" s="21"/>
      <c r="O1118" s="21"/>
      <c r="P1118" s="21"/>
      <c r="Q1118" s="21"/>
      <c r="R1118" s="21"/>
      <c r="S1118" s="21"/>
      <c r="T1118" s="21"/>
      <c r="U1118" s="21"/>
      <c r="V1118" s="21"/>
      <c r="W1118" s="563"/>
      <c r="X1118" s="563"/>
      <c r="Y1118" s="563"/>
      <c r="Z1118" s="563"/>
      <c r="AA1118" s="563"/>
      <c r="AB1118" s="563"/>
      <c r="AC1118" s="563"/>
      <c r="AD1118" s="563"/>
      <c r="AE1118" s="563"/>
    </row>
    <row r="1119" spans="2:31" hidden="1" outlineLevel="1" x14ac:dyDescent="0.2">
      <c r="C1119" s="5" t="s">
        <v>127</v>
      </c>
      <c r="D1119" s="5"/>
      <c r="F1119" s="1" t="s">
        <v>55</v>
      </c>
      <c r="I1119" s="21"/>
      <c r="J1119" s="21"/>
      <c r="K1119" s="21"/>
      <c r="L1119" s="21"/>
      <c r="M1119" s="21"/>
      <c r="N1119" s="21"/>
      <c r="O1119" s="21"/>
      <c r="P1119" s="21"/>
      <c r="Q1119" s="21"/>
      <c r="R1119" s="21"/>
      <c r="S1119" s="21"/>
      <c r="T1119" s="21"/>
      <c r="U1119" s="21"/>
      <c r="V1119" s="21"/>
      <c r="W1119" s="563"/>
      <c r="X1119" s="563"/>
      <c r="Y1119" s="563"/>
      <c r="Z1119" s="563"/>
      <c r="AA1119" s="563"/>
      <c r="AB1119" s="563"/>
      <c r="AC1119" s="563"/>
      <c r="AD1119" s="563"/>
      <c r="AE1119" s="563"/>
    </row>
    <row r="1120" spans="2:31" hidden="1" outlineLevel="1" x14ac:dyDescent="0.2">
      <c r="C1120" s="5"/>
      <c r="D1120" s="5"/>
    </row>
    <row r="1121" spans="2:31" hidden="1" outlineLevel="1" x14ac:dyDescent="0.2">
      <c r="C1121" s="5" t="s">
        <v>372</v>
      </c>
      <c r="D1121" s="5"/>
      <c r="F1121" s="1" t="s">
        <v>55</v>
      </c>
      <c r="I1121" s="21"/>
      <c r="J1121" s="21"/>
      <c r="K1121" s="21"/>
      <c r="L1121" s="21"/>
      <c r="M1121" s="21"/>
      <c r="N1121" s="21"/>
      <c r="O1121" s="21"/>
      <c r="P1121" s="21"/>
      <c r="Q1121" s="21"/>
      <c r="R1121" s="21"/>
      <c r="S1121" s="21"/>
      <c r="T1121" s="21"/>
      <c r="U1121" s="21"/>
      <c r="V1121" s="21"/>
      <c r="W1121" s="563"/>
      <c r="X1121" s="563"/>
      <c r="Y1121" s="563"/>
      <c r="Z1121" s="563"/>
      <c r="AA1121" s="563"/>
      <c r="AB1121" s="563"/>
      <c r="AC1121" s="563"/>
      <c r="AD1121" s="563"/>
      <c r="AE1121" s="563"/>
    </row>
    <row r="1122" spans="2:31" hidden="1" outlineLevel="1" x14ac:dyDescent="0.2">
      <c r="C1122" s="5"/>
      <c r="D1122" s="5"/>
    </row>
    <row r="1123" spans="2:31" hidden="1" outlineLevel="1" x14ac:dyDescent="0.2">
      <c r="C1123" s="90" t="s">
        <v>264</v>
      </c>
      <c r="D1123" s="5"/>
    </row>
    <row r="1124" spans="2:31" hidden="1" outlineLevel="1" x14ac:dyDescent="0.2">
      <c r="C1124" s="5" t="s">
        <v>260</v>
      </c>
      <c r="D1124" s="5"/>
      <c r="F1124" s="1" t="s">
        <v>55</v>
      </c>
      <c r="I1124" s="52"/>
      <c r="J1124" s="21"/>
      <c r="K1124" s="21"/>
      <c r="L1124" s="21"/>
      <c r="M1124" s="21"/>
      <c r="N1124" s="21"/>
      <c r="O1124" s="21"/>
      <c r="P1124" s="21"/>
      <c r="Q1124" s="21"/>
      <c r="R1124" s="21"/>
      <c r="S1124" s="21"/>
      <c r="T1124" s="21"/>
      <c r="U1124" s="21"/>
      <c r="V1124" s="21"/>
      <c r="W1124" s="563"/>
      <c r="X1124" s="563"/>
      <c r="Y1124" s="563"/>
      <c r="Z1124" s="563"/>
      <c r="AA1124" s="563"/>
      <c r="AB1124" s="563"/>
      <c r="AC1124" s="563"/>
      <c r="AD1124" s="563"/>
      <c r="AE1124" s="563"/>
    </row>
    <row r="1125" spans="2:31" hidden="1" outlineLevel="1" x14ac:dyDescent="0.2">
      <c r="C1125" s="5" t="s">
        <v>126</v>
      </c>
      <c r="D1125" s="5"/>
      <c r="F1125" s="1" t="s">
        <v>55</v>
      </c>
      <c r="G1125" s="21">
        <f>SUM(I1125:AE1125)</f>
        <v>0</v>
      </c>
      <c r="I1125" s="21"/>
      <c r="J1125" s="21"/>
      <c r="K1125" s="21"/>
      <c r="L1125" s="21"/>
      <c r="M1125" s="21"/>
      <c r="N1125" s="21"/>
      <c r="O1125" s="21"/>
      <c r="P1125" s="21"/>
      <c r="Q1125" s="21"/>
      <c r="R1125" s="21"/>
      <c r="S1125" s="21"/>
      <c r="T1125" s="21"/>
      <c r="U1125" s="21"/>
      <c r="V1125" s="21"/>
      <c r="W1125" s="563"/>
      <c r="X1125" s="563"/>
      <c r="Y1125" s="563"/>
      <c r="Z1125" s="563"/>
      <c r="AA1125" s="563"/>
      <c r="AB1125" s="563"/>
      <c r="AC1125" s="563"/>
      <c r="AD1125" s="563"/>
      <c r="AE1125" s="563"/>
    </row>
    <row r="1126" spans="2:31" hidden="1" outlineLevel="1" x14ac:dyDescent="0.2">
      <c r="C1126" s="5" t="s">
        <v>261</v>
      </c>
      <c r="D1126" s="5"/>
      <c r="F1126" s="1" t="s">
        <v>55</v>
      </c>
      <c r="G1126" s="21">
        <f>SUM(I1126:AE1126)</f>
        <v>0</v>
      </c>
      <c r="I1126" s="21"/>
      <c r="J1126" s="21"/>
      <c r="K1126" s="21"/>
      <c r="L1126" s="21"/>
      <c r="M1126" s="21"/>
      <c r="N1126" s="21"/>
      <c r="O1126" s="21"/>
      <c r="P1126" s="21"/>
      <c r="Q1126" s="21"/>
      <c r="R1126" s="21"/>
      <c r="S1126" s="21"/>
      <c r="T1126" s="21"/>
      <c r="U1126" s="21"/>
      <c r="V1126" s="21"/>
      <c r="W1126" s="563"/>
      <c r="X1126" s="563"/>
      <c r="Y1126" s="563"/>
      <c r="Z1126" s="563"/>
      <c r="AA1126" s="563"/>
      <c r="AB1126" s="563"/>
      <c r="AC1126" s="563"/>
      <c r="AD1126" s="563"/>
      <c r="AE1126" s="563"/>
    </row>
    <row r="1127" spans="2:31" hidden="1" outlineLevel="1" x14ac:dyDescent="0.2">
      <c r="C1127" s="5" t="s">
        <v>127</v>
      </c>
      <c r="D1127" s="5"/>
      <c r="F1127" s="1" t="s">
        <v>55</v>
      </c>
      <c r="I1127" s="21"/>
      <c r="J1127" s="21"/>
      <c r="K1127" s="21"/>
      <c r="L1127" s="21"/>
      <c r="M1127" s="21"/>
      <c r="N1127" s="21"/>
      <c r="O1127" s="21"/>
      <c r="P1127" s="21"/>
      <c r="Q1127" s="21"/>
      <c r="R1127" s="21"/>
      <c r="S1127" s="21"/>
      <c r="T1127" s="21"/>
      <c r="U1127" s="21"/>
      <c r="V1127" s="21"/>
      <c r="W1127" s="563"/>
      <c r="X1127" s="563"/>
      <c r="Y1127" s="563"/>
      <c r="Z1127" s="563"/>
      <c r="AA1127" s="563"/>
      <c r="AB1127" s="563"/>
      <c r="AC1127" s="563"/>
      <c r="AD1127" s="563"/>
      <c r="AE1127" s="563"/>
    </row>
    <row r="1128" spans="2:31" ht="12" hidden="1" customHeight="1" outlineLevel="1" x14ac:dyDescent="0.2">
      <c r="C1128" s="5"/>
      <c r="D1128" s="5"/>
    </row>
    <row r="1129" spans="2:31" hidden="1" outlineLevel="1" x14ac:dyDescent="0.2">
      <c r="C1129" s="5" t="s">
        <v>372</v>
      </c>
      <c r="D1129" s="5"/>
      <c r="F1129" s="1" t="s">
        <v>55</v>
      </c>
      <c r="I1129" s="21"/>
      <c r="J1129" s="21"/>
      <c r="K1129" s="21"/>
      <c r="L1129" s="21"/>
      <c r="M1129" s="21"/>
      <c r="N1129" s="21"/>
      <c r="O1129" s="21"/>
      <c r="P1129" s="21"/>
      <c r="Q1129" s="21"/>
      <c r="R1129" s="21"/>
      <c r="S1129" s="21"/>
      <c r="T1129" s="21"/>
      <c r="U1129" s="21"/>
      <c r="V1129" s="21"/>
      <c r="W1129" s="563"/>
      <c r="X1129" s="563"/>
      <c r="Y1129" s="563"/>
      <c r="Z1129" s="563"/>
      <c r="AA1129" s="563"/>
      <c r="AB1129" s="563"/>
      <c r="AC1129" s="563"/>
      <c r="AD1129" s="563"/>
      <c r="AE1129" s="563"/>
    </row>
    <row r="1130" spans="2:31" hidden="1" outlineLevel="1" x14ac:dyDescent="0.2">
      <c r="C1130" s="5"/>
      <c r="D1130" s="5"/>
    </row>
    <row r="1131" spans="2:31" hidden="1" outlineLevel="1" x14ac:dyDescent="0.2">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row>
    <row r="1132" spans="2:31" hidden="1" outlineLevel="1" x14ac:dyDescent="0.2">
      <c r="C1132" s="5"/>
      <c r="D1132" s="5"/>
    </row>
    <row r="1133" spans="2:31" hidden="1" outlineLevel="1" x14ac:dyDescent="0.2">
      <c r="B1133" s="10">
        <f>B1108+0.1</f>
        <v>9.8999999999999968</v>
      </c>
      <c r="C1133" s="20" t="s">
        <v>269</v>
      </c>
      <c r="D1133" s="5"/>
    </row>
    <row r="1134" spans="2:31" hidden="1" outlineLevel="1" x14ac:dyDescent="0.2">
      <c r="C1134" s="5"/>
      <c r="D1134" s="5"/>
    </row>
    <row r="1135" spans="2:31" hidden="1" outlineLevel="1" x14ac:dyDescent="0.2">
      <c r="C1135" s="90" t="s">
        <v>270</v>
      </c>
      <c r="D1135" s="5"/>
    </row>
    <row r="1136" spans="2:31" hidden="1" outlineLevel="1" x14ac:dyDescent="0.2">
      <c r="C1136" s="5" t="s">
        <v>272</v>
      </c>
      <c r="D1136" s="5"/>
      <c r="F1136" s="1" t="s">
        <v>55</v>
      </c>
      <c r="I1136" s="52"/>
      <c r="J1136" s="21"/>
      <c r="K1136" s="21"/>
      <c r="L1136" s="21"/>
      <c r="M1136" s="21"/>
      <c r="N1136" s="21"/>
      <c r="O1136" s="21"/>
      <c r="P1136" s="21"/>
      <c r="Q1136" s="21"/>
      <c r="R1136" s="21"/>
      <c r="S1136" s="21"/>
      <c r="T1136" s="21"/>
      <c r="U1136" s="21"/>
      <c r="V1136" s="21"/>
      <c r="W1136" s="563"/>
      <c r="X1136" s="563"/>
      <c r="Y1136" s="563"/>
      <c r="Z1136" s="563"/>
      <c r="AA1136" s="563"/>
      <c r="AB1136" s="563"/>
      <c r="AC1136" s="563"/>
      <c r="AD1136" s="563"/>
      <c r="AE1136" s="563"/>
    </row>
    <row r="1137" spans="3:31" hidden="1" outlineLevel="1" x14ac:dyDescent="0.2">
      <c r="C1137" s="5" t="s">
        <v>271</v>
      </c>
      <c r="D1137" s="5"/>
      <c r="F1137" s="1" t="s">
        <v>55</v>
      </c>
      <c r="G1137" s="21">
        <f>G1141+G1147</f>
        <v>0</v>
      </c>
      <c r="I1137" s="21"/>
      <c r="J1137" s="21"/>
      <c r="K1137" s="21"/>
      <c r="L1137" s="21"/>
      <c r="M1137" s="21"/>
      <c r="N1137" s="21"/>
      <c r="O1137" s="21"/>
      <c r="P1137" s="21"/>
      <c r="Q1137" s="21"/>
      <c r="R1137" s="21"/>
      <c r="S1137" s="21"/>
      <c r="T1137" s="21"/>
      <c r="U1137" s="21"/>
      <c r="V1137" s="21"/>
      <c r="W1137" s="563"/>
      <c r="X1137" s="563"/>
      <c r="Y1137" s="563"/>
      <c r="Z1137" s="563"/>
      <c r="AA1137" s="563"/>
      <c r="AB1137" s="563"/>
      <c r="AC1137" s="563"/>
      <c r="AD1137" s="563"/>
      <c r="AE1137" s="563"/>
    </row>
    <row r="1138" spans="3:31" hidden="1" outlineLevel="1" x14ac:dyDescent="0.2">
      <c r="C1138" s="5" t="s">
        <v>273</v>
      </c>
      <c r="D1138" s="5"/>
      <c r="F1138" s="1" t="s">
        <v>55</v>
      </c>
      <c r="I1138" s="21"/>
      <c r="J1138" s="21"/>
      <c r="K1138" s="21"/>
      <c r="L1138" s="21"/>
      <c r="M1138" s="21"/>
      <c r="N1138" s="21"/>
      <c r="O1138" s="21"/>
      <c r="P1138" s="21"/>
      <c r="Q1138" s="21"/>
      <c r="R1138" s="21"/>
      <c r="S1138" s="21"/>
      <c r="T1138" s="21"/>
      <c r="U1138" s="21"/>
      <c r="V1138" s="21"/>
      <c r="W1138" s="563"/>
      <c r="X1138" s="563"/>
      <c r="Y1138" s="563"/>
      <c r="Z1138" s="563"/>
      <c r="AA1138" s="563"/>
      <c r="AB1138" s="563"/>
      <c r="AC1138" s="563"/>
      <c r="AD1138" s="563"/>
      <c r="AE1138" s="563"/>
    </row>
    <row r="1139" spans="3:31" hidden="1" outlineLevel="1" x14ac:dyDescent="0.2">
      <c r="C1139" s="5"/>
      <c r="D1139" s="5"/>
    </row>
    <row r="1140" spans="3:31" hidden="1" outlineLevel="1" x14ac:dyDescent="0.2">
      <c r="C1140" s="1" t="s">
        <v>125</v>
      </c>
      <c r="D1140" s="5"/>
      <c r="F1140" s="1" t="s">
        <v>55</v>
      </c>
      <c r="I1140" s="52"/>
      <c r="J1140" s="21"/>
      <c r="K1140" s="21"/>
      <c r="L1140" s="21"/>
      <c r="M1140" s="21"/>
      <c r="N1140" s="21"/>
      <c r="O1140" s="21"/>
      <c r="P1140" s="21"/>
      <c r="Q1140" s="21"/>
      <c r="R1140" s="21"/>
      <c r="S1140" s="21"/>
      <c r="T1140" s="21"/>
      <c r="U1140" s="21"/>
      <c r="V1140" s="21"/>
      <c r="W1140" s="563"/>
      <c r="X1140" s="563"/>
      <c r="Y1140" s="563"/>
      <c r="Z1140" s="563"/>
      <c r="AA1140" s="563"/>
      <c r="AB1140" s="563"/>
      <c r="AC1140" s="563"/>
      <c r="AD1140" s="563"/>
      <c r="AE1140" s="563"/>
    </row>
    <row r="1141" spans="3:31" hidden="1" outlineLevel="1" x14ac:dyDescent="0.2">
      <c r="C1141" s="1" t="s">
        <v>126</v>
      </c>
      <c r="D1141" s="5"/>
      <c r="F1141" s="1" t="s">
        <v>55</v>
      </c>
      <c r="G1141" s="21">
        <f>SUM(I1141:AE1141)</f>
        <v>0</v>
      </c>
      <c r="H1141" s="21"/>
      <c r="I1141" s="21"/>
      <c r="J1141" s="21"/>
      <c r="K1141" s="21"/>
      <c r="L1141" s="21"/>
      <c r="M1141" s="21"/>
      <c r="N1141" s="21"/>
      <c r="O1141" s="21"/>
      <c r="P1141" s="21"/>
      <c r="Q1141" s="21"/>
      <c r="R1141" s="21"/>
      <c r="S1141" s="21"/>
      <c r="T1141" s="21"/>
      <c r="U1141" s="21"/>
      <c r="V1141" s="21"/>
      <c r="W1141" s="563"/>
      <c r="X1141" s="563"/>
      <c r="Y1141" s="563"/>
      <c r="Z1141" s="563"/>
      <c r="AA1141" s="563"/>
      <c r="AB1141" s="563"/>
      <c r="AC1141" s="563"/>
      <c r="AD1141" s="563"/>
      <c r="AE1141" s="563"/>
    </row>
    <row r="1142" spans="3:31" hidden="1" outlineLevel="1" x14ac:dyDescent="0.2">
      <c r="C1142" s="67" t="s">
        <v>280</v>
      </c>
      <c r="D1142" s="5"/>
      <c r="F1142" s="1" t="s">
        <v>55</v>
      </c>
      <c r="G1142" s="21">
        <f>SUM(I1142:AE1142)</f>
        <v>0</v>
      </c>
      <c r="I1142" s="45"/>
      <c r="J1142" s="45"/>
      <c r="K1142" s="45"/>
      <c r="L1142" s="45"/>
      <c r="M1142" s="45"/>
      <c r="N1142" s="45"/>
      <c r="O1142" s="45"/>
      <c r="P1142" s="45"/>
      <c r="Q1142" s="45"/>
      <c r="R1142" s="45"/>
      <c r="S1142" s="45"/>
      <c r="T1142" s="45"/>
      <c r="U1142" s="45"/>
      <c r="V1142" s="45"/>
      <c r="W1142" s="568"/>
      <c r="X1142" s="568"/>
      <c r="Y1142" s="568"/>
      <c r="Z1142" s="568"/>
      <c r="AA1142" s="568"/>
      <c r="AB1142" s="568"/>
      <c r="AC1142" s="568"/>
      <c r="AD1142" s="568"/>
      <c r="AE1142" s="568"/>
    </row>
    <row r="1143" spans="3:31" hidden="1" outlineLevel="1" x14ac:dyDescent="0.2">
      <c r="C1143" s="1" t="s">
        <v>267</v>
      </c>
      <c r="D1143" s="5"/>
      <c r="F1143" s="1" t="s">
        <v>55</v>
      </c>
      <c r="I1143" s="21"/>
      <c r="J1143" s="21"/>
      <c r="K1143" s="21"/>
      <c r="L1143" s="21"/>
      <c r="M1143" s="21"/>
      <c r="N1143" s="21"/>
      <c r="O1143" s="21"/>
      <c r="P1143" s="21"/>
      <c r="Q1143" s="21"/>
      <c r="R1143" s="21"/>
      <c r="S1143" s="21"/>
      <c r="T1143" s="21"/>
      <c r="U1143" s="21"/>
      <c r="V1143" s="21"/>
      <c r="W1143" s="563"/>
      <c r="X1143" s="563"/>
      <c r="Y1143" s="563"/>
      <c r="Z1143" s="563"/>
      <c r="AA1143" s="563"/>
      <c r="AB1143" s="563"/>
      <c r="AC1143" s="563"/>
      <c r="AD1143" s="563"/>
      <c r="AE1143" s="563"/>
    </row>
    <row r="1144" spans="3:31" hidden="1" outlineLevel="1" x14ac:dyDescent="0.2">
      <c r="C1144" s="5"/>
      <c r="D1144" s="5"/>
    </row>
    <row r="1145" spans="3:31" hidden="1" outlineLevel="1" x14ac:dyDescent="0.2">
      <c r="C1145" s="90" t="s">
        <v>274</v>
      </c>
      <c r="D1145" s="5"/>
    </row>
    <row r="1146" spans="3:31" hidden="1" outlineLevel="1" x14ac:dyDescent="0.2">
      <c r="C1146" s="1" t="s">
        <v>125</v>
      </c>
      <c r="D1146" s="5"/>
      <c r="F1146" s="1" t="s">
        <v>55</v>
      </c>
      <c r="I1146" s="52"/>
      <c r="J1146" s="21"/>
      <c r="K1146" s="21"/>
      <c r="L1146" s="21"/>
      <c r="M1146" s="21"/>
      <c r="N1146" s="21"/>
      <c r="O1146" s="21"/>
      <c r="P1146" s="21"/>
      <c r="Q1146" s="21"/>
      <c r="R1146" s="21"/>
      <c r="S1146" s="21"/>
      <c r="T1146" s="21"/>
      <c r="U1146" s="21"/>
      <c r="V1146" s="21"/>
      <c r="W1146" s="563"/>
      <c r="X1146" s="563"/>
      <c r="Y1146" s="563"/>
      <c r="Z1146" s="563"/>
      <c r="AA1146" s="563"/>
      <c r="AB1146" s="563"/>
      <c r="AC1146" s="563"/>
      <c r="AD1146" s="563"/>
      <c r="AE1146" s="563"/>
    </row>
    <row r="1147" spans="3:31" hidden="1" outlineLevel="1" x14ac:dyDescent="0.2">
      <c r="C1147" s="1" t="s">
        <v>126</v>
      </c>
      <c r="D1147" s="5"/>
      <c r="F1147" s="1" t="s">
        <v>55</v>
      </c>
      <c r="G1147" s="21">
        <f>SUM(I1147:AE1147)</f>
        <v>0</v>
      </c>
      <c r="I1147" s="21"/>
      <c r="J1147" s="21"/>
      <c r="K1147" s="21"/>
      <c r="L1147" s="21"/>
      <c r="M1147" s="21"/>
      <c r="N1147" s="21"/>
      <c r="O1147" s="21"/>
      <c r="P1147" s="21"/>
      <c r="Q1147" s="21"/>
      <c r="R1147" s="21"/>
      <c r="S1147" s="21"/>
      <c r="T1147" s="21"/>
      <c r="U1147" s="21"/>
      <c r="V1147" s="21"/>
      <c r="W1147" s="563"/>
      <c r="X1147" s="563"/>
      <c r="Y1147" s="563"/>
      <c r="Z1147" s="563"/>
      <c r="AA1147" s="563"/>
      <c r="AB1147" s="563"/>
      <c r="AC1147" s="563"/>
      <c r="AD1147" s="563"/>
      <c r="AE1147" s="563"/>
    </row>
    <row r="1148" spans="3:31" hidden="1" outlineLevel="1" x14ac:dyDescent="0.2">
      <c r="C1148" s="67" t="s">
        <v>280</v>
      </c>
      <c r="D1148" s="5"/>
      <c r="F1148" s="1" t="s">
        <v>55</v>
      </c>
      <c r="G1148" s="21">
        <f>SUM(I1148:AE1148)</f>
        <v>0</v>
      </c>
      <c r="I1148" s="45"/>
      <c r="J1148" s="45"/>
      <c r="K1148" s="45"/>
      <c r="L1148" s="45"/>
      <c r="M1148" s="45"/>
      <c r="N1148" s="45"/>
      <c r="O1148" s="45"/>
      <c r="P1148" s="45"/>
      <c r="Q1148" s="45"/>
      <c r="R1148" s="45"/>
      <c r="S1148" s="45"/>
      <c r="T1148" s="45"/>
      <c r="U1148" s="45"/>
      <c r="V1148" s="45"/>
      <c r="W1148" s="568"/>
      <c r="X1148" s="568"/>
      <c r="Y1148" s="568"/>
      <c r="Z1148" s="568"/>
      <c r="AA1148" s="568"/>
      <c r="AB1148" s="568"/>
      <c r="AC1148" s="568"/>
      <c r="AD1148" s="568"/>
      <c r="AE1148" s="568"/>
    </row>
    <row r="1149" spans="3:31" hidden="1" outlineLevel="1" x14ac:dyDescent="0.2">
      <c r="C1149" s="1" t="s">
        <v>267</v>
      </c>
      <c r="D1149" s="5"/>
      <c r="F1149" s="1" t="s">
        <v>55</v>
      </c>
      <c r="I1149" s="21"/>
      <c r="J1149" s="21"/>
      <c r="K1149" s="21"/>
      <c r="L1149" s="21"/>
      <c r="M1149" s="21"/>
      <c r="N1149" s="21"/>
      <c r="O1149" s="21"/>
      <c r="P1149" s="21"/>
      <c r="Q1149" s="21"/>
      <c r="R1149" s="21"/>
      <c r="S1149" s="21"/>
      <c r="T1149" s="21"/>
      <c r="U1149" s="21"/>
      <c r="V1149" s="21"/>
      <c r="W1149" s="563"/>
      <c r="X1149" s="563"/>
      <c r="Y1149" s="563"/>
      <c r="Z1149" s="563"/>
      <c r="AA1149" s="563"/>
      <c r="AB1149" s="563"/>
      <c r="AC1149" s="563"/>
      <c r="AD1149" s="563"/>
      <c r="AE1149" s="563"/>
    </row>
    <row r="1150" spans="3:31" hidden="1" outlineLevel="1" x14ac:dyDescent="0.2">
      <c r="C1150" s="5"/>
      <c r="D1150" s="5"/>
    </row>
    <row r="1151" spans="3:31" hidden="1" outlineLevel="1" x14ac:dyDescent="0.2">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row>
    <row r="1152" spans="3:31" hidden="1" outlineLevel="1" x14ac:dyDescent="0.2">
      <c r="C1152" s="5"/>
      <c r="D1152" s="5"/>
    </row>
    <row r="1153" spans="2:31" hidden="1" outlineLevel="1" x14ac:dyDescent="0.2">
      <c r="B1153" s="24">
        <v>9.1</v>
      </c>
      <c r="C1153" s="20" t="s">
        <v>697</v>
      </c>
      <c r="D1153" s="5"/>
    </row>
    <row r="1154" spans="2:31" hidden="1" outlineLevel="1" x14ac:dyDescent="0.2">
      <c r="C1154" s="5"/>
      <c r="D1154" s="5"/>
    </row>
    <row r="1155" spans="2:31" hidden="1" outlineLevel="1" x14ac:dyDescent="0.2">
      <c r="C1155" s="5" t="s">
        <v>699</v>
      </c>
      <c r="D1155" s="5"/>
      <c r="I1155" s="21"/>
      <c r="J1155" s="21"/>
      <c r="K1155" s="21"/>
      <c r="L1155" s="21"/>
      <c r="M1155" s="21"/>
      <c r="N1155" s="21"/>
      <c r="O1155" s="21"/>
      <c r="P1155" s="21"/>
      <c r="Q1155" s="21"/>
      <c r="R1155" s="21"/>
      <c r="S1155" s="21"/>
      <c r="T1155" s="21"/>
      <c r="U1155" s="21"/>
      <c r="V1155" s="21"/>
      <c r="W1155" s="563"/>
      <c r="X1155" s="563"/>
      <c r="Y1155" s="563"/>
      <c r="Z1155" s="563"/>
      <c r="AA1155" s="563"/>
      <c r="AB1155" s="563"/>
      <c r="AC1155" s="563"/>
      <c r="AD1155" s="563"/>
      <c r="AE1155" s="563"/>
    </row>
    <row r="1156" spans="2:31" hidden="1" outlineLevel="1" x14ac:dyDescent="0.2">
      <c r="C1156" s="5"/>
      <c r="D1156" s="5"/>
    </row>
    <row r="1157" spans="2:31" hidden="1" outlineLevel="1" x14ac:dyDescent="0.2">
      <c r="C1157" s="5" t="s">
        <v>125</v>
      </c>
      <c r="D1157" s="5"/>
      <c r="F1157" s="1" t="s">
        <v>55</v>
      </c>
      <c r="G1157" s="21"/>
      <c r="I1157" s="52"/>
      <c r="J1157" s="21"/>
      <c r="K1157" s="21"/>
      <c r="L1157" s="21"/>
      <c r="M1157" s="21"/>
      <c r="N1157" s="21"/>
      <c r="O1157" s="21"/>
      <c r="P1157" s="21"/>
      <c r="Q1157" s="21"/>
      <c r="R1157" s="21"/>
      <c r="S1157" s="21"/>
      <c r="T1157" s="21"/>
      <c r="U1157" s="21"/>
      <c r="V1157" s="21"/>
      <c r="W1157" s="563"/>
      <c r="X1157" s="563"/>
      <c r="Y1157" s="563"/>
      <c r="Z1157" s="563"/>
      <c r="AA1157" s="563"/>
      <c r="AB1157" s="563"/>
      <c r="AC1157" s="563"/>
      <c r="AD1157" s="563"/>
      <c r="AE1157" s="563"/>
    </row>
    <row r="1158" spans="2:31" hidden="1" outlineLevel="1" x14ac:dyDescent="0.2">
      <c r="C1158" s="5" t="s">
        <v>126</v>
      </c>
      <c r="D1158" s="5"/>
      <c r="F1158" s="1" t="s">
        <v>55</v>
      </c>
      <c r="G1158" s="21">
        <f>SUM(I1158:AE1158)</f>
        <v>0</v>
      </c>
      <c r="I1158" s="21"/>
      <c r="J1158" s="21"/>
      <c r="K1158" s="21"/>
      <c r="L1158" s="21"/>
      <c r="M1158" s="21"/>
      <c r="N1158" s="21"/>
      <c r="O1158" s="21"/>
      <c r="P1158" s="21"/>
      <c r="Q1158" s="21"/>
      <c r="R1158" s="21"/>
      <c r="S1158" s="21"/>
      <c r="T1158" s="21"/>
      <c r="U1158" s="21"/>
      <c r="V1158" s="21"/>
      <c r="W1158" s="563"/>
      <c r="X1158" s="563"/>
      <c r="Y1158" s="563"/>
      <c r="Z1158" s="563"/>
      <c r="AA1158" s="563"/>
      <c r="AB1158" s="563"/>
      <c r="AC1158" s="563"/>
      <c r="AD1158" s="563"/>
      <c r="AE1158" s="563"/>
    </row>
    <row r="1159" spans="2:31" hidden="1" outlineLevel="1" x14ac:dyDescent="0.2">
      <c r="C1159" s="5" t="s">
        <v>280</v>
      </c>
      <c r="D1159" s="5"/>
      <c r="F1159" s="1" t="s">
        <v>55</v>
      </c>
      <c r="G1159" s="21">
        <f>SUM(I1159:AE1159)</f>
        <v>0</v>
      </c>
      <c r="I1159" s="45"/>
      <c r="J1159" s="45"/>
      <c r="K1159" s="45"/>
      <c r="L1159" s="45"/>
      <c r="M1159" s="45"/>
      <c r="N1159" s="45"/>
      <c r="O1159" s="45"/>
      <c r="P1159" s="45"/>
      <c r="Q1159" s="45"/>
      <c r="R1159" s="45"/>
      <c r="S1159" s="45"/>
      <c r="T1159" s="45"/>
      <c r="U1159" s="45"/>
      <c r="V1159" s="45"/>
      <c r="W1159" s="568"/>
      <c r="X1159" s="568"/>
      <c r="Y1159" s="568"/>
      <c r="Z1159" s="568"/>
      <c r="AA1159" s="568"/>
      <c r="AB1159" s="568"/>
      <c r="AC1159" s="568"/>
      <c r="AD1159" s="568"/>
      <c r="AE1159" s="568"/>
    </row>
    <row r="1160" spans="2:31" hidden="1" outlineLevel="1" x14ac:dyDescent="0.2">
      <c r="C1160" s="5" t="s">
        <v>127</v>
      </c>
      <c r="D1160" s="5"/>
      <c r="F1160" s="1" t="s">
        <v>55</v>
      </c>
      <c r="I1160" s="21"/>
      <c r="J1160" s="21"/>
      <c r="K1160" s="21"/>
      <c r="L1160" s="21"/>
      <c r="M1160" s="21"/>
      <c r="N1160" s="21"/>
      <c r="O1160" s="21"/>
      <c r="P1160" s="21"/>
      <c r="Q1160" s="21"/>
      <c r="R1160" s="21"/>
      <c r="S1160" s="21"/>
      <c r="T1160" s="21"/>
      <c r="U1160" s="21"/>
      <c r="V1160" s="21"/>
      <c r="W1160" s="563"/>
      <c r="X1160" s="563"/>
      <c r="Y1160" s="563"/>
      <c r="Z1160" s="563"/>
      <c r="AA1160" s="563"/>
      <c r="AB1160" s="563"/>
      <c r="AC1160" s="563"/>
      <c r="AD1160" s="563"/>
      <c r="AE1160" s="563"/>
    </row>
    <row r="1161" spans="2:31" hidden="1" outlineLevel="1" x14ac:dyDescent="0.2">
      <c r="C1161" s="5"/>
      <c r="D1161" s="5"/>
    </row>
    <row r="1162" spans="2:31" hidden="1" outlineLevel="1" x14ac:dyDescent="0.2">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row>
    <row r="1163" spans="2:31" hidden="1" outlineLevel="1" x14ac:dyDescent="0.2">
      <c r="C1163" s="5"/>
      <c r="D1163" s="5"/>
    </row>
    <row r="1164" spans="2:31" hidden="1" outlineLevel="1" x14ac:dyDescent="0.2">
      <c r="B1164" s="24">
        <f>B1153+0.01</f>
        <v>9.11</v>
      </c>
      <c r="C1164" s="20" t="s">
        <v>278</v>
      </c>
      <c r="D1164" s="5"/>
    </row>
    <row r="1165" spans="2:31" hidden="1" outlineLevel="1" x14ac:dyDescent="0.2">
      <c r="C1165" s="20"/>
      <c r="D1165" s="5"/>
    </row>
    <row r="1166" spans="2:31" hidden="1" outlineLevel="1" x14ac:dyDescent="0.2">
      <c r="B1166" s="24"/>
      <c r="C1166" s="1" t="s">
        <v>121</v>
      </c>
      <c r="D1166" s="5"/>
      <c r="F1166" s="1" t="s">
        <v>55</v>
      </c>
      <c r="G1166" s="21">
        <f>SUM(I1166:AE1166)</f>
        <v>0</v>
      </c>
      <c r="I1166" s="21"/>
      <c r="J1166" s="21"/>
      <c r="K1166" s="21"/>
      <c r="L1166" s="21"/>
      <c r="M1166" s="21"/>
      <c r="N1166" s="21"/>
      <c r="O1166" s="21"/>
      <c r="P1166" s="21"/>
      <c r="Q1166" s="21"/>
      <c r="R1166" s="21"/>
      <c r="S1166" s="21"/>
      <c r="T1166" s="21"/>
      <c r="U1166" s="21"/>
      <c r="V1166" s="21"/>
      <c r="W1166" s="563"/>
      <c r="X1166" s="563"/>
      <c r="Y1166" s="563"/>
      <c r="Z1166" s="563"/>
      <c r="AA1166" s="563"/>
      <c r="AB1166" s="563"/>
      <c r="AC1166" s="563"/>
      <c r="AD1166" s="563"/>
      <c r="AE1166" s="563"/>
    </row>
    <row r="1167" spans="2:31" hidden="1" outlineLevel="1" x14ac:dyDescent="0.2">
      <c r="C1167" s="1" t="s">
        <v>279</v>
      </c>
      <c r="D1167" s="5"/>
      <c r="F1167" s="1" t="s">
        <v>55</v>
      </c>
      <c r="G1167" s="21">
        <f>SUM(I1167:AE1167)</f>
        <v>0</v>
      </c>
      <c r="I1167" s="21"/>
      <c r="J1167" s="21"/>
      <c r="K1167" s="21"/>
      <c r="L1167" s="21"/>
      <c r="M1167" s="21"/>
      <c r="N1167" s="21"/>
      <c r="O1167" s="21"/>
      <c r="P1167" s="21"/>
      <c r="Q1167" s="21"/>
      <c r="R1167" s="21"/>
      <c r="S1167" s="21"/>
      <c r="T1167" s="21"/>
      <c r="U1167" s="21"/>
      <c r="V1167" s="21"/>
      <c r="W1167" s="563"/>
      <c r="X1167" s="563"/>
      <c r="Y1167" s="563"/>
      <c r="Z1167" s="563"/>
      <c r="AA1167" s="563"/>
      <c r="AB1167" s="563"/>
      <c r="AC1167" s="563"/>
      <c r="AD1167" s="563"/>
      <c r="AE1167" s="563"/>
    </row>
    <row r="1168" spans="2:31" hidden="1" outlineLevel="1" x14ac:dyDescent="0.2">
      <c r="C1168" s="1" t="s">
        <v>131</v>
      </c>
      <c r="D1168" s="5"/>
      <c r="F1168" s="1" t="s">
        <v>55</v>
      </c>
      <c r="G1168" s="21">
        <f>SUM(I1168:AE1168)</f>
        <v>0</v>
      </c>
      <c r="I1168" s="21"/>
      <c r="J1168" s="21"/>
      <c r="K1168" s="21"/>
      <c r="L1168" s="21"/>
      <c r="M1168" s="21"/>
      <c r="N1168" s="21"/>
      <c r="O1168" s="21"/>
      <c r="P1168" s="21"/>
      <c r="Q1168" s="21"/>
      <c r="R1168" s="21"/>
      <c r="S1168" s="21"/>
      <c r="T1168" s="21"/>
      <c r="U1168" s="21"/>
      <c r="V1168" s="21"/>
      <c r="W1168" s="563"/>
      <c r="X1168" s="563"/>
      <c r="Y1168" s="563"/>
      <c r="Z1168" s="563"/>
      <c r="AA1168" s="563"/>
      <c r="AB1168" s="563"/>
      <c r="AC1168" s="563"/>
      <c r="AD1168" s="563"/>
      <c r="AE1168" s="563"/>
    </row>
    <row r="1169" spans="2:32" hidden="1" outlineLevel="1" x14ac:dyDescent="0.2">
      <c r="C1169" s="5"/>
      <c r="D1169" s="5"/>
    </row>
    <row r="1170" spans="2:32" hidden="1" outlineLevel="1" x14ac:dyDescent="0.2">
      <c r="C1170" s="5" t="s">
        <v>707</v>
      </c>
      <c r="D1170" s="5"/>
      <c r="F1170" s="1" t="s">
        <v>55</v>
      </c>
      <c r="G1170" s="21">
        <f>SUM(I1170:AE1170)</f>
        <v>0</v>
      </c>
      <c r="I1170" s="21"/>
      <c r="J1170" s="21"/>
      <c r="K1170" s="21"/>
      <c r="L1170" s="21"/>
      <c r="M1170" s="21"/>
      <c r="N1170" s="21"/>
      <c r="O1170" s="21"/>
      <c r="P1170" s="21"/>
      <c r="Q1170" s="21"/>
      <c r="R1170" s="21"/>
      <c r="S1170" s="21"/>
      <c r="T1170" s="21"/>
      <c r="U1170" s="21"/>
      <c r="V1170" s="21"/>
      <c r="W1170" s="563"/>
      <c r="X1170" s="563"/>
      <c r="Y1170" s="563"/>
      <c r="Z1170" s="563"/>
      <c r="AA1170" s="563"/>
      <c r="AB1170" s="563"/>
      <c r="AC1170" s="563"/>
      <c r="AD1170" s="563"/>
      <c r="AE1170" s="563"/>
    </row>
    <row r="1171" spans="2:32" hidden="1" outlineLevel="1" x14ac:dyDescent="0.2">
      <c r="C1171" s="5" t="str">
        <f>IF(E992=E990,C988,"ITC")</f>
        <v>Tax Holiday Large Investment Projects</v>
      </c>
      <c r="D1171" s="5"/>
      <c r="F1171" s="1" t="s">
        <v>55</v>
      </c>
      <c r="G1171" s="21">
        <f>SUM(I1171:AE1171)</f>
        <v>0</v>
      </c>
      <c r="I1171" s="21"/>
      <c r="J1171" s="21"/>
      <c r="K1171" s="21"/>
      <c r="L1171" s="21"/>
      <c r="M1171" s="21"/>
      <c r="N1171" s="21"/>
      <c r="O1171" s="21"/>
      <c r="P1171" s="21"/>
      <c r="Q1171" s="21"/>
      <c r="R1171" s="21"/>
      <c r="S1171" s="21"/>
      <c r="T1171" s="21"/>
      <c r="U1171" s="21"/>
      <c r="V1171" s="21"/>
      <c r="W1171" s="563"/>
      <c r="X1171" s="563"/>
      <c r="Y1171" s="563"/>
      <c r="Z1171" s="563"/>
      <c r="AA1171" s="563"/>
      <c r="AB1171" s="563"/>
      <c r="AC1171" s="563"/>
      <c r="AD1171" s="563"/>
      <c r="AE1171" s="563"/>
    </row>
    <row r="1172" spans="2:32" hidden="1" outlineLevel="1" x14ac:dyDescent="0.2">
      <c r="C1172" s="20" t="s">
        <v>281</v>
      </c>
      <c r="D1172" s="20"/>
      <c r="E1172" s="9"/>
      <c r="F1172" s="9" t="s">
        <v>55</v>
      </c>
      <c r="G1172" s="44">
        <f>SUM(I1172:AE1172)</f>
        <v>0</v>
      </c>
      <c r="H1172" s="9"/>
      <c r="I1172" s="44"/>
      <c r="J1172" s="44"/>
      <c r="K1172" s="44"/>
      <c r="L1172" s="44"/>
      <c r="M1172" s="44"/>
      <c r="N1172" s="44"/>
      <c r="O1172" s="44"/>
      <c r="P1172" s="44"/>
      <c r="Q1172" s="44"/>
      <c r="R1172" s="44"/>
      <c r="S1172" s="44"/>
      <c r="T1172" s="44"/>
      <c r="U1172" s="44"/>
      <c r="V1172" s="44"/>
      <c r="W1172" s="580"/>
      <c r="X1172" s="580"/>
      <c r="Y1172" s="580"/>
      <c r="Z1172" s="580"/>
      <c r="AA1172" s="580"/>
      <c r="AB1172" s="580"/>
      <c r="AC1172" s="580"/>
      <c r="AD1172" s="580"/>
      <c r="AE1172" s="580"/>
    </row>
    <row r="1173" spans="2:32" hidden="1" outlineLevel="1" x14ac:dyDescent="0.2">
      <c r="C1173" s="5"/>
      <c r="D1173" s="5"/>
    </row>
    <row r="1174" spans="2:32" hidden="1" outlineLevel="1" x14ac:dyDescent="0.2">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row>
    <row r="1175" spans="2:32" hidden="1" outlineLevel="1" x14ac:dyDescent="0.2">
      <c r="C1175" s="5"/>
      <c r="D1175" s="5"/>
    </row>
    <row r="1176" spans="2:32" hidden="1" outlineLevel="1" x14ac:dyDescent="0.2">
      <c r="B1176" s="24">
        <f>B1164+0.01</f>
        <v>9.1199999999999992</v>
      </c>
      <c r="C1176" s="20" t="s">
        <v>276</v>
      </c>
      <c r="D1176" s="5"/>
    </row>
    <row r="1177" spans="2:32" hidden="1" outlineLevel="1" x14ac:dyDescent="0.2">
      <c r="C1177" s="5"/>
      <c r="D1177" s="5"/>
    </row>
    <row r="1178" spans="2:32" hidden="1" outlineLevel="1" x14ac:dyDescent="0.2">
      <c r="C1178" s="5" t="s">
        <v>104</v>
      </c>
      <c r="D1178" s="5"/>
      <c r="F1178" s="1" t="s">
        <v>55</v>
      </c>
      <c r="G1178" s="21">
        <f t="shared" ref="G1178:G1184" si="767">SUM(I1178:AE1178)</f>
        <v>0</v>
      </c>
      <c r="I1178" s="21"/>
      <c r="J1178" s="21"/>
      <c r="K1178" s="21"/>
      <c r="L1178" s="21"/>
      <c r="M1178" s="21"/>
      <c r="N1178" s="21"/>
      <c r="O1178" s="21"/>
      <c r="P1178" s="21"/>
      <c r="Q1178" s="21"/>
      <c r="R1178" s="21"/>
      <c r="S1178" s="21"/>
      <c r="T1178" s="21"/>
      <c r="U1178" s="21"/>
      <c r="V1178" s="21"/>
      <c r="W1178" s="563"/>
      <c r="X1178" s="563"/>
      <c r="Y1178" s="563"/>
      <c r="Z1178" s="563"/>
      <c r="AA1178" s="563"/>
      <c r="AB1178" s="563"/>
      <c r="AC1178" s="563"/>
      <c r="AD1178" s="563"/>
      <c r="AE1178" s="563"/>
      <c r="AF1178" s="563"/>
    </row>
    <row r="1179" spans="2:32" hidden="1" outlineLevel="1" x14ac:dyDescent="0.2">
      <c r="C1179" s="5" t="s">
        <v>120</v>
      </c>
      <c r="D1179" s="5"/>
      <c r="F1179" s="1" t="s">
        <v>55</v>
      </c>
      <c r="G1179" s="21">
        <f t="shared" si="767"/>
        <v>0</v>
      </c>
      <c r="I1179" s="21"/>
      <c r="J1179" s="21"/>
      <c r="K1179" s="21"/>
      <c r="L1179" s="21"/>
      <c r="M1179" s="21"/>
      <c r="N1179" s="21"/>
      <c r="O1179" s="21"/>
      <c r="P1179" s="21"/>
      <c r="Q1179" s="21"/>
      <c r="R1179" s="21"/>
      <c r="S1179" s="21"/>
      <c r="T1179" s="21"/>
      <c r="U1179" s="21"/>
      <c r="V1179" s="21"/>
      <c r="W1179" s="563"/>
      <c r="X1179" s="563"/>
      <c r="Y1179" s="563"/>
      <c r="Z1179" s="563"/>
      <c r="AA1179" s="563"/>
      <c r="AB1179" s="563"/>
      <c r="AC1179" s="563"/>
      <c r="AD1179" s="563"/>
      <c r="AE1179" s="563"/>
      <c r="AF1179" s="563"/>
    </row>
    <row r="1180" spans="2:32" hidden="1" outlineLevel="1" x14ac:dyDescent="0.2">
      <c r="C1180" s="5" t="s">
        <v>444</v>
      </c>
      <c r="D1180" s="5"/>
      <c r="F1180" s="1" t="s">
        <v>55</v>
      </c>
      <c r="G1180" s="21">
        <f t="shared" si="767"/>
        <v>0</v>
      </c>
      <c r="I1180" s="21"/>
      <c r="J1180" s="21"/>
      <c r="K1180" s="21"/>
      <c r="L1180" s="21"/>
      <c r="M1180" s="21"/>
      <c r="N1180" s="21"/>
      <c r="O1180" s="21"/>
      <c r="P1180" s="21"/>
      <c r="Q1180" s="21"/>
      <c r="R1180" s="21"/>
      <c r="S1180" s="21"/>
      <c r="T1180" s="21"/>
      <c r="U1180" s="21"/>
      <c r="V1180" s="21"/>
      <c r="W1180" s="563"/>
      <c r="X1180" s="563"/>
      <c r="Y1180" s="563"/>
      <c r="Z1180" s="563"/>
      <c r="AA1180" s="563"/>
      <c r="AB1180" s="563"/>
      <c r="AC1180" s="563"/>
      <c r="AD1180" s="563"/>
      <c r="AE1180" s="563"/>
      <c r="AF1180" s="563"/>
    </row>
    <row r="1181" spans="2:32" hidden="1" outlineLevel="1" x14ac:dyDescent="0.2">
      <c r="C1181" s="5" t="s">
        <v>471</v>
      </c>
      <c r="D1181" s="5"/>
      <c r="F1181" s="1" t="s">
        <v>55</v>
      </c>
      <c r="G1181" s="21">
        <f t="shared" si="767"/>
        <v>0</v>
      </c>
      <c r="I1181" s="21"/>
      <c r="J1181" s="21"/>
      <c r="K1181" s="21"/>
      <c r="L1181" s="21"/>
      <c r="M1181" s="21"/>
      <c r="N1181" s="21"/>
      <c r="O1181" s="21"/>
      <c r="P1181" s="21"/>
      <c r="Q1181" s="21"/>
      <c r="R1181" s="21"/>
      <c r="S1181" s="21"/>
      <c r="T1181" s="21"/>
      <c r="U1181" s="21"/>
      <c r="V1181" s="21"/>
      <c r="W1181" s="563"/>
      <c r="X1181" s="563"/>
      <c r="Y1181" s="563"/>
      <c r="Z1181" s="563"/>
      <c r="AA1181" s="563"/>
      <c r="AB1181" s="563"/>
      <c r="AC1181" s="563"/>
      <c r="AD1181" s="563"/>
      <c r="AE1181" s="563"/>
      <c r="AF1181" s="563"/>
    </row>
    <row r="1182" spans="2:32" hidden="1" outlineLevel="1" x14ac:dyDescent="0.2">
      <c r="C1182" s="5" t="s">
        <v>472</v>
      </c>
      <c r="D1182" s="5"/>
      <c r="F1182" s="1" t="s">
        <v>55</v>
      </c>
      <c r="G1182" s="21">
        <f t="shared" si="767"/>
        <v>0</v>
      </c>
      <c r="I1182" s="21"/>
      <c r="J1182" s="21"/>
      <c r="K1182" s="21"/>
      <c r="L1182" s="21"/>
      <c r="M1182" s="21"/>
      <c r="N1182" s="21"/>
      <c r="O1182" s="21"/>
      <c r="P1182" s="21"/>
      <c r="Q1182" s="21"/>
      <c r="R1182" s="21"/>
      <c r="S1182" s="21"/>
      <c r="T1182" s="21"/>
      <c r="U1182" s="21"/>
      <c r="V1182" s="21"/>
      <c r="W1182" s="563"/>
      <c r="X1182" s="563"/>
      <c r="Y1182" s="563"/>
      <c r="Z1182" s="563"/>
      <c r="AA1182" s="563"/>
      <c r="AB1182" s="563"/>
      <c r="AC1182" s="563"/>
      <c r="AD1182" s="563"/>
      <c r="AE1182" s="563"/>
      <c r="AF1182" s="563"/>
    </row>
    <row r="1183" spans="2:32" hidden="1" outlineLevel="1" x14ac:dyDescent="0.2">
      <c r="C1183" s="5" t="s">
        <v>776</v>
      </c>
      <c r="D1183" s="5"/>
      <c r="F1183" s="1" t="s">
        <v>55</v>
      </c>
      <c r="G1183" s="21">
        <f t="shared" si="767"/>
        <v>0</v>
      </c>
      <c r="I1183" s="21"/>
      <c r="J1183" s="21"/>
      <c r="K1183" s="21"/>
      <c r="L1183" s="21"/>
      <c r="M1183" s="21"/>
      <c r="N1183" s="21"/>
      <c r="O1183" s="21"/>
      <c r="P1183" s="21"/>
      <c r="Q1183" s="21"/>
      <c r="R1183" s="21"/>
      <c r="S1183" s="21"/>
      <c r="T1183" s="21"/>
      <c r="U1183" s="21"/>
      <c r="V1183" s="21"/>
      <c r="W1183" s="563"/>
      <c r="X1183" s="563"/>
      <c r="Y1183" s="563"/>
      <c r="Z1183" s="563"/>
      <c r="AA1183" s="563"/>
      <c r="AB1183" s="563"/>
      <c r="AC1183" s="563"/>
      <c r="AD1183" s="563"/>
      <c r="AE1183" s="563"/>
      <c r="AF1183" s="563"/>
    </row>
    <row r="1184" spans="2:32" hidden="1" outlineLevel="1" x14ac:dyDescent="0.2">
      <c r="C1184" s="9" t="s">
        <v>121</v>
      </c>
      <c r="D1184" s="5"/>
      <c r="F1184" s="9" t="s">
        <v>55</v>
      </c>
      <c r="G1184" s="44">
        <f t="shared" si="767"/>
        <v>0</v>
      </c>
      <c r="I1184" s="44"/>
      <c r="J1184" s="44"/>
      <c r="K1184" s="44"/>
      <c r="L1184" s="44"/>
      <c r="M1184" s="44"/>
      <c r="N1184" s="44"/>
      <c r="O1184" s="44"/>
      <c r="P1184" s="44"/>
      <c r="Q1184" s="44"/>
      <c r="R1184" s="44"/>
      <c r="S1184" s="44"/>
      <c r="T1184" s="44"/>
      <c r="U1184" s="44"/>
      <c r="V1184" s="44"/>
      <c r="W1184" s="580"/>
      <c r="X1184" s="580"/>
      <c r="Y1184" s="580"/>
      <c r="Z1184" s="580"/>
      <c r="AA1184" s="580"/>
      <c r="AB1184" s="580"/>
      <c r="AC1184" s="580"/>
      <c r="AD1184" s="580"/>
      <c r="AE1184" s="580"/>
      <c r="AF1184" s="563"/>
    </row>
    <row r="1185" spans="3:32" hidden="1" outlineLevel="1" x14ac:dyDescent="0.2">
      <c r="C1185" s="5"/>
      <c r="D1185" s="5"/>
      <c r="I1185" s="21"/>
      <c r="J1185" s="21"/>
      <c r="K1185" s="21"/>
      <c r="L1185" s="21"/>
      <c r="M1185" s="21"/>
      <c r="N1185" s="21"/>
      <c r="O1185" s="21"/>
      <c r="P1185" s="21"/>
      <c r="Q1185" s="21"/>
      <c r="R1185" s="21"/>
      <c r="S1185" s="21"/>
      <c r="T1185" s="21"/>
      <c r="U1185" s="21"/>
      <c r="V1185" s="21"/>
      <c r="W1185" s="563"/>
      <c r="X1185" s="563"/>
      <c r="Y1185" s="563"/>
      <c r="Z1185" s="563"/>
      <c r="AA1185" s="563"/>
      <c r="AB1185" s="563"/>
      <c r="AC1185" s="563"/>
      <c r="AD1185" s="563"/>
      <c r="AE1185" s="563"/>
      <c r="AF1185" s="563"/>
    </row>
    <row r="1186" spans="3:32" hidden="1" outlineLevel="1" x14ac:dyDescent="0.2">
      <c r="C1186" s="5" t="s">
        <v>277</v>
      </c>
      <c r="D1186" s="5"/>
      <c r="F1186" s="1" t="s">
        <v>55</v>
      </c>
      <c r="G1186" s="21">
        <f t="shared" ref="G1186:G1193" si="768">SUM(I1186:AE1186)</f>
        <v>0</v>
      </c>
      <c r="I1186" s="21"/>
      <c r="J1186" s="21"/>
      <c r="K1186" s="21"/>
      <c r="L1186" s="21"/>
      <c r="M1186" s="21"/>
      <c r="N1186" s="21"/>
      <c r="O1186" s="21"/>
      <c r="P1186" s="21"/>
      <c r="Q1186" s="21"/>
      <c r="R1186" s="21"/>
      <c r="S1186" s="21"/>
      <c r="T1186" s="21"/>
      <c r="U1186" s="21"/>
      <c r="V1186" s="21"/>
      <c r="W1186" s="563"/>
      <c r="X1186" s="563"/>
      <c r="Y1186" s="563"/>
      <c r="Z1186" s="563"/>
      <c r="AA1186" s="563"/>
      <c r="AB1186" s="563"/>
      <c r="AC1186" s="563"/>
      <c r="AD1186" s="563"/>
      <c r="AE1186" s="563"/>
      <c r="AF1186" s="563"/>
    </row>
    <row r="1187" spans="3:32" hidden="1" outlineLevel="1" x14ac:dyDescent="0.2">
      <c r="C1187" s="5" t="s">
        <v>282</v>
      </c>
      <c r="D1187" s="5"/>
      <c r="F1187" s="1" t="s">
        <v>55</v>
      </c>
      <c r="G1187" s="21">
        <f t="shared" si="768"/>
        <v>0</v>
      </c>
      <c r="I1187" s="21"/>
      <c r="J1187" s="21"/>
      <c r="K1187" s="21"/>
      <c r="L1187" s="21"/>
      <c r="M1187" s="21"/>
      <c r="N1187" s="21"/>
      <c r="O1187" s="21"/>
      <c r="P1187" s="21"/>
      <c r="Q1187" s="21"/>
      <c r="R1187" s="21"/>
      <c r="S1187" s="21"/>
      <c r="T1187" s="21"/>
      <c r="U1187" s="21"/>
      <c r="V1187" s="21"/>
      <c r="W1187" s="563"/>
      <c r="X1187" s="563"/>
      <c r="Y1187" s="563"/>
      <c r="Z1187" s="563"/>
      <c r="AA1187" s="563"/>
      <c r="AB1187" s="563"/>
      <c r="AC1187" s="563"/>
      <c r="AD1187" s="563"/>
      <c r="AE1187" s="563"/>
      <c r="AF1187" s="563"/>
    </row>
    <row r="1188" spans="3:32" hidden="1" outlineLevel="1" x14ac:dyDescent="0.2">
      <c r="C1188" s="20" t="s">
        <v>284</v>
      </c>
      <c r="D1188" s="20"/>
      <c r="E1188" s="9"/>
      <c r="F1188" s="9" t="s">
        <v>55</v>
      </c>
      <c r="G1188" s="44">
        <f t="shared" si="768"/>
        <v>0</v>
      </c>
      <c r="H1188" s="9"/>
      <c r="I1188" s="44"/>
      <c r="J1188" s="44"/>
      <c r="K1188" s="44"/>
      <c r="L1188" s="44"/>
      <c r="M1188" s="44"/>
      <c r="N1188" s="44"/>
      <c r="O1188" s="44"/>
      <c r="P1188" s="44"/>
      <c r="Q1188" s="44"/>
      <c r="R1188" s="44"/>
      <c r="S1188" s="44"/>
      <c r="T1188" s="44"/>
      <c r="U1188" s="44"/>
      <c r="V1188" s="44"/>
      <c r="W1188" s="580"/>
      <c r="X1188" s="580"/>
      <c r="Y1188" s="580"/>
      <c r="Z1188" s="580"/>
      <c r="AA1188" s="580"/>
      <c r="AB1188" s="580"/>
      <c r="AC1188" s="580"/>
      <c r="AD1188" s="580"/>
      <c r="AE1188" s="580"/>
      <c r="AF1188" s="563"/>
    </row>
    <row r="1189" spans="3:32" hidden="1" outlineLevel="1" x14ac:dyDescent="0.2">
      <c r="C1189" s="5" t="s">
        <v>283</v>
      </c>
      <c r="D1189" s="5"/>
      <c r="F1189" s="1" t="s">
        <v>55</v>
      </c>
      <c r="G1189" s="21">
        <f t="shared" si="768"/>
        <v>0</v>
      </c>
      <c r="I1189" s="21"/>
      <c r="J1189" s="21"/>
      <c r="K1189" s="21"/>
      <c r="L1189" s="21"/>
      <c r="M1189" s="21"/>
      <c r="N1189" s="21"/>
      <c r="O1189" s="21"/>
      <c r="P1189" s="21"/>
      <c r="Q1189" s="21"/>
      <c r="R1189" s="21"/>
      <c r="S1189" s="21"/>
      <c r="T1189" s="21"/>
      <c r="U1189" s="21"/>
      <c r="V1189" s="21"/>
      <c r="W1189" s="563"/>
      <c r="X1189" s="563"/>
      <c r="Y1189" s="563"/>
      <c r="Z1189" s="563"/>
      <c r="AA1189" s="563"/>
      <c r="AB1189" s="563"/>
      <c r="AC1189" s="563"/>
      <c r="AD1189" s="563"/>
      <c r="AE1189" s="563"/>
    </row>
    <row r="1190" spans="3:32" hidden="1" outlineLevel="1" x14ac:dyDescent="0.2">
      <c r="C1190" s="9" t="s">
        <v>131</v>
      </c>
      <c r="D1190" s="9"/>
      <c r="E1190" s="2"/>
      <c r="F1190" s="9" t="s">
        <v>55</v>
      </c>
      <c r="G1190" s="44">
        <f t="shared" si="768"/>
        <v>0</v>
      </c>
      <c r="I1190" s="44"/>
      <c r="J1190" s="44"/>
      <c r="K1190" s="44"/>
      <c r="L1190" s="44"/>
      <c r="M1190" s="44"/>
      <c r="N1190" s="44"/>
      <c r="O1190" s="44"/>
      <c r="P1190" s="44"/>
      <c r="Q1190" s="44"/>
      <c r="R1190" s="44"/>
      <c r="S1190" s="44"/>
      <c r="T1190" s="44"/>
      <c r="U1190" s="44"/>
      <c r="V1190" s="44"/>
      <c r="W1190" s="580"/>
      <c r="X1190" s="580"/>
      <c r="Y1190" s="580"/>
      <c r="Z1190" s="580"/>
      <c r="AA1190" s="580"/>
      <c r="AB1190" s="580"/>
      <c r="AC1190" s="580"/>
      <c r="AD1190" s="580"/>
      <c r="AE1190" s="580"/>
    </row>
    <row r="1191" spans="3:32" hidden="1" outlineLevel="1" x14ac:dyDescent="0.2">
      <c r="C1191" s="5"/>
      <c r="D1191" s="5"/>
    </row>
    <row r="1192" spans="3:32" hidden="1" outlineLevel="1" x14ac:dyDescent="0.2">
      <c r="C1192" s="1" t="s">
        <v>285</v>
      </c>
      <c r="D1192" s="5"/>
      <c r="F1192" s="1" t="s">
        <v>55</v>
      </c>
      <c r="G1192" s="21">
        <f t="shared" si="768"/>
        <v>0</v>
      </c>
      <c r="I1192" s="21"/>
      <c r="J1192" s="21"/>
      <c r="K1192" s="21"/>
      <c r="L1192" s="21"/>
      <c r="M1192" s="21"/>
      <c r="N1192" s="21"/>
      <c r="O1192" s="21"/>
      <c r="P1192" s="21"/>
      <c r="Q1192" s="21"/>
      <c r="R1192" s="21"/>
      <c r="S1192" s="21"/>
      <c r="T1192" s="21"/>
      <c r="U1192" s="21"/>
      <c r="V1192" s="21"/>
      <c r="W1192" s="563"/>
      <c r="X1192" s="563"/>
      <c r="Y1192" s="563"/>
      <c r="Z1192" s="563"/>
      <c r="AA1192" s="563"/>
      <c r="AB1192" s="563"/>
      <c r="AC1192" s="563"/>
      <c r="AD1192" s="563"/>
      <c r="AE1192" s="563"/>
    </row>
    <row r="1193" spans="3:32" hidden="1" outlineLevel="1" x14ac:dyDescent="0.2">
      <c r="C1193" s="1" t="s">
        <v>286</v>
      </c>
      <c r="D1193" s="5"/>
      <c r="F1193" s="1" t="s">
        <v>55</v>
      </c>
      <c r="G1193" s="21">
        <f t="shared" si="768"/>
        <v>0</v>
      </c>
      <c r="I1193" s="21"/>
      <c r="J1193" s="21"/>
      <c r="K1193" s="21"/>
      <c r="L1193" s="21"/>
      <c r="M1193" s="21"/>
      <c r="N1193" s="21"/>
      <c r="O1193" s="21"/>
      <c r="P1193" s="21"/>
      <c r="Q1193" s="21"/>
      <c r="R1193" s="21"/>
      <c r="S1193" s="21"/>
      <c r="T1193" s="21"/>
      <c r="U1193" s="21"/>
      <c r="V1193" s="21"/>
      <c r="W1193" s="563"/>
      <c r="X1193" s="563"/>
      <c r="Y1193" s="563"/>
      <c r="Z1193" s="563"/>
      <c r="AA1193" s="563"/>
      <c r="AB1193" s="563"/>
      <c r="AC1193" s="563"/>
      <c r="AD1193" s="563"/>
      <c r="AE1193" s="563"/>
    </row>
    <row r="1194" spans="3:32" hidden="1" outlineLevel="1" x14ac:dyDescent="0.2">
      <c r="C1194" s="9" t="s">
        <v>132</v>
      </c>
      <c r="D1194" s="5"/>
      <c r="F1194" s="9" t="s">
        <v>55</v>
      </c>
      <c r="G1194" s="44">
        <f>SUM(I1194:AE1194)</f>
        <v>0</v>
      </c>
      <c r="I1194" s="44"/>
      <c r="J1194" s="44"/>
      <c r="K1194" s="44"/>
      <c r="L1194" s="44"/>
      <c r="M1194" s="44"/>
      <c r="N1194" s="44"/>
      <c r="O1194" s="44"/>
      <c r="P1194" s="44"/>
      <c r="Q1194" s="44"/>
      <c r="R1194" s="44"/>
      <c r="S1194" s="44"/>
      <c r="T1194" s="44"/>
      <c r="U1194" s="44"/>
      <c r="V1194" s="44"/>
      <c r="W1194" s="580"/>
      <c r="X1194" s="580"/>
      <c r="Y1194" s="580"/>
      <c r="Z1194" s="580"/>
      <c r="AA1194" s="580"/>
      <c r="AB1194" s="580"/>
      <c r="AC1194" s="580"/>
      <c r="AD1194" s="580"/>
      <c r="AE1194" s="580"/>
    </row>
    <row r="1195" spans="3:32" hidden="1" outlineLevel="1" x14ac:dyDescent="0.2">
      <c r="C1195" s="5"/>
      <c r="D1195" s="5"/>
    </row>
    <row r="1196" spans="3:32" hidden="1" outlineLevel="1" x14ac:dyDescent="0.2">
      <c r="C1196" s="20" t="s">
        <v>287</v>
      </c>
      <c r="D1196" s="5"/>
      <c r="F1196" s="9" t="s">
        <v>55</v>
      </c>
      <c r="G1196" s="44">
        <f>SUM(I1196:AE1196)</f>
        <v>0</v>
      </c>
      <c r="I1196" s="44"/>
      <c r="J1196" s="44"/>
      <c r="K1196" s="44"/>
      <c r="L1196" s="44"/>
      <c r="M1196" s="44"/>
      <c r="N1196" s="44"/>
      <c r="O1196" s="44"/>
      <c r="P1196" s="44"/>
      <c r="Q1196" s="44"/>
      <c r="R1196" s="44"/>
      <c r="S1196" s="44"/>
      <c r="T1196" s="44"/>
      <c r="U1196" s="44"/>
      <c r="V1196" s="44"/>
      <c r="W1196" s="580"/>
      <c r="X1196" s="580"/>
      <c r="Y1196" s="580"/>
      <c r="Z1196" s="580"/>
      <c r="AA1196" s="580"/>
      <c r="AB1196" s="580"/>
      <c r="AC1196" s="580"/>
      <c r="AD1196" s="580"/>
      <c r="AE1196" s="580"/>
    </row>
    <row r="1197" spans="3:32" hidden="1" outlineLevel="1" x14ac:dyDescent="0.2">
      <c r="C1197" s="5"/>
      <c r="D1197" s="5"/>
    </row>
    <row r="1198" spans="3:32" hidden="1" outlineLevel="1" x14ac:dyDescent="0.2">
      <c r="C1198" s="9" t="s">
        <v>288</v>
      </c>
      <c r="D1198" s="5"/>
      <c r="F1198" s="9" t="s">
        <v>55</v>
      </c>
      <c r="G1198" s="44">
        <f>SUM(I1198:AE1198)</f>
        <v>0</v>
      </c>
      <c r="I1198" s="44"/>
      <c r="J1198" s="44"/>
      <c r="K1198" s="44"/>
      <c r="L1198" s="44"/>
      <c r="M1198" s="44"/>
      <c r="N1198" s="44"/>
      <c r="O1198" s="44"/>
      <c r="P1198" s="44"/>
      <c r="Q1198" s="44"/>
      <c r="R1198" s="44"/>
      <c r="S1198" s="44"/>
      <c r="T1198" s="44"/>
      <c r="U1198" s="44"/>
      <c r="V1198" s="44"/>
      <c r="W1198" s="580"/>
      <c r="X1198" s="580"/>
      <c r="Y1198" s="580"/>
      <c r="Z1198" s="580"/>
      <c r="AA1198" s="580"/>
      <c r="AB1198" s="580"/>
      <c r="AC1198" s="580"/>
      <c r="AD1198" s="580"/>
      <c r="AE1198" s="580"/>
    </row>
    <row r="1199" spans="3:32" hidden="1" outlineLevel="1" x14ac:dyDescent="0.2">
      <c r="C1199" s="5"/>
      <c r="D1199" s="5"/>
    </row>
    <row r="1200" spans="3:32" collapsed="1" x14ac:dyDescent="0.2">
      <c r="C1200" s="22"/>
      <c r="D1200" s="22"/>
      <c r="E1200" s="23"/>
      <c r="F1200" s="23"/>
      <c r="G1200" s="23"/>
      <c r="H1200" s="23"/>
      <c r="I1200" s="23"/>
      <c r="J1200" s="23"/>
      <c r="K1200" s="23"/>
      <c r="L1200" s="23"/>
      <c r="M1200" s="23"/>
      <c r="N1200" s="23"/>
      <c r="O1200" s="23"/>
      <c r="P1200" s="23"/>
      <c r="Q1200" s="23"/>
      <c r="R1200" s="23"/>
      <c r="S1200" s="23"/>
      <c r="T1200" s="23"/>
      <c r="U1200" s="23"/>
      <c r="V1200" s="23"/>
    </row>
    <row r="1201" spans="2:31" x14ac:dyDescent="0.2">
      <c r="C1201" s="5"/>
      <c r="D1201" s="5"/>
    </row>
    <row r="1202" spans="2:31" x14ac:dyDescent="0.2">
      <c r="B1202" s="24">
        <f>B1176+0.01</f>
        <v>9.129999999999999</v>
      </c>
      <c r="C1202" s="20" t="s">
        <v>290</v>
      </c>
      <c r="D1202" s="5"/>
    </row>
    <row r="1203" spans="2:31" x14ac:dyDescent="0.2">
      <c r="C1203" s="5"/>
      <c r="D1203" s="5"/>
    </row>
    <row r="1204" spans="2:31" x14ac:dyDescent="0.2">
      <c r="C1204" s="5" t="s">
        <v>114</v>
      </c>
      <c r="D1204" s="5"/>
      <c r="F1204" s="1" t="s">
        <v>55</v>
      </c>
      <c r="G1204" s="21">
        <f>SUM(I1204:AE1204)</f>
        <v>0</v>
      </c>
      <c r="I1204" s="43">
        <f>SUMIF('Plant model'!$I$3:$AE$3,YEAR('Quarterly Plant Model'!I$3),'Plant model'!$I1204:$AE1204)/4</f>
        <v>0</v>
      </c>
      <c r="J1204" s="43">
        <f>SUMIF('Plant model'!$I$3:$AE$3,YEAR('Quarterly Plant Model'!J$3),'Plant model'!$I1204:$AE1204)/4</f>
        <v>0</v>
      </c>
      <c r="K1204" s="43">
        <f>SUMIF('Plant model'!$I$3:$AE$3,YEAR('Quarterly Plant Model'!K$3),'Plant model'!$I1204:$AE1204)/4</f>
        <v>0</v>
      </c>
      <c r="L1204" s="43">
        <f>SUMIF('Plant model'!$I$3:$AE$3,YEAR('Quarterly Plant Model'!L$3),'Plant model'!$I1204:$AE1204)/4</f>
        <v>0</v>
      </c>
      <c r="M1204" s="43">
        <f>SUMIF('Plant model'!$I$3:$AE$3,YEAR('Quarterly Plant Model'!M$3),'Plant model'!$I1204:$AE1204)/4</f>
        <v>0</v>
      </c>
      <c r="N1204" s="43">
        <f>SUMIF('Plant model'!$I$3:$AE$3,YEAR('Quarterly Plant Model'!N$3),'Plant model'!$I1204:$AE1204)/4</f>
        <v>0</v>
      </c>
      <c r="O1204" s="43">
        <f>SUMIF('Plant model'!$I$3:$AE$3,YEAR('Quarterly Plant Model'!O$3),'Plant model'!$I1204:$AE1204)/4</f>
        <v>0</v>
      </c>
      <c r="P1204" s="43">
        <f>SUMIF('Plant model'!$I$3:$AE$3,YEAR('Quarterly Plant Model'!P$3),'Plant model'!$I1204:$AE1204)/4</f>
        <v>0</v>
      </c>
      <c r="Q1204" s="43">
        <f>SUMIF('Plant model'!$I$3:$AE$3,YEAR('Quarterly Plant Model'!Q$3),'Plant model'!$I1204:$AE1204)/4</f>
        <v>0</v>
      </c>
      <c r="R1204" s="43">
        <f>SUMIF('Plant model'!$I$3:$AE$3,YEAR('Quarterly Plant Model'!R$3),'Plant model'!$I1204:$AE1204)/4</f>
        <v>0</v>
      </c>
      <c r="S1204" s="43">
        <f>SUMIF('Plant model'!$I$3:$AE$3,YEAR('Quarterly Plant Model'!S$3),'Plant model'!$I1204:$AE1204)/4</f>
        <v>0</v>
      </c>
      <c r="T1204" s="43">
        <f>SUMIF('Plant model'!$I$3:$AE$3,YEAR('Quarterly Plant Model'!T$3),'Plant model'!$I1204:$AE1204)/4</f>
        <v>0</v>
      </c>
      <c r="U1204" s="43">
        <f>SUMIF('Plant model'!$I$3:$AE$3,YEAR('Quarterly Plant Model'!U$3),'Plant model'!$I1204:$AE1204)/4</f>
        <v>0</v>
      </c>
      <c r="V1204" s="43">
        <f>SUMIF('Plant model'!$I$3:$AE$3,YEAR('Quarterly Plant Model'!V$3),'Plant model'!$I1204:$AE1204)/4</f>
        <v>0</v>
      </c>
      <c r="W1204" s="563"/>
      <c r="X1204" s="563"/>
      <c r="Y1204" s="563"/>
      <c r="Z1204" s="563"/>
      <c r="AA1204" s="563"/>
      <c r="AB1204" s="563"/>
      <c r="AC1204" s="563"/>
      <c r="AD1204" s="563"/>
      <c r="AE1204" s="563"/>
    </row>
    <row r="1205" spans="2:31" x14ac:dyDescent="0.2">
      <c r="B1205" s="1" t="s">
        <v>337</v>
      </c>
      <c r="C1205" s="5" t="s">
        <v>305</v>
      </c>
      <c r="D1205" s="5"/>
      <c r="F1205" s="1" t="s">
        <v>55</v>
      </c>
      <c r="G1205" s="21">
        <f>SUM(I1205:AE1205)</f>
        <v>0</v>
      </c>
      <c r="I1205" s="43">
        <f>SUMIF('Plant model'!$I$3:$AE$3,YEAR('Quarterly Plant Model'!I$3),'Plant model'!$I1205:$AE1205)/4</f>
        <v>0</v>
      </c>
      <c r="J1205" s="43">
        <f>SUMIF('Plant model'!$I$3:$AE$3,YEAR('Quarterly Plant Model'!J$3),'Plant model'!$I1205:$AE1205)/4</f>
        <v>0</v>
      </c>
      <c r="K1205" s="43">
        <f>SUMIF('Plant model'!$I$3:$AE$3,YEAR('Quarterly Plant Model'!K$3),'Plant model'!$I1205:$AE1205)/4</f>
        <v>0</v>
      </c>
      <c r="L1205" s="43">
        <f>SUMIF('Plant model'!$I$3:$AE$3,YEAR('Quarterly Plant Model'!L$3),'Plant model'!$I1205:$AE1205)/4</f>
        <v>0</v>
      </c>
      <c r="M1205" s="43">
        <f>SUMIF('Plant model'!$I$3:$AE$3,YEAR('Quarterly Plant Model'!M$3),'Plant model'!$I1205:$AE1205)/4</f>
        <v>0</v>
      </c>
      <c r="N1205" s="43">
        <f>SUMIF('Plant model'!$I$3:$AE$3,YEAR('Quarterly Plant Model'!N$3),'Plant model'!$I1205:$AE1205)/4</f>
        <v>0</v>
      </c>
      <c r="O1205" s="43">
        <f>SUMIF('Plant model'!$I$3:$AE$3,YEAR('Quarterly Plant Model'!O$3),'Plant model'!$I1205:$AE1205)/4</f>
        <v>0</v>
      </c>
      <c r="P1205" s="43">
        <f>SUMIF('Plant model'!$I$3:$AE$3,YEAR('Quarterly Plant Model'!P$3),'Plant model'!$I1205:$AE1205)/4</f>
        <v>0</v>
      </c>
      <c r="Q1205" s="43">
        <f>SUMIF('Plant model'!$I$3:$AE$3,YEAR('Quarterly Plant Model'!Q$3),'Plant model'!$I1205:$AE1205)/4</f>
        <v>0</v>
      </c>
      <c r="R1205" s="43">
        <f>SUMIF('Plant model'!$I$3:$AE$3,YEAR('Quarterly Plant Model'!R$3),'Plant model'!$I1205:$AE1205)/4</f>
        <v>0</v>
      </c>
      <c r="S1205" s="43">
        <f>SUMIF('Plant model'!$I$3:$AE$3,YEAR('Quarterly Plant Model'!S$3),'Plant model'!$I1205:$AE1205)/4</f>
        <v>0</v>
      </c>
      <c r="T1205" s="43">
        <f>SUMIF('Plant model'!$I$3:$AE$3,YEAR('Quarterly Plant Model'!T$3),'Plant model'!$I1205:$AE1205)/4</f>
        <v>0</v>
      </c>
      <c r="U1205" s="43">
        <f>SUMIF('Plant model'!$I$3:$AE$3,YEAR('Quarterly Plant Model'!U$3),'Plant model'!$I1205:$AE1205)/4</f>
        <v>0</v>
      </c>
      <c r="V1205" s="43">
        <f>SUMIF('Plant model'!$I$3:$AE$3,YEAR('Quarterly Plant Model'!V$3),'Plant model'!$I1205:$AE1205)/4</f>
        <v>0</v>
      </c>
      <c r="W1205" s="563"/>
      <c r="X1205" s="563"/>
      <c r="Y1205" s="563"/>
      <c r="Z1205" s="563"/>
      <c r="AA1205" s="563"/>
      <c r="AB1205" s="563"/>
      <c r="AC1205" s="563"/>
      <c r="AD1205" s="563"/>
      <c r="AE1205" s="563"/>
    </row>
    <row r="1206" spans="2:31" x14ac:dyDescent="0.2">
      <c r="C1206" s="5" t="s">
        <v>118</v>
      </c>
      <c r="D1206" s="5"/>
      <c r="F1206" s="1" t="s">
        <v>55</v>
      </c>
      <c r="G1206" s="21">
        <f>SUM(I1206:AE1206)</f>
        <v>0</v>
      </c>
      <c r="I1206" s="43">
        <f>SUMIF('Plant model'!$I$3:$AE$3,YEAR('Quarterly Plant Model'!I$3),'Plant model'!$I1206:$AE1206)/4</f>
        <v>0</v>
      </c>
      <c r="J1206" s="43">
        <f>SUMIF('Plant model'!$I$3:$AE$3,YEAR('Quarterly Plant Model'!J$3),'Plant model'!$I1206:$AE1206)/4</f>
        <v>0</v>
      </c>
      <c r="K1206" s="43">
        <f>SUMIF('Plant model'!$I$3:$AE$3,YEAR('Quarterly Plant Model'!K$3),'Plant model'!$I1206:$AE1206)/4</f>
        <v>0</v>
      </c>
      <c r="L1206" s="43">
        <f>SUMIF('Plant model'!$I$3:$AE$3,YEAR('Quarterly Plant Model'!L$3),'Plant model'!$I1206:$AE1206)/4</f>
        <v>0</v>
      </c>
      <c r="M1206" s="43">
        <f>SUMIF('Plant model'!$I$3:$AE$3,YEAR('Quarterly Plant Model'!M$3),'Plant model'!$I1206:$AE1206)/4</f>
        <v>0</v>
      </c>
      <c r="N1206" s="43">
        <f>SUMIF('Plant model'!$I$3:$AE$3,YEAR('Quarterly Plant Model'!N$3),'Plant model'!$I1206:$AE1206)/4</f>
        <v>0</v>
      </c>
      <c r="O1206" s="43">
        <f>SUMIF('Plant model'!$I$3:$AE$3,YEAR('Quarterly Plant Model'!O$3),'Plant model'!$I1206:$AE1206)/4</f>
        <v>0</v>
      </c>
      <c r="P1206" s="43">
        <f>SUMIF('Plant model'!$I$3:$AE$3,YEAR('Quarterly Plant Model'!P$3),'Plant model'!$I1206:$AE1206)/4</f>
        <v>0</v>
      </c>
      <c r="Q1206" s="43">
        <f>SUMIF('Plant model'!$I$3:$AE$3,YEAR('Quarterly Plant Model'!Q$3),'Plant model'!$I1206:$AE1206)/4</f>
        <v>0</v>
      </c>
      <c r="R1206" s="43">
        <f>SUMIF('Plant model'!$I$3:$AE$3,YEAR('Quarterly Plant Model'!R$3),'Plant model'!$I1206:$AE1206)/4</f>
        <v>0</v>
      </c>
      <c r="S1206" s="43">
        <f>SUMIF('Plant model'!$I$3:$AE$3,YEAR('Quarterly Plant Model'!S$3),'Plant model'!$I1206:$AE1206)/4</f>
        <v>0</v>
      </c>
      <c r="T1206" s="43">
        <f>SUMIF('Plant model'!$I$3:$AE$3,YEAR('Quarterly Plant Model'!T$3),'Plant model'!$I1206:$AE1206)/4</f>
        <v>0</v>
      </c>
      <c r="U1206" s="43">
        <f>SUMIF('Plant model'!$I$3:$AE$3,YEAR('Quarterly Plant Model'!U$3),'Plant model'!$I1206:$AE1206)/4</f>
        <v>0</v>
      </c>
      <c r="V1206" s="43">
        <f>SUMIF('Plant model'!$I$3:$AE$3,YEAR('Quarterly Plant Model'!V$3),'Plant model'!$I1206:$AE1206)/4</f>
        <v>0</v>
      </c>
      <c r="W1206" s="563"/>
      <c r="X1206" s="563"/>
      <c r="Y1206" s="563"/>
      <c r="Z1206" s="563"/>
      <c r="AA1206" s="563"/>
      <c r="AB1206" s="563"/>
      <c r="AC1206" s="563"/>
      <c r="AD1206" s="563"/>
      <c r="AE1206" s="563"/>
    </row>
    <row r="1207" spans="2:31" x14ac:dyDescent="0.2">
      <c r="C1207" s="20" t="s">
        <v>45</v>
      </c>
      <c r="D1207" s="5"/>
      <c r="F1207" s="9" t="s">
        <v>55</v>
      </c>
      <c r="G1207" s="44">
        <f>SUM(I1207:AE1207)</f>
        <v>0</v>
      </c>
      <c r="I1207" s="44">
        <f>SUM(I1204:I1206)</f>
        <v>0</v>
      </c>
      <c r="J1207" s="44">
        <f t="shared" ref="J1207:V1207" si="769">SUM(J1204:J1206)</f>
        <v>0</v>
      </c>
      <c r="K1207" s="44">
        <f t="shared" si="769"/>
        <v>0</v>
      </c>
      <c r="L1207" s="44">
        <f t="shared" si="769"/>
        <v>0</v>
      </c>
      <c r="M1207" s="44">
        <f t="shared" si="769"/>
        <v>0</v>
      </c>
      <c r="N1207" s="44">
        <f t="shared" si="769"/>
        <v>0</v>
      </c>
      <c r="O1207" s="44">
        <f t="shared" si="769"/>
        <v>0</v>
      </c>
      <c r="P1207" s="44">
        <f t="shared" si="769"/>
        <v>0</v>
      </c>
      <c r="Q1207" s="44">
        <f t="shared" si="769"/>
        <v>0</v>
      </c>
      <c r="R1207" s="44">
        <f t="shared" si="769"/>
        <v>0</v>
      </c>
      <c r="S1207" s="44">
        <f t="shared" si="769"/>
        <v>0</v>
      </c>
      <c r="T1207" s="44">
        <f t="shared" si="769"/>
        <v>0</v>
      </c>
      <c r="U1207" s="44">
        <f t="shared" si="769"/>
        <v>0</v>
      </c>
      <c r="V1207" s="44">
        <f t="shared" si="769"/>
        <v>0</v>
      </c>
      <c r="W1207" s="563"/>
      <c r="X1207" s="563"/>
      <c r="Y1207" s="563"/>
      <c r="Z1207" s="563"/>
      <c r="AA1207" s="563"/>
      <c r="AB1207" s="563"/>
      <c r="AC1207" s="563"/>
      <c r="AD1207" s="563"/>
      <c r="AE1207" s="563"/>
    </row>
    <row r="1208" spans="2:31" x14ac:dyDescent="0.2">
      <c r="C1208" s="5"/>
      <c r="D1208" s="5"/>
    </row>
    <row r="1209" spans="2:31" x14ac:dyDescent="0.2">
      <c r="B1209" s="6"/>
      <c r="C1209" s="6"/>
      <c r="D1209" s="6"/>
      <c r="E1209" s="7"/>
      <c r="F1209" s="6"/>
      <c r="G1209" s="6"/>
      <c r="H1209" s="6"/>
      <c r="I1209" s="6"/>
      <c r="J1209" s="6"/>
      <c r="K1209" s="6"/>
      <c r="L1209" s="6"/>
      <c r="M1209" s="6"/>
      <c r="N1209" s="6"/>
      <c r="O1209" s="6"/>
      <c r="P1209" s="6"/>
      <c r="Q1209" s="6"/>
      <c r="R1209" s="6"/>
      <c r="S1209" s="6"/>
      <c r="T1209" s="6"/>
      <c r="U1209" s="6"/>
      <c r="V1209" s="6"/>
    </row>
    <row r="1210" spans="2:31" x14ac:dyDescent="0.2">
      <c r="C1210" s="5"/>
      <c r="D1210" s="5"/>
    </row>
    <row r="1211" spans="2:31" x14ac:dyDescent="0.2">
      <c r="B1211" s="8">
        <f>B955+1</f>
        <v>10</v>
      </c>
      <c r="C1211" s="20" t="s">
        <v>133</v>
      </c>
      <c r="D1211" s="20"/>
    </row>
    <row r="1212" spans="2:31" x14ac:dyDescent="0.2">
      <c r="C1212" s="5"/>
      <c r="D1212" s="5"/>
    </row>
    <row r="1213" spans="2:31" x14ac:dyDescent="0.2">
      <c r="C1213" s="1" t="s">
        <v>104</v>
      </c>
      <c r="G1213" s="21">
        <f t="shared" ref="G1213:G1221" si="770">SUM(I1213:AE1213)</f>
        <v>238.19489524999995</v>
      </c>
      <c r="I1213" s="21">
        <f t="shared" ref="I1213:V1213" si="771">I137</f>
        <v>0</v>
      </c>
      <c r="J1213" s="21">
        <f t="shared" si="771"/>
        <v>0</v>
      </c>
      <c r="K1213" s="21">
        <f t="shared" si="771"/>
        <v>0</v>
      </c>
      <c r="L1213" s="21">
        <f t="shared" si="771"/>
        <v>0</v>
      </c>
      <c r="M1213" s="21">
        <f t="shared" si="771"/>
        <v>0</v>
      </c>
      <c r="N1213" s="21">
        <f t="shared" si="771"/>
        <v>0</v>
      </c>
      <c r="O1213" s="21">
        <f t="shared" si="771"/>
        <v>0</v>
      </c>
      <c r="P1213" s="21">
        <f t="shared" si="771"/>
        <v>0</v>
      </c>
      <c r="Q1213" s="21">
        <f t="shared" si="771"/>
        <v>0</v>
      </c>
      <c r="R1213" s="21">
        <f t="shared" si="771"/>
        <v>0</v>
      </c>
      <c r="S1213" s="21">
        <f t="shared" si="771"/>
        <v>36.645368499999996</v>
      </c>
      <c r="T1213" s="21">
        <f t="shared" si="771"/>
        <v>54.968052749999998</v>
      </c>
      <c r="U1213" s="21">
        <f t="shared" si="771"/>
        <v>73.290736999999993</v>
      </c>
      <c r="V1213" s="21">
        <f t="shared" si="771"/>
        <v>73.290736999999993</v>
      </c>
      <c r="W1213" s="563"/>
      <c r="X1213" s="563"/>
      <c r="Y1213" s="563"/>
      <c r="Z1213" s="563"/>
      <c r="AA1213" s="563"/>
      <c r="AB1213" s="563"/>
      <c r="AC1213" s="563"/>
      <c r="AD1213" s="563"/>
      <c r="AE1213" s="563"/>
    </row>
    <row r="1214" spans="2:31" x14ac:dyDescent="0.2">
      <c r="C1214" s="1" t="s">
        <v>120</v>
      </c>
      <c r="G1214" s="21">
        <f t="shared" si="770"/>
        <v>-121.24848509713172</v>
      </c>
      <c r="I1214" s="21">
        <f t="shared" ref="I1214:V1214" si="772">-I791</f>
        <v>0</v>
      </c>
      <c r="J1214" s="21">
        <f t="shared" si="772"/>
        <v>0</v>
      </c>
      <c r="K1214" s="21">
        <f t="shared" si="772"/>
        <v>0</v>
      </c>
      <c r="L1214" s="21">
        <f t="shared" si="772"/>
        <v>0</v>
      </c>
      <c r="M1214" s="21">
        <f t="shared" si="772"/>
        <v>0</v>
      </c>
      <c r="N1214" s="21">
        <f t="shared" si="772"/>
        <v>0</v>
      </c>
      <c r="O1214" s="21">
        <f t="shared" si="772"/>
        <v>0</v>
      </c>
      <c r="P1214" s="21">
        <f t="shared" si="772"/>
        <v>0</v>
      </c>
      <c r="Q1214" s="21">
        <f t="shared" si="772"/>
        <v>0</v>
      </c>
      <c r="R1214" s="21">
        <f t="shared" si="772"/>
        <v>0</v>
      </c>
      <c r="S1214" s="21">
        <f t="shared" si="772"/>
        <v>-19.662910695891949</v>
      </c>
      <c r="T1214" s="21">
        <f t="shared" si="772"/>
        <v>-28.189926269632529</v>
      </c>
      <c r="U1214" s="21">
        <f t="shared" si="772"/>
        <v>-36.809878251958011</v>
      </c>
      <c r="V1214" s="21">
        <f t="shared" si="772"/>
        <v>-36.585769879649234</v>
      </c>
      <c r="W1214" s="563"/>
      <c r="X1214" s="563"/>
      <c r="Y1214" s="563"/>
      <c r="Z1214" s="563"/>
      <c r="AA1214" s="563"/>
      <c r="AB1214" s="563"/>
      <c r="AC1214" s="563"/>
      <c r="AD1214" s="563"/>
      <c r="AE1214" s="563"/>
    </row>
    <row r="1215" spans="2:31" x14ac:dyDescent="0.2">
      <c r="C1215" s="1" t="s">
        <v>444</v>
      </c>
      <c r="G1215" s="21">
        <f t="shared" si="770"/>
        <v>-5.4096175223144218</v>
      </c>
      <c r="I1215" s="21">
        <f t="shared" ref="I1215:V1215" si="773">-I804</f>
        <v>0</v>
      </c>
      <c r="J1215" s="21">
        <f t="shared" si="773"/>
        <v>0</v>
      </c>
      <c r="K1215" s="21">
        <f t="shared" si="773"/>
        <v>0</v>
      </c>
      <c r="L1215" s="21">
        <f t="shared" si="773"/>
        <v>0</v>
      </c>
      <c r="M1215" s="21">
        <f t="shared" si="773"/>
        <v>0</v>
      </c>
      <c r="N1215" s="21">
        <f t="shared" si="773"/>
        <v>0</v>
      </c>
      <c r="O1215" s="21">
        <f t="shared" si="773"/>
        <v>0</v>
      </c>
      <c r="P1215" s="21">
        <f t="shared" si="773"/>
        <v>0</v>
      </c>
      <c r="Q1215" s="21">
        <f t="shared" si="773"/>
        <v>0</v>
      </c>
      <c r="R1215" s="21">
        <f t="shared" si="773"/>
        <v>0</v>
      </c>
      <c r="S1215" s="21">
        <f t="shared" si="773"/>
        <v>-1.0088540508911055</v>
      </c>
      <c r="T1215" s="21">
        <f t="shared" si="773"/>
        <v>-1.2836943146411057</v>
      </c>
      <c r="U1215" s="21">
        <f t="shared" si="773"/>
        <v>-1.5585345783911055</v>
      </c>
      <c r="V1215" s="21">
        <f t="shared" si="773"/>
        <v>-1.5585345783911055</v>
      </c>
      <c r="W1215" s="563"/>
      <c r="X1215" s="563"/>
      <c r="Y1215" s="563"/>
      <c r="Z1215" s="563"/>
      <c r="AA1215" s="563"/>
      <c r="AB1215" s="563"/>
      <c r="AC1215" s="563"/>
      <c r="AD1215" s="563"/>
      <c r="AE1215" s="563"/>
    </row>
    <row r="1216" spans="2:31" x14ac:dyDescent="0.2">
      <c r="C1216" s="1" t="s">
        <v>134</v>
      </c>
      <c r="G1216" s="21">
        <f t="shared" si="770"/>
        <v>-19.209984479475402</v>
      </c>
      <c r="I1216" s="21">
        <f t="shared" ref="I1216:V1216" si="774">-I937</f>
        <v>0</v>
      </c>
      <c r="J1216" s="21">
        <f t="shared" si="774"/>
        <v>0</v>
      </c>
      <c r="K1216" s="21">
        <f t="shared" si="774"/>
        <v>0</v>
      </c>
      <c r="L1216" s="21">
        <f t="shared" si="774"/>
        <v>0</v>
      </c>
      <c r="M1216" s="21">
        <f t="shared" si="774"/>
        <v>0</v>
      </c>
      <c r="N1216" s="21">
        <f t="shared" si="774"/>
        <v>0</v>
      </c>
      <c r="O1216" s="21">
        <f t="shared" si="774"/>
        <v>0</v>
      </c>
      <c r="P1216" s="21">
        <f t="shared" si="774"/>
        <v>0</v>
      </c>
      <c r="Q1216" s="21">
        <f t="shared" si="774"/>
        <v>0</v>
      </c>
      <c r="R1216" s="21">
        <f t="shared" si="774"/>
        <v>0</v>
      </c>
      <c r="S1216" s="21">
        <f t="shared" si="774"/>
        <v>-9.1545728130854211</v>
      </c>
      <c r="T1216" s="21">
        <f t="shared" si="774"/>
        <v>-5.0061433186102402</v>
      </c>
      <c r="U1216" s="21">
        <f t="shared" si="774"/>
        <v>-4.9755888829110972</v>
      </c>
      <c r="V1216" s="21">
        <f t="shared" si="774"/>
        <v>-7.3679464868643407E-2</v>
      </c>
      <c r="W1216" s="563"/>
      <c r="X1216" s="563"/>
      <c r="Y1216" s="563"/>
      <c r="Z1216" s="563"/>
      <c r="AA1216" s="563"/>
      <c r="AB1216" s="563"/>
      <c r="AC1216" s="563"/>
      <c r="AD1216" s="563"/>
      <c r="AE1216" s="563"/>
    </row>
    <row r="1217" spans="3:32" x14ac:dyDescent="0.2">
      <c r="C1217" s="1" t="s">
        <v>135</v>
      </c>
      <c r="G1217" s="21">
        <f t="shared" si="770"/>
        <v>0</v>
      </c>
      <c r="I1217" s="45">
        <f>-I1207</f>
        <v>0</v>
      </c>
      <c r="J1217" s="45">
        <f t="shared" ref="J1217:V1217" si="775">-J1207</f>
        <v>0</v>
      </c>
      <c r="K1217" s="45">
        <f t="shared" si="775"/>
        <v>0</v>
      </c>
      <c r="L1217" s="45">
        <f t="shared" si="775"/>
        <v>0</v>
      </c>
      <c r="M1217" s="45">
        <f t="shared" si="775"/>
        <v>0</v>
      </c>
      <c r="N1217" s="45">
        <f t="shared" si="775"/>
        <v>0</v>
      </c>
      <c r="O1217" s="45">
        <f t="shared" si="775"/>
        <v>0</v>
      </c>
      <c r="P1217" s="45">
        <f t="shared" si="775"/>
        <v>0</v>
      </c>
      <c r="Q1217" s="45">
        <f t="shared" si="775"/>
        <v>0</v>
      </c>
      <c r="R1217" s="45">
        <f t="shared" si="775"/>
        <v>0</v>
      </c>
      <c r="S1217" s="45">
        <f t="shared" si="775"/>
        <v>0</v>
      </c>
      <c r="T1217" s="45">
        <f t="shared" si="775"/>
        <v>0</v>
      </c>
      <c r="U1217" s="45">
        <f t="shared" si="775"/>
        <v>0</v>
      </c>
      <c r="V1217" s="45">
        <f t="shared" si="775"/>
        <v>0</v>
      </c>
      <c r="W1217" s="563"/>
      <c r="X1217" s="563"/>
      <c r="Y1217" s="563"/>
      <c r="Z1217" s="563"/>
      <c r="AA1217" s="563"/>
      <c r="AB1217" s="563"/>
      <c r="AC1217" s="563"/>
      <c r="AD1217" s="563"/>
      <c r="AE1217" s="563"/>
    </row>
    <row r="1218" spans="3:32" x14ac:dyDescent="0.2">
      <c r="C1218" s="9" t="s">
        <v>136</v>
      </c>
      <c r="D1218" s="9"/>
      <c r="E1218" s="9"/>
      <c r="F1218" s="9"/>
      <c r="G1218" s="44">
        <f t="shared" si="770"/>
        <v>92.326808151078438</v>
      </c>
      <c r="H1218" s="9"/>
      <c r="I1218" s="44">
        <f>SUM(I1213:I1217)</f>
        <v>0</v>
      </c>
      <c r="J1218" s="44">
        <f t="shared" ref="J1218:V1218" si="776">SUM(J1213:J1217)</f>
        <v>0</v>
      </c>
      <c r="K1218" s="44">
        <f>SUM(K1213:K1217)</f>
        <v>0</v>
      </c>
      <c r="L1218" s="44">
        <f t="shared" si="776"/>
        <v>0</v>
      </c>
      <c r="M1218" s="44">
        <f t="shared" si="776"/>
        <v>0</v>
      </c>
      <c r="N1218" s="44">
        <f t="shared" si="776"/>
        <v>0</v>
      </c>
      <c r="O1218" s="44">
        <f t="shared" si="776"/>
        <v>0</v>
      </c>
      <c r="P1218" s="44">
        <f t="shared" si="776"/>
        <v>0</v>
      </c>
      <c r="Q1218" s="44">
        <f t="shared" si="776"/>
        <v>0</v>
      </c>
      <c r="R1218" s="44">
        <f t="shared" si="776"/>
        <v>0</v>
      </c>
      <c r="S1218" s="44">
        <f t="shared" si="776"/>
        <v>6.8190309401315208</v>
      </c>
      <c r="T1218" s="44">
        <f t="shared" si="776"/>
        <v>20.488288847116124</v>
      </c>
      <c r="U1218" s="44">
        <f t="shared" si="776"/>
        <v>29.946735286739781</v>
      </c>
      <c r="V1218" s="44">
        <f t="shared" si="776"/>
        <v>35.072753077091008</v>
      </c>
      <c r="W1218" s="580"/>
      <c r="X1218" s="580"/>
      <c r="Y1218" s="580"/>
      <c r="Z1218" s="580"/>
      <c r="AA1218" s="580"/>
      <c r="AB1218" s="580"/>
      <c r="AC1218" s="580"/>
      <c r="AD1218" s="580"/>
      <c r="AE1218" s="580"/>
      <c r="AF1218" s="575"/>
    </row>
    <row r="1220" spans="3:32" x14ac:dyDescent="0.2">
      <c r="C1220" s="1" t="s">
        <v>360</v>
      </c>
      <c r="G1220" s="21">
        <f t="shared" si="770"/>
        <v>-475.57593141478941</v>
      </c>
      <c r="I1220" s="21">
        <f t="shared" ref="I1220:V1220" si="777">-I897</f>
        <v>-3.00687975</v>
      </c>
      <c r="J1220" s="21">
        <f t="shared" si="777"/>
        <v>-5.9361625</v>
      </c>
      <c r="K1220" s="21">
        <f t="shared" si="777"/>
        <v>-1.0569</v>
      </c>
      <c r="L1220" s="21">
        <f t="shared" si="777"/>
        <v>-46.557598916478945</v>
      </c>
      <c r="M1220" s="21">
        <f t="shared" si="777"/>
        <v>-58.196998645598669</v>
      </c>
      <c r="N1220" s="21">
        <f t="shared" si="777"/>
        <v>-69.836398374718414</v>
      </c>
      <c r="O1220" s="21">
        <f t="shared" si="777"/>
        <v>-69.836398374718414</v>
      </c>
      <c r="P1220" s="21">
        <f t="shared" si="777"/>
        <v>-69.836398374718414</v>
      </c>
      <c r="Q1220" s="21">
        <f t="shared" si="777"/>
        <v>-69.836398374718414</v>
      </c>
      <c r="R1220" s="21">
        <f t="shared" si="777"/>
        <v>-58.196998645598669</v>
      </c>
      <c r="S1220" s="21">
        <f t="shared" si="777"/>
        <v>-23.278799458239472</v>
      </c>
      <c r="T1220" s="21">
        <f t="shared" si="777"/>
        <v>0</v>
      </c>
      <c r="U1220" s="21">
        <f t="shared" si="777"/>
        <v>0</v>
      </c>
      <c r="V1220" s="21">
        <f t="shared" si="777"/>
        <v>0</v>
      </c>
      <c r="W1220" s="563"/>
      <c r="X1220" s="563"/>
      <c r="Y1220" s="563"/>
      <c r="Z1220" s="563"/>
      <c r="AA1220" s="563"/>
      <c r="AB1220" s="563"/>
      <c r="AC1220" s="563"/>
      <c r="AD1220" s="563"/>
      <c r="AE1220" s="563"/>
    </row>
    <row r="1221" spans="3:32" x14ac:dyDescent="0.2">
      <c r="C1221" s="9" t="s">
        <v>331</v>
      </c>
      <c r="D1221" s="9"/>
      <c r="E1221" s="9"/>
      <c r="F1221" s="9"/>
      <c r="G1221" s="21">
        <f t="shared" si="770"/>
        <v>-383.24912326371094</v>
      </c>
      <c r="H1221" s="9"/>
      <c r="I1221" s="44">
        <f>I1218+I1220</f>
        <v>-3.00687975</v>
      </c>
      <c r="J1221" s="44">
        <f t="shared" ref="J1221:V1221" si="778">J1218+J1220</f>
        <v>-5.9361625</v>
      </c>
      <c r="K1221" s="44">
        <f>K1218+K1220</f>
        <v>-1.0569</v>
      </c>
      <c r="L1221" s="44">
        <f t="shared" si="778"/>
        <v>-46.557598916478945</v>
      </c>
      <c r="M1221" s="44">
        <f t="shared" si="778"/>
        <v>-58.196998645598669</v>
      </c>
      <c r="N1221" s="44">
        <f t="shared" si="778"/>
        <v>-69.836398374718414</v>
      </c>
      <c r="O1221" s="44">
        <f t="shared" si="778"/>
        <v>-69.836398374718414</v>
      </c>
      <c r="P1221" s="44">
        <f t="shared" si="778"/>
        <v>-69.836398374718414</v>
      </c>
      <c r="Q1221" s="44">
        <f t="shared" si="778"/>
        <v>-69.836398374718414</v>
      </c>
      <c r="R1221" s="44">
        <f t="shared" si="778"/>
        <v>-58.196998645598669</v>
      </c>
      <c r="S1221" s="44">
        <f t="shared" si="778"/>
        <v>-16.45976851810795</v>
      </c>
      <c r="T1221" s="44">
        <f t="shared" si="778"/>
        <v>20.488288847116124</v>
      </c>
      <c r="U1221" s="44">
        <f t="shared" si="778"/>
        <v>29.946735286739781</v>
      </c>
      <c r="V1221" s="44">
        <f t="shared" si="778"/>
        <v>35.072753077091008</v>
      </c>
      <c r="W1221" s="580"/>
      <c r="X1221" s="580"/>
      <c r="Y1221" s="580"/>
      <c r="Z1221" s="580"/>
      <c r="AA1221" s="580"/>
      <c r="AB1221" s="580"/>
      <c r="AC1221" s="580"/>
      <c r="AD1221" s="580"/>
      <c r="AE1221" s="580"/>
      <c r="AF1221" s="575"/>
    </row>
    <row r="1223" spans="3:32" x14ac:dyDescent="0.2">
      <c r="C1223" s="1" t="s">
        <v>463</v>
      </c>
      <c r="G1223" s="21">
        <f t="shared" ref="G1223:G1243" si="779">SUM(I1223:AE1223)</f>
        <v>330</v>
      </c>
      <c r="I1223" s="21">
        <f>I1556</f>
        <v>0</v>
      </c>
      <c r="J1223" s="21">
        <f t="shared" ref="J1223:V1224" si="780">J1556</f>
        <v>0</v>
      </c>
      <c r="K1223" s="21">
        <f>K1556</f>
        <v>0</v>
      </c>
      <c r="L1223" s="21">
        <f t="shared" si="780"/>
        <v>33</v>
      </c>
      <c r="M1223" s="21">
        <f t="shared" si="780"/>
        <v>41.25</v>
      </c>
      <c r="N1223" s="21">
        <f t="shared" si="780"/>
        <v>49.5</v>
      </c>
      <c r="O1223" s="21">
        <f t="shared" si="780"/>
        <v>49.5</v>
      </c>
      <c r="P1223" s="21">
        <f t="shared" si="780"/>
        <v>49.5</v>
      </c>
      <c r="Q1223" s="21">
        <f t="shared" si="780"/>
        <v>49.5</v>
      </c>
      <c r="R1223" s="21">
        <f t="shared" si="780"/>
        <v>41.25</v>
      </c>
      <c r="S1223" s="21">
        <f t="shared" si="780"/>
        <v>16.5</v>
      </c>
      <c r="T1223" s="21">
        <f t="shared" si="780"/>
        <v>0</v>
      </c>
      <c r="U1223" s="21">
        <f t="shared" si="780"/>
        <v>0</v>
      </c>
      <c r="V1223" s="21">
        <f t="shared" si="780"/>
        <v>0</v>
      </c>
      <c r="W1223" s="563"/>
      <c r="X1223" s="563"/>
      <c r="Y1223" s="563"/>
      <c r="Z1223" s="563"/>
      <c r="AA1223" s="563"/>
      <c r="AB1223" s="563"/>
      <c r="AC1223" s="563"/>
      <c r="AD1223" s="563"/>
      <c r="AE1223" s="563"/>
    </row>
    <row r="1224" spans="3:32" x14ac:dyDescent="0.2">
      <c r="C1224" s="1" t="s">
        <v>464</v>
      </c>
      <c r="G1224" s="21">
        <f t="shared" si="779"/>
        <v>-34.736842105263158</v>
      </c>
      <c r="I1224" s="21">
        <f>I1557</f>
        <v>0</v>
      </c>
      <c r="J1224" s="21">
        <f t="shared" si="780"/>
        <v>0</v>
      </c>
      <c r="K1224" s="21">
        <f>K1557</f>
        <v>0</v>
      </c>
      <c r="L1224" s="21">
        <f t="shared" si="780"/>
        <v>0</v>
      </c>
      <c r="M1224" s="21">
        <f t="shared" si="780"/>
        <v>0</v>
      </c>
      <c r="N1224" s="21">
        <f t="shared" si="780"/>
        <v>0</v>
      </c>
      <c r="O1224" s="21">
        <f t="shared" si="780"/>
        <v>0</v>
      </c>
      <c r="P1224" s="21">
        <f t="shared" si="780"/>
        <v>0</v>
      </c>
      <c r="Q1224" s="21">
        <f t="shared" si="780"/>
        <v>0</v>
      </c>
      <c r="R1224" s="21">
        <f t="shared" si="780"/>
        <v>0</v>
      </c>
      <c r="S1224" s="21">
        <f t="shared" si="780"/>
        <v>-8.6842105263157894</v>
      </c>
      <c r="T1224" s="21">
        <f t="shared" si="780"/>
        <v>-8.6842105263157894</v>
      </c>
      <c r="U1224" s="21">
        <f t="shared" si="780"/>
        <v>-8.6842105263157894</v>
      </c>
      <c r="V1224" s="21">
        <f t="shared" si="780"/>
        <v>-8.6842105263157894</v>
      </c>
      <c r="W1224" s="563"/>
      <c r="X1224" s="563"/>
      <c r="Y1224" s="563"/>
      <c r="Z1224" s="563"/>
      <c r="AA1224" s="563"/>
      <c r="AB1224" s="563"/>
      <c r="AC1224" s="563"/>
      <c r="AD1224" s="563"/>
      <c r="AE1224" s="563"/>
    </row>
    <row r="1225" spans="3:32" x14ac:dyDescent="0.2">
      <c r="C1225" s="1" t="s">
        <v>465</v>
      </c>
      <c r="G1225" s="21">
        <f t="shared" si="779"/>
        <v>-12.168536276993445</v>
      </c>
      <c r="I1225" s="21">
        <f>-I1571</f>
        <v>-0.82192417372596971</v>
      </c>
      <c r="J1225" s="21">
        <f t="shared" ref="J1225:V1225" si="781">-J1571</f>
        <v>-0.82192417372596971</v>
      </c>
      <c r="K1225" s="21">
        <f>-K1571</f>
        <v>-0.82192417372596971</v>
      </c>
      <c r="L1225" s="21">
        <f t="shared" si="781"/>
        <v>-7.3808279650396713</v>
      </c>
      <c r="M1225" s="21">
        <f t="shared" si="781"/>
        <v>-0.68836149549549963</v>
      </c>
      <c r="N1225" s="21">
        <f t="shared" si="781"/>
        <v>-0.5753469216081788</v>
      </c>
      <c r="O1225" s="21">
        <f t="shared" si="781"/>
        <v>-0.45205829554928334</v>
      </c>
      <c r="P1225" s="21">
        <f t="shared" si="781"/>
        <v>-0.32876966949038788</v>
      </c>
      <c r="Q1225" s="21">
        <f t="shared" si="781"/>
        <v>-0.20548104343149243</v>
      </c>
      <c r="R1225" s="21">
        <f t="shared" si="781"/>
        <v>-9.2466469544171592E-2</v>
      </c>
      <c r="S1225" s="21">
        <f t="shared" si="781"/>
        <v>2.0548104343149243E-2</v>
      </c>
      <c r="T1225" s="21">
        <f t="shared" si="781"/>
        <v>0</v>
      </c>
      <c r="U1225" s="21">
        <f t="shared" si="781"/>
        <v>0</v>
      </c>
      <c r="V1225" s="21">
        <f t="shared" si="781"/>
        <v>0</v>
      </c>
      <c r="W1225" s="563"/>
      <c r="X1225" s="563"/>
      <c r="Y1225" s="563"/>
      <c r="Z1225" s="563"/>
      <c r="AA1225" s="563"/>
      <c r="AB1225" s="563"/>
      <c r="AC1225" s="563"/>
      <c r="AD1225" s="563"/>
      <c r="AE1225" s="563"/>
    </row>
    <row r="1226" spans="3:32" x14ac:dyDescent="0.2">
      <c r="C1226" s="1" t="s">
        <v>466</v>
      </c>
      <c r="E1226" s="21"/>
      <c r="G1226" s="21">
        <f t="shared" si="779"/>
        <v>0</v>
      </c>
      <c r="I1226" s="21">
        <f>-I1560</f>
        <v>0</v>
      </c>
      <c r="J1226" s="21">
        <f t="shared" ref="J1226:V1226" si="782">-J1560</f>
        <v>0</v>
      </c>
      <c r="K1226" s="21">
        <f>-K1560</f>
        <v>0</v>
      </c>
      <c r="L1226" s="21">
        <f t="shared" si="782"/>
        <v>0</v>
      </c>
      <c r="M1226" s="21">
        <f t="shared" si="782"/>
        <v>0</v>
      </c>
      <c r="N1226" s="21">
        <f t="shared" si="782"/>
        <v>0</v>
      </c>
      <c r="O1226" s="21">
        <f t="shared" si="782"/>
        <v>0</v>
      </c>
      <c r="P1226" s="21">
        <f t="shared" si="782"/>
        <v>0</v>
      </c>
      <c r="Q1226" s="21">
        <f t="shared" si="782"/>
        <v>0</v>
      </c>
      <c r="R1226" s="21">
        <f t="shared" si="782"/>
        <v>0</v>
      </c>
      <c r="S1226" s="21">
        <f t="shared" si="782"/>
        <v>0</v>
      </c>
      <c r="T1226" s="21">
        <f t="shared" si="782"/>
        <v>0</v>
      </c>
      <c r="U1226" s="21">
        <f t="shared" si="782"/>
        <v>0</v>
      </c>
      <c r="V1226" s="21">
        <f t="shared" si="782"/>
        <v>0</v>
      </c>
      <c r="W1226" s="563"/>
      <c r="X1226" s="563"/>
      <c r="Y1226" s="563"/>
      <c r="Z1226" s="563"/>
      <c r="AA1226" s="563"/>
      <c r="AB1226" s="563"/>
      <c r="AC1226" s="563"/>
      <c r="AD1226" s="563"/>
      <c r="AE1226" s="563"/>
    </row>
    <row r="1227" spans="3:32" x14ac:dyDescent="0.2">
      <c r="C1227" s="1" t="s">
        <v>467</v>
      </c>
      <c r="E1227" s="21"/>
      <c r="G1227" s="21">
        <f t="shared" si="779"/>
        <v>23.428637097054299</v>
      </c>
      <c r="I1227" s="21">
        <f t="shared" ref="I1227:V1228" si="783">I947</f>
        <v>0</v>
      </c>
      <c r="J1227" s="21">
        <f t="shared" si="783"/>
        <v>0</v>
      </c>
      <c r="K1227" s="21">
        <f t="shared" si="783"/>
        <v>0</v>
      </c>
      <c r="L1227" s="21">
        <f t="shared" si="783"/>
        <v>0</v>
      </c>
      <c r="M1227" s="21">
        <f t="shared" si="783"/>
        <v>0</v>
      </c>
      <c r="N1227" s="21">
        <f t="shared" si="783"/>
        <v>0</v>
      </c>
      <c r="O1227" s="21">
        <f t="shared" si="783"/>
        <v>0</v>
      </c>
      <c r="P1227" s="21">
        <f t="shared" si="783"/>
        <v>0</v>
      </c>
      <c r="Q1227" s="21">
        <f t="shared" si="783"/>
        <v>0</v>
      </c>
      <c r="R1227" s="21">
        <f t="shared" si="783"/>
        <v>0</v>
      </c>
      <c r="S1227" s="21">
        <f t="shared" si="783"/>
        <v>11.714318548527149</v>
      </c>
      <c r="T1227" s="21">
        <f t="shared" si="783"/>
        <v>5.8571592742635801</v>
      </c>
      <c r="U1227" s="21">
        <f t="shared" si="783"/>
        <v>5.8571592742635694</v>
      </c>
      <c r="V1227" s="21">
        <f t="shared" si="783"/>
        <v>0</v>
      </c>
      <c r="W1227" s="563"/>
      <c r="X1227" s="563"/>
      <c r="Y1227" s="563"/>
      <c r="Z1227" s="563"/>
      <c r="AA1227" s="563"/>
      <c r="AB1227" s="563"/>
      <c r="AC1227" s="563"/>
      <c r="AD1227" s="563"/>
      <c r="AE1227" s="563"/>
    </row>
    <row r="1228" spans="3:32" x14ac:dyDescent="0.2">
      <c r="C1228" s="1" t="s">
        <v>468</v>
      </c>
      <c r="E1228" s="21"/>
      <c r="G1228" s="21">
        <f t="shared" si="779"/>
        <v>0</v>
      </c>
      <c r="I1228" s="21">
        <f t="shared" si="783"/>
        <v>0</v>
      </c>
      <c r="J1228" s="21">
        <f t="shared" si="783"/>
        <v>0</v>
      </c>
      <c r="K1228" s="21">
        <f t="shared" si="783"/>
        <v>0</v>
      </c>
      <c r="L1228" s="21">
        <f t="shared" si="783"/>
        <v>0</v>
      </c>
      <c r="M1228" s="21">
        <f t="shared" si="783"/>
        <v>0</v>
      </c>
      <c r="N1228" s="21">
        <f t="shared" si="783"/>
        <v>0</v>
      </c>
      <c r="O1228" s="21">
        <f t="shared" si="783"/>
        <v>0</v>
      </c>
      <c r="P1228" s="21">
        <f t="shared" si="783"/>
        <v>0</v>
      </c>
      <c r="Q1228" s="21">
        <f t="shared" si="783"/>
        <v>0</v>
      </c>
      <c r="R1228" s="21">
        <f t="shared" si="783"/>
        <v>0</v>
      </c>
      <c r="S1228" s="21">
        <f t="shared" si="783"/>
        <v>0</v>
      </c>
      <c r="T1228" s="21">
        <f t="shared" si="783"/>
        <v>0</v>
      </c>
      <c r="U1228" s="21">
        <f t="shared" si="783"/>
        <v>0</v>
      </c>
      <c r="V1228" s="21">
        <f t="shared" si="783"/>
        <v>0</v>
      </c>
      <c r="W1228" s="563"/>
      <c r="X1228" s="563"/>
      <c r="Y1228" s="563"/>
      <c r="Z1228" s="563"/>
      <c r="AA1228" s="563"/>
      <c r="AB1228" s="563"/>
      <c r="AC1228" s="563"/>
      <c r="AD1228" s="563"/>
      <c r="AE1228" s="563"/>
    </row>
    <row r="1229" spans="3:32" x14ac:dyDescent="0.2">
      <c r="C1229" s="1" t="s">
        <v>469</v>
      </c>
      <c r="E1229" s="21"/>
      <c r="G1229" s="21">
        <f t="shared" si="779"/>
        <v>-1.2516281732978158</v>
      </c>
      <c r="I1229" s="21">
        <f t="shared" ref="I1229:V1229" si="784">-I951</f>
        <v>0</v>
      </c>
      <c r="J1229" s="21">
        <f t="shared" si="784"/>
        <v>0</v>
      </c>
      <c r="K1229" s="21">
        <f t="shared" si="784"/>
        <v>0</v>
      </c>
      <c r="L1229" s="21">
        <f t="shared" si="784"/>
        <v>0</v>
      </c>
      <c r="M1229" s="21">
        <f t="shared" si="784"/>
        <v>0</v>
      </c>
      <c r="N1229" s="21">
        <f t="shared" si="784"/>
        <v>0</v>
      </c>
      <c r="O1229" s="21">
        <f t="shared" si="784"/>
        <v>0</v>
      </c>
      <c r="P1229" s="21">
        <f t="shared" si="784"/>
        <v>0</v>
      </c>
      <c r="Q1229" s="21">
        <f t="shared" si="784"/>
        <v>0</v>
      </c>
      <c r="R1229" s="21">
        <f t="shared" si="784"/>
        <v>0</v>
      </c>
      <c r="S1229" s="21">
        <f t="shared" si="784"/>
        <v>-0.11378437939071051</v>
      </c>
      <c r="T1229" s="21">
        <f t="shared" si="784"/>
        <v>-0.28446094847677633</v>
      </c>
      <c r="U1229" s="21">
        <f t="shared" si="784"/>
        <v>-0.3982453278674869</v>
      </c>
      <c r="V1229" s="21">
        <f t="shared" si="784"/>
        <v>-0.45513751756284204</v>
      </c>
      <c r="W1229" s="563"/>
      <c r="X1229" s="563"/>
      <c r="Y1229" s="563"/>
      <c r="Z1229" s="563"/>
      <c r="AA1229" s="563"/>
      <c r="AB1229" s="563"/>
      <c r="AC1229" s="563"/>
      <c r="AD1229" s="563"/>
      <c r="AE1229" s="563"/>
    </row>
    <row r="1230" spans="3:32" x14ac:dyDescent="0.2">
      <c r="C1230" s="1" t="s">
        <v>769</v>
      </c>
      <c r="E1230" s="21"/>
      <c r="G1230" s="21">
        <f t="shared" si="779"/>
        <v>0</v>
      </c>
      <c r="I1230" s="21">
        <f>I1639</f>
        <v>0</v>
      </c>
      <c r="J1230" s="21">
        <f t="shared" ref="J1230:V1231" si="785">J1639</f>
        <v>0</v>
      </c>
      <c r="K1230" s="21">
        <f t="shared" si="785"/>
        <v>0</v>
      </c>
      <c r="L1230" s="21">
        <f t="shared" si="785"/>
        <v>0</v>
      </c>
      <c r="M1230" s="21">
        <f t="shared" si="785"/>
        <v>0</v>
      </c>
      <c r="N1230" s="21">
        <f t="shared" si="785"/>
        <v>0</v>
      </c>
      <c r="O1230" s="21">
        <f t="shared" si="785"/>
        <v>0</v>
      </c>
      <c r="P1230" s="21">
        <f t="shared" si="785"/>
        <v>0</v>
      </c>
      <c r="Q1230" s="21">
        <f t="shared" si="785"/>
        <v>0</v>
      </c>
      <c r="R1230" s="21">
        <f t="shared" si="785"/>
        <v>0</v>
      </c>
      <c r="S1230" s="21">
        <f t="shared" si="785"/>
        <v>0</v>
      </c>
      <c r="T1230" s="21">
        <f t="shared" si="785"/>
        <v>0</v>
      </c>
      <c r="U1230" s="21">
        <f t="shared" si="785"/>
        <v>0</v>
      </c>
      <c r="V1230" s="21">
        <f t="shared" si="785"/>
        <v>0</v>
      </c>
      <c r="W1230" s="563"/>
      <c r="X1230" s="563"/>
      <c r="Y1230" s="563"/>
      <c r="Z1230" s="563"/>
      <c r="AA1230" s="563"/>
      <c r="AB1230" s="563"/>
      <c r="AC1230" s="563"/>
      <c r="AD1230" s="563"/>
      <c r="AE1230" s="563"/>
    </row>
    <row r="1231" spans="3:32" x14ac:dyDescent="0.2">
      <c r="C1231" s="1" t="s">
        <v>770</v>
      </c>
      <c r="E1231" s="21"/>
      <c r="G1231" s="21">
        <f t="shared" si="779"/>
        <v>0</v>
      </c>
      <c r="I1231" s="21">
        <f>I1640</f>
        <v>0</v>
      </c>
      <c r="J1231" s="21">
        <f t="shared" si="785"/>
        <v>0</v>
      </c>
      <c r="K1231" s="21">
        <f t="shared" si="785"/>
        <v>0</v>
      </c>
      <c r="L1231" s="21">
        <f t="shared" si="785"/>
        <v>0</v>
      </c>
      <c r="M1231" s="21">
        <f t="shared" si="785"/>
        <v>0</v>
      </c>
      <c r="N1231" s="21">
        <f t="shared" si="785"/>
        <v>0</v>
      </c>
      <c r="O1231" s="21">
        <f t="shared" si="785"/>
        <v>0</v>
      </c>
      <c r="P1231" s="21">
        <f t="shared" si="785"/>
        <v>0</v>
      </c>
      <c r="Q1231" s="21">
        <f t="shared" si="785"/>
        <v>0</v>
      </c>
      <c r="R1231" s="21">
        <f t="shared" si="785"/>
        <v>0</v>
      </c>
      <c r="S1231" s="21">
        <f t="shared" si="785"/>
        <v>0</v>
      </c>
      <c r="T1231" s="21">
        <f t="shared" si="785"/>
        <v>0</v>
      </c>
      <c r="U1231" s="21">
        <f t="shared" si="785"/>
        <v>0</v>
      </c>
      <c r="V1231" s="21">
        <f t="shared" si="785"/>
        <v>0</v>
      </c>
      <c r="W1231" s="563"/>
      <c r="X1231" s="563"/>
      <c r="Y1231" s="563"/>
      <c r="Z1231" s="563"/>
      <c r="AA1231" s="563"/>
      <c r="AB1231" s="563"/>
      <c r="AC1231" s="563"/>
      <c r="AD1231" s="563"/>
      <c r="AE1231" s="563"/>
    </row>
    <row r="1232" spans="3:32" x14ac:dyDescent="0.2">
      <c r="C1232" s="1" t="s">
        <v>771</v>
      </c>
      <c r="E1232" s="21"/>
      <c r="G1232" s="21">
        <f t="shared" si="779"/>
        <v>0</v>
      </c>
      <c r="I1232" s="21">
        <f>-I1643</f>
        <v>0</v>
      </c>
      <c r="J1232" s="21">
        <f t="shared" ref="J1232:V1232" si="786">-J1643</f>
        <v>0</v>
      </c>
      <c r="K1232" s="21">
        <f t="shared" si="786"/>
        <v>0</v>
      </c>
      <c r="L1232" s="21">
        <f t="shared" si="786"/>
        <v>0</v>
      </c>
      <c r="M1232" s="21">
        <f t="shared" si="786"/>
        <v>0</v>
      </c>
      <c r="N1232" s="21">
        <f t="shared" si="786"/>
        <v>0</v>
      </c>
      <c r="O1232" s="21">
        <f t="shared" si="786"/>
        <v>0</v>
      </c>
      <c r="P1232" s="21">
        <f t="shared" si="786"/>
        <v>0</v>
      </c>
      <c r="Q1232" s="21">
        <f t="shared" si="786"/>
        <v>0</v>
      </c>
      <c r="R1232" s="21">
        <f t="shared" si="786"/>
        <v>0</v>
      </c>
      <c r="S1232" s="21">
        <f t="shared" si="786"/>
        <v>0</v>
      </c>
      <c r="T1232" s="21">
        <f t="shared" si="786"/>
        <v>0</v>
      </c>
      <c r="U1232" s="21">
        <f t="shared" si="786"/>
        <v>0</v>
      </c>
      <c r="V1232" s="21">
        <f t="shared" si="786"/>
        <v>0</v>
      </c>
      <c r="W1232" s="563"/>
      <c r="X1232" s="563"/>
      <c r="Y1232" s="563"/>
      <c r="Z1232" s="563"/>
      <c r="AA1232" s="563"/>
      <c r="AB1232" s="563"/>
      <c r="AC1232" s="563"/>
      <c r="AD1232" s="563"/>
      <c r="AE1232" s="563"/>
    </row>
    <row r="1233" spans="3:32" x14ac:dyDescent="0.2">
      <c r="C1233" s="1" t="s">
        <v>772</v>
      </c>
      <c r="E1233" s="21"/>
      <c r="G1233" s="21">
        <f t="shared" si="779"/>
        <v>-0.57980024272866759</v>
      </c>
      <c r="I1233" s="21">
        <f>-I1654</f>
        <v>-5.7980024272866755E-2</v>
      </c>
      <c r="J1233" s="21">
        <f t="shared" ref="J1233:V1233" si="787">-J1654</f>
        <v>-5.7980024272866755E-2</v>
      </c>
      <c r="K1233" s="21">
        <f t="shared" si="787"/>
        <v>-5.7980024272866755E-2</v>
      </c>
      <c r="L1233" s="21">
        <f t="shared" si="787"/>
        <v>-5.7980024272866755E-2</v>
      </c>
      <c r="M1233" s="21">
        <f t="shared" si="787"/>
        <v>-5.7980024272866755E-2</v>
      </c>
      <c r="N1233" s="21">
        <f t="shared" si="787"/>
        <v>-5.7980024272866755E-2</v>
      </c>
      <c r="O1233" s="21">
        <f t="shared" si="787"/>
        <v>-5.7980024272866755E-2</v>
      </c>
      <c r="P1233" s="21">
        <f t="shared" si="787"/>
        <v>-5.7980024272866755E-2</v>
      </c>
      <c r="Q1233" s="21">
        <f t="shared" si="787"/>
        <v>-5.7980024272866755E-2</v>
      </c>
      <c r="R1233" s="21">
        <f t="shared" si="787"/>
        <v>-5.7980024272866755E-2</v>
      </c>
      <c r="S1233" s="21">
        <f t="shared" si="787"/>
        <v>0</v>
      </c>
      <c r="T1233" s="21">
        <f t="shared" si="787"/>
        <v>0</v>
      </c>
      <c r="U1233" s="21">
        <f t="shared" si="787"/>
        <v>0</v>
      </c>
      <c r="V1233" s="21">
        <f t="shared" si="787"/>
        <v>0</v>
      </c>
      <c r="W1233" s="563"/>
      <c r="X1233" s="563"/>
      <c r="Y1233" s="563"/>
      <c r="Z1233" s="563"/>
      <c r="AA1233" s="563"/>
      <c r="AB1233" s="563"/>
      <c r="AC1233" s="563"/>
      <c r="AD1233" s="563"/>
      <c r="AE1233" s="563"/>
    </row>
    <row r="1234" spans="3:32" x14ac:dyDescent="0.2">
      <c r="C1234" s="1" t="s">
        <v>956</v>
      </c>
      <c r="E1234" s="21"/>
      <c r="G1234" s="21">
        <f t="shared" si="779"/>
        <v>9.9999422500000001</v>
      </c>
      <c r="I1234" s="21">
        <f>I1716</f>
        <v>3.00687975</v>
      </c>
      <c r="J1234" s="21">
        <f t="shared" ref="J1234:V1234" si="788">J1716</f>
        <v>5.9361625</v>
      </c>
      <c r="K1234" s="21">
        <f t="shared" si="788"/>
        <v>1.0569</v>
      </c>
      <c r="L1234" s="21">
        <f t="shared" si="788"/>
        <v>0</v>
      </c>
      <c r="M1234" s="21">
        <f t="shared" si="788"/>
        <v>0</v>
      </c>
      <c r="N1234" s="21">
        <f t="shared" si="788"/>
        <v>0</v>
      </c>
      <c r="O1234" s="21">
        <f t="shared" si="788"/>
        <v>0</v>
      </c>
      <c r="P1234" s="21">
        <f t="shared" si="788"/>
        <v>0</v>
      </c>
      <c r="Q1234" s="21">
        <f t="shared" si="788"/>
        <v>0</v>
      </c>
      <c r="R1234" s="21">
        <f t="shared" si="788"/>
        <v>0</v>
      </c>
      <c r="S1234" s="21">
        <f t="shared" si="788"/>
        <v>0</v>
      </c>
      <c r="T1234" s="21">
        <f t="shared" si="788"/>
        <v>0</v>
      </c>
      <c r="U1234" s="21">
        <f t="shared" si="788"/>
        <v>0</v>
      </c>
      <c r="V1234" s="21">
        <f t="shared" si="788"/>
        <v>0</v>
      </c>
      <c r="W1234" s="563"/>
      <c r="X1234" s="563"/>
      <c r="Y1234" s="563"/>
      <c r="Z1234" s="563"/>
      <c r="AA1234" s="563"/>
      <c r="AB1234" s="563"/>
      <c r="AC1234" s="563"/>
      <c r="AD1234" s="563"/>
      <c r="AE1234" s="563"/>
    </row>
    <row r="1235" spans="3:32" x14ac:dyDescent="0.2">
      <c r="C1235" s="1" t="s">
        <v>957</v>
      </c>
      <c r="E1235" s="21"/>
      <c r="G1235" s="21">
        <f t="shared" si="779"/>
        <v>0</v>
      </c>
      <c r="I1235" s="21">
        <f>I1717</f>
        <v>0</v>
      </c>
      <c r="J1235" s="21">
        <f t="shared" ref="J1235:V1235" si="789">J1717</f>
        <v>0</v>
      </c>
      <c r="K1235" s="21">
        <f t="shared" si="789"/>
        <v>0</v>
      </c>
      <c r="L1235" s="21">
        <f t="shared" si="789"/>
        <v>0</v>
      </c>
      <c r="M1235" s="21">
        <f t="shared" si="789"/>
        <v>0</v>
      </c>
      <c r="N1235" s="21">
        <f t="shared" si="789"/>
        <v>0</v>
      </c>
      <c r="O1235" s="21">
        <f t="shared" si="789"/>
        <v>0</v>
      </c>
      <c r="P1235" s="21">
        <f t="shared" si="789"/>
        <v>0</v>
      </c>
      <c r="Q1235" s="21">
        <f t="shared" si="789"/>
        <v>0</v>
      </c>
      <c r="R1235" s="21">
        <f t="shared" si="789"/>
        <v>0</v>
      </c>
      <c r="S1235" s="21">
        <f t="shared" si="789"/>
        <v>0</v>
      </c>
      <c r="T1235" s="21">
        <f t="shared" si="789"/>
        <v>0</v>
      </c>
      <c r="U1235" s="21">
        <f t="shared" si="789"/>
        <v>0</v>
      </c>
      <c r="V1235" s="21">
        <f t="shared" si="789"/>
        <v>0</v>
      </c>
      <c r="W1235" s="563"/>
      <c r="X1235" s="563"/>
      <c r="Y1235" s="563"/>
      <c r="Z1235" s="563"/>
      <c r="AA1235" s="563"/>
      <c r="AB1235" s="563"/>
      <c r="AC1235" s="563"/>
      <c r="AD1235" s="563"/>
      <c r="AE1235" s="563"/>
    </row>
    <row r="1236" spans="3:32" x14ac:dyDescent="0.2">
      <c r="C1236" s="1" t="s">
        <v>958</v>
      </c>
      <c r="E1236" s="21"/>
      <c r="G1236" s="21">
        <f t="shared" si="779"/>
        <v>-4.1711625334943765</v>
      </c>
      <c r="I1236" s="21">
        <f>-I1720</f>
        <v>-9.5053106797031259E-2</v>
      </c>
      <c r="J1236" s="21">
        <f t="shared" ref="J1236:V1236" si="790">-J1720</f>
        <v>-0.28270633372671877</v>
      </c>
      <c r="K1236" s="21">
        <f t="shared" si="790"/>
        <v>-0.31611692441421879</v>
      </c>
      <c r="L1236" s="21">
        <f t="shared" si="790"/>
        <v>-0.31611692441421879</v>
      </c>
      <c r="M1236" s="21">
        <f t="shared" si="790"/>
        <v>-0.31611692441421879</v>
      </c>
      <c r="N1236" s="21">
        <f t="shared" si="790"/>
        <v>-0.31611692441421879</v>
      </c>
      <c r="O1236" s="21">
        <f t="shared" si="790"/>
        <v>-0.31611692441421879</v>
      </c>
      <c r="P1236" s="21">
        <f t="shared" si="790"/>
        <v>-0.31611692441421879</v>
      </c>
      <c r="Q1236" s="21">
        <f t="shared" si="790"/>
        <v>-0.31611692441421879</v>
      </c>
      <c r="R1236" s="21">
        <f t="shared" si="790"/>
        <v>-0.31611692441421879</v>
      </c>
      <c r="S1236" s="21">
        <f t="shared" si="790"/>
        <v>-0.31611692441421879</v>
      </c>
      <c r="T1236" s="21">
        <f t="shared" si="790"/>
        <v>-0.31611692441421879</v>
      </c>
      <c r="U1236" s="21">
        <f t="shared" si="790"/>
        <v>-0.31611692441421879</v>
      </c>
      <c r="V1236" s="21">
        <f t="shared" si="790"/>
        <v>-0.31611692441421879</v>
      </c>
      <c r="W1236" s="563"/>
      <c r="X1236" s="563"/>
      <c r="Y1236" s="563"/>
      <c r="Z1236" s="563"/>
      <c r="AA1236" s="563"/>
      <c r="AB1236" s="563"/>
      <c r="AC1236" s="563"/>
      <c r="AD1236" s="563"/>
      <c r="AE1236" s="563"/>
    </row>
    <row r="1237" spans="3:32" x14ac:dyDescent="0.2">
      <c r="C1237" s="1" t="s">
        <v>959</v>
      </c>
      <c r="E1237" s="21"/>
      <c r="G1237" s="21">
        <f>SUM(I1237:AE1237)</f>
        <v>-0.35</v>
      </c>
      <c r="I1237" s="21">
        <f>-(I1722+I1723)</f>
        <v>-0.15</v>
      </c>
      <c r="J1237" s="21">
        <f t="shared" ref="J1237:V1237" si="791">-(J1722+J1723)</f>
        <v>-9.9999999999999992E-2</v>
      </c>
      <c r="K1237" s="21">
        <f t="shared" si="791"/>
        <v>-9.9999999999999992E-2</v>
      </c>
      <c r="L1237" s="21">
        <f t="shared" si="791"/>
        <v>0</v>
      </c>
      <c r="M1237" s="21">
        <f t="shared" si="791"/>
        <v>0</v>
      </c>
      <c r="N1237" s="21">
        <f t="shared" si="791"/>
        <v>0</v>
      </c>
      <c r="O1237" s="21">
        <f t="shared" si="791"/>
        <v>0</v>
      </c>
      <c r="P1237" s="21">
        <f t="shared" si="791"/>
        <v>0</v>
      </c>
      <c r="Q1237" s="21">
        <f t="shared" si="791"/>
        <v>0</v>
      </c>
      <c r="R1237" s="21">
        <f t="shared" si="791"/>
        <v>0</v>
      </c>
      <c r="S1237" s="21">
        <f t="shared" si="791"/>
        <v>0</v>
      </c>
      <c r="T1237" s="21">
        <f t="shared" si="791"/>
        <v>0</v>
      </c>
      <c r="U1237" s="21">
        <f t="shared" si="791"/>
        <v>0</v>
      </c>
      <c r="V1237" s="21">
        <f t="shared" si="791"/>
        <v>0</v>
      </c>
      <c r="W1237" s="563"/>
      <c r="X1237" s="563"/>
      <c r="Y1237" s="563"/>
      <c r="Z1237" s="563"/>
      <c r="AA1237" s="563"/>
      <c r="AB1237" s="563"/>
      <c r="AC1237" s="563"/>
      <c r="AD1237" s="563"/>
      <c r="AE1237" s="563"/>
    </row>
    <row r="1238" spans="3:32" x14ac:dyDescent="0.2">
      <c r="C1238" s="1" t="s">
        <v>293</v>
      </c>
      <c r="G1238" s="21">
        <f t="shared" si="779"/>
        <v>144.82276916645267</v>
      </c>
      <c r="I1238" s="45">
        <f>-MIN(SUM(I1223:I1237,I1221,I1246),0)</f>
        <v>1.1249573047958674</v>
      </c>
      <c r="J1238" s="45">
        <f t="shared" ref="J1238:V1238" si="792">-MIN(SUM(J1223:J1237,J1221,J1246),0)</f>
        <v>1.2626105317255547</v>
      </c>
      <c r="K1238" s="45">
        <f t="shared" si="792"/>
        <v>1.2960211224130553</v>
      </c>
      <c r="L1238" s="45">
        <f t="shared" si="792"/>
        <v>21.312523830205699</v>
      </c>
      <c r="M1238" s="45">
        <f t="shared" si="792"/>
        <v>18.00945708978125</v>
      </c>
      <c r="N1238" s="45">
        <f t="shared" si="792"/>
        <v>21.285842245013676</v>
      </c>
      <c r="O1238" s="45">
        <f t="shared" si="792"/>
        <v>21.162553618954782</v>
      </c>
      <c r="P1238" s="45">
        <f t="shared" si="792"/>
        <v>21.03926499289588</v>
      </c>
      <c r="Q1238" s="45">
        <f t="shared" si="792"/>
        <v>20.915976366836986</v>
      </c>
      <c r="R1238" s="45">
        <f t="shared" si="792"/>
        <v>17.413562063829922</v>
      </c>
      <c r="S1238" s="45">
        <f t="shared" si="792"/>
        <v>0</v>
      </c>
      <c r="T1238" s="45">
        <f t="shared" si="792"/>
        <v>0</v>
      </c>
      <c r="U1238" s="45">
        <f t="shared" si="792"/>
        <v>0</v>
      </c>
      <c r="V1238" s="45">
        <f t="shared" si="792"/>
        <v>0</v>
      </c>
      <c r="W1238" s="568"/>
      <c r="X1238" s="568"/>
      <c r="Y1238" s="568"/>
      <c r="Z1238" s="568"/>
      <c r="AA1238" s="568"/>
      <c r="AB1238" s="568"/>
      <c r="AC1238" s="568"/>
      <c r="AD1238" s="568"/>
      <c r="AE1238" s="568"/>
    </row>
    <row r="1239" spans="3:32" x14ac:dyDescent="0.2">
      <c r="C1239" s="20" t="s">
        <v>137</v>
      </c>
      <c r="D1239" s="20"/>
      <c r="E1239" s="20"/>
      <c r="F1239" s="20"/>
      <c r="G1239" s="44">
        <f t="shared" si="779"/>
        <v>454.99337918172949</v>
      </c>
      <c r="H1239" s="20"/>
      <c r="I1239" s="54">
        <f>SUM(I1223:I1238)</f>
        <v>3.00687975</v>
      </c>
      <c r="J1239" s="54">
        <f t="shared" ref="J1239:V1239" si="793">SUM(J1223:J1238)</f>
        <v>5.9361625</v>
      </c>
      <c r="K1239" s="54">
        <f>SUM(K1223:K1238)</f>
        <v>1.0569000000000002</v>
      </c>
      <c r="L1239" s="54">
        <f t="shared" si="793"/>
        <v>46.557598916478945</v>
      </c>
      <c r="M1239" s="54">
        <f t="shared" si="793"/>
        <v>58.196998645598669</v>
      </c>
      <c r="N1239" s="54">
        <f t="shared" si="793"/>
        <v>69.836398374718414</v>
      </c>
      <c r="O1239" s="54">
        <f t="shared" si="793"/>
        <v>69.836398374718414</v>
      </c>
      <c r="P1239" s="54">
        <f t="shared" si="793"/>
        <v>69.836398374718414</v>
      </c>
      <c r="Q1239" s="54">
        <f t="shared" si="793"/>
        <v>69.836398374718414</v>
      </c>
      <c r="R1239" s="54">
        <f t="shared" si="793"/>
        <v>58.196998645598669</v>
      </c>
      <c r="S1239" s="54">
        <f t="shared" si="793"/>
        <v>19.120754822749578</v>
      </c>
      <c r="T1239" s="54">
        <f t="shared" si="793"/>
        <v>-3.4276291249432047</v>
      </c>
      <c r="U1239" s="54">
        <f t="shared" si="793"/>
        <v>-3.5414135043339261</v>
      </c>
      <c r="V1239" s="54">
        <f t="shared" si="793"/>
        <v>-9.4554649682928495</v>
      </c>
      <c r="W1239" s="584"/>
      <c r="X1239" s="584"/>
      <c r="Y1239" s="584"/>
      <c r="Z1239" s="584"/>
      <c r="AA1239" s="584"/>
      <c r="AB1239" s="584"/>
      <c r="AC1239" s="584"/>
      <c r="AD1239" s="584"/>
      <c r="AE1239" s="584"/>
    </row>
    <row r="1240" spans="3:32" x14ac:dyDescent="0.2">
      <c r="C1240" s="5"/>
      <c r="D1240" s="5"/>
      <c r="E1240" s="5"/>
      <c r="F1240" s="5"/>
      <c r="G1240" s="5"/>
      <c r="H1240" s="5"/>
    </row>
    <row r="1241" spans="3:32" x14ac:dyDescent="0.2">
      <c r="C1241" s="5" t="s">
        <v>138</v>
      </c>
      <c r="D1241" s="5"/>
      <c r="E1241" s="5"/>
      <c r="F1241" s="5"/>
      <c r="G1241" s="21">
        <f t="shared" si="779"/>
        <v>0</v>
      </c>
      <c r="H1241" s="5"/>
      <c r="I1241" s="58">
        <v>0</v>
      </c>
      <c r="J1241" s="58">
        <v>0</v>
      </c>
      <c r="K1241" s="58">
        <v>0</v>
      </c>
      <c r="L1241" s="58">
        <v>0</v>
      </c>
      <c r="M1241" s="58">
        <v>0</v>
      </c>
      <c r="N1241" s="58">
        <v>0</v>
      </c>
      <c r="O1241" s="58">
        <v>0</v>
      </c>
      <c r="P1241" s="58">
        <v>0</v>
      </c>
      <c r="Q1241" s="58">
        <v>0</v>
      </c>
      <c r="R1241" s="58">
        <v>0</v>
      </c>
      <c r="S1241" s="58">
        <v>0</v>
      </c>
      <c r="T1241" s="58">
        <v>0</v>
      </c>
      <c r="U1241" s="58">
        <v>0</v>
      </c>
      <c r="V1241" s="58">
        <v>0</v>
      </c>
      <c r="W1241" s="582"/>
      <c r="X1241" s="582"/>
      <c r="Y1241" s="582"/>
      <c r="Z1241" s="582"/>
      <c r="AA1241" s="582"/>
      <c r="AB1241" s="582"/>
      <c r="AC1241" s="582"/>
      <c r="AD1241" s="582"/>
      <c r="AE1241" s="582"/>
    </row>
    <row r="1243" spans="3:32" x14ac:dyDescent="0.2">
      <c r="C1243" s="9" t="s">
        <v>139</v>
      </c>
      <c r="D1243" s="9"/>
      <c r="E1243" s="9"/>
      <c r="F1243" s="9"/>
      <c r="G1243" s="44">
        <f t="shared" si="779"/>
        <v>71.744255918018553</v>
      </c>
      <c r="H1243" s="9"/>
      <c r="I1243" s="44">
        <f t="shared" ref="I1243:V1243" si="794">I1221+I1239+I1241</f>
        <v>0</v>
      </c>
      <c r="J1243" s="44">
        <f t="shared" si="794"/>
        <v>0</v>
      </c>
      <c r="K1243" s="44">
        <f>K1221+K1239+K1241</f>
        <v>2.2204460492503131E-16</v>
      </c>
      <c r="L1243" s="44">
        <f t="shared" si="794"/>
        <v>0</v>
      </c>
      <c r="M1243" s="44">
        <f t="shared" si="794"/>
        <v>0</v>
      </c>
      <c r="N1243" s="44">
        <f t="shared" si="794"/>
        <v>0</v>
      </c>
      <c r="O1243" s="44">
        <f t="shared" si="794"/>
        <v>0</v>
      </c>
      <c r="P1243" s="44">
        <f t="shared" si="794"/>
        <v>0</v>
      </c>
      <c r="Q1243" s="44">
        <f t="shared" si="794"/>
        <v>0</v>
      </c>
      <c r="R1243" s="44">
        <f t="shared" si="794"/>
        <v>0</v>
      </c>
      <c r="S1243" s="44">
        <f t="shared" si="794"/>
        <v>2.6609863046416287</v>
      </c>
      <c r="T1243" s="44">
        <f t="shared" si="794"/>
        <v>17.060659722172918</v>
      </c>
      <c r="U1243" s="44">
        <f t="shared" si="794"/>
        <v>26.405321782405856</v>
      </c>
      <c r="V1243" s="44">
        <f t="shared" si="794"/>
        <v>25.617288108798157</v>
      </c>
      <c r="W1243" s="580"/>
      <c r="X1243" s="580"/>
      <c r="Y1243" s="580"/>
      <c r="Z1243" s="580"/>
      <c r="AA1243" s="580"/>
      <c r="AB1243" s="580"/>
      <c r="AC1243" s="580"/>
      <c r="AD1243" s="580"/>
      <c r="AE1243" s="580"/>
      <c r="AF1243" s="575"/>
    </row>
    <row r="1244" spans="3:32" x14ac:dyDescent="0.2">
      <c r="C1244" s="9"/>
      <c r="D1244" s="9"/>
    </row>
    <row r="1245" spans="3:32" x14ac:dyDescent="0.2">
      <c r="C1245" s="9" t="s">
        <v>140</v>
      </c>
      <c r="D1245" s="9"/>
      <c r="E1245" s="9"/>
      <c r="F1245" s="9"/>
      <c r="G1245" s="9"/>
      <c r="H1245" s="9"/>
      <c r="I1245" s="44"/>
      <c r="J1245" s="9"/>
      <c r="K1245" s="9"/>
      <c r="L1245" s="9"/>
      <c r="M1245" s="9"/>
      <c r="N1245" s="9"/>
      <c r="O1245" s="9"/>
      <c r="P1245" s="9"/>
      <c r="Q1245" s="9"/>
      <c r="R1245" s="9"/>
      <c r="S1245" s="9"/>
      <c r="T1245" s="9"/>
      <c r="U1245" s="9"/>
      <c r="V1245" s="9"/>
      <c r="W1245" s="575"/>
      <c r="X1245" s="575"/>
      <c r="Y1245" s="575"/>
      <c r="Z1245" s="575"/>
      <c r="AA1245" s="575"/>
      <c r="AB1245" s="575"/>
      <c r="AC1245" s="575"/>
      <c r="AD1245" s="575"/>
      <c r="AE1245" s="575"/>
      <c r="AF1245" s="575"/>
    </row>
    <row r="1246" spans="3:32" x14ac:dyDescent="0.2">
      <c r="C1246" s="1" t="s">
        <v>125</v>
      </c>
      <c r="I1246" s="21">
        <f>H1248</f>
        <v>0</v>
      </c>
      <c r="J1246" s="21">
        <f t="shared" ref="J1246:V1246" si="795">I1248</f>
        <v>0</v>
      </c>
      <c r="K1246" s="21">
        <f t="shared" si="795"/>
        <v>0</v>
      </c>
      <c r="L1246" s="21">
        <f t="shared" si="795"/>
        <v>2.2204460492503131E-16</v>
      </c>
      <c r="M1246" s="21">
        <f t="shared" si="795"/>
        <v>2.2204460492503131E-16</v>
      </c>
      <c r="N1246" s="21">
        <f t="shared" si="795"/>
        <v>2.2204460492503131E-16</v>
      </c>
      <c r="O1246" s="21">
        <f t="shared" si="795"/>
        <v>2.2204460492503131E-16</v>
      </c>
      <c r="P1246" s="21">
        <f t="shared" si="795"/>
        <v>2.2204460492503131E-16</v>
      </c>
      <c r="Q1246" s="21">
        <f t="shared" si="795"/>
        <v>2.2204460492503131E-16</v>
      </c>
      <c r="R1246" s="21">
        <f t="shared" si="795"/>
        <v>2.2204460492503131E-16</v>
      </c>
      <c r="S1246" s="21">
        <f t="shared" si="795"/>
        <v>2.2204460492503131E-16</v>
      </c>
      <c r="T1246" s="21">
        <f t="shared" si="795"/>
        <v>2.6609863046416287</v>
      </c>
      <c r="U1246" s="21">
        <f t="shared" si="795"/>
        <v>19.721646026814547</v>
      </c>
      <c r="V1246" s="21">
        <f t="shared" si="795"/>
        <v>46.126967809220403</v>
      </c>
      <c r="W1246" s="563"/>
      <c r="X1246" s="563"/>
      <c r="Y1246" s="563"/>
      <c r="Z1246" s="563"/>
      <c r="AA1246" s="563"/>
      <c r="AB1246" s="563"/>
      <c r="AC1246" s="563"/>
      <c r="AD1246" s="563"/>
      <c r="AE1246" s="563"/>
    </row>
    <row r="1247" spans="3:32" x14ac:dyDescent="0.2">
      <c r="C1247" s="1" t="s">
        <v>141</v>
      </c>
      <c r="I1247" s="21">
        <f>I1243</f>
        <v>0</v>
      </c>
      <c r="J1247" s="21">
        <f t="shared" ref="J1247:V1247" si="796">J1243</f>
        <v>0</v>
      </c>
      <c r="K1247" s="21">
        <f>K1243</f>
        <v>2.2204460492503131E-16</v>
      </c>
      <c r="L1247" s="21">
        <f t="shared" si="796"/>
        <v>0</v>
      </c>
      <c r="M1247" s="21">
        <f t="shared" si="796"/>
        <v>0</v>
      </c>
      <c r="N1247" s="21">
        <f t="shared" si="796"/>
        <v>0</v>
      </c>
      <c r="O1247" s="21">
        <f t="shared" si="796"/>
        <v>0</v>
      </c>
      <c r="P1247" s="21">
        <f t="shared" si="796"/>
        <v>0</v>
      </c>
      <c r="Q1247" s="21">
        <f t="shared" si="796"/>
        <v>0</v>
      </c>
      <c r="R1247" s="21">
        <f t="shared" si="796"/>
        <v>0</v>
      </c>
      <c r="S1247" s="21">
        <f t="shared" si="796"/>
        <v>2.6609863046416287</v>
      </c>
      <c r="T1247" s="21">
        <f t="shared" si="796"/>
        <v>17.060659722172918</v>
      </c>
      <c r="U1247" s="21">
        <f t="shared" si="796"/>
        <v>26.405321782405856</v>
      </c>
      <c r="V1247" s="21">
        <f t="shared" si="796"/>
        <v>25.617288108798157</v>
      </c>
      <c r="W1247" s="563"/>
      <c r="X1247" s="563"/>
      <c r="Y1247" s="563"/>
      <c r="Z1247" s="563"/>
      <c r="AA1247" s="563"/>
      <c r="AB1247" s="563"/>
      <c r="AC1247" s="563"/>
      <c r="AD1247" s="563"/>
      <c r="AE1247" s="563"/>
    </row>
    <row r="1248" spans="3:32" x14ac:dyDescent="0.2">
      <c r="C1248" s="1" t="s">
        <v>127</v>
      </c>
      <c r="H1248" s="109">
        <v>0</v>
      </c>
      <c r="I1248" s="21">
        <f>SUM(I1246:I1247)</f>
        <v>0</v>
      </c>
      <c r="J1248" s="21">
        <f t="shared" ref="J1248:V1248" si="797">SUM(J1246:J1247)</f>
        <v>0</v>
      </c>
      <c r="K1248" s="21">
        <f>SUM(K1246:K1247)</f>
        <v>2.2204460492503131E-16</v>
      </c>
      <c r="L1248" s="21">
        <f t="shared" si="797"/>
        <v>2.2204460492503131E-16</v>
      </c>
      <c r="M1248" s="21">
        <f t="shared" si="797"/>
        <v>2.2204460492503131E-16</v>
      </c>
      <c r="N1248" s="21">
        <f t="shared" si="797"/>
        <v>2.2204460492503131E-16</v>
      </c>
      <c r="O1248" s="21">
        <f t="shared" si="797"/>
        <v>2.2204460492503131E-16</v>
      </c>
      <c r="P1248" s="21">
        <f t="shared" si="797"/>
        <v>2.2204460492503131E-16</v>
      </c>
      <c r="Q1248" s="21">
        <f t="shared" si="797"/>
        <v>2.2204460492503131E-16</v>
      </c>
      <c r="R1248" s="21">
        <f t="shared" si="797"/>
        <v>2.2204460492503131E-16</v>
      </c>
      <c r="S1248" s="21">
        <f t="shared" si="797"/>
        <v>2.6609863046416287</v>
      </c>
      <c r="T1248" s="21">
        <f t="shared" si="797"/>
        <v>19.721646026814547</v>
      </c>
      <c r="U1248" s="21">
        <f t="shared" si="797"/>
        <v>46.126967809220403</v>
      </c>
      <c r="V1248" s="21">
        <f t="shared" si="797"/>
        <v>71.744255918018553</v>
      </c>
      <c r="W1248" s="563"/>
      <c r="X1248" s="563"/>
      <c r="Y1248" s="563"/>
      <c r="Z1248" s="563"/>
      <c r="AA1248" s="563"/>
      <c r="AB1248" s="563"/>
      <c r="AC1248" s="563"/>
      <c r="AD1248" s="563"/>
      <c r="AE1248" s="563"/>
    </row>
    <row r="1249" spans="2:31" x14ac:dyDescent="0.2">
      <c r="C1249" s="47"/>
      <c r="D1249" s="47"/>
    </row>
    <row r="1250" spans="2:31" x14ac:dyDescent="0.2">
      <c r="B1250" s="6"/>
      <c r="C1250" s="6"/>
      <c r="D1250" s="6"/>
      <c r="E1250" s="7"/>
      <c r="F1250" s="6"/>
      <c r="G1250" s="6"/>
      <c r="H1250" s="6"/>
      <c r="I1250" s="6"/>
      <c r="J1250" s="6"/>
      <c r="K1250" s="6"/>
      <c r="L1250" s="6"/>
      <c r="M1250" s="6"/>
      <c r="N1250" s="6"/>
      <c r="O1250" s="6"/>
      <c r="P1250" s="6"/>
      <c r="Q1250" s="6"/>
      <c r="R1250" s="6"/>
      <c r="S1250" s="6"/>
      <c r="T1250" s="6"/>
      <c r="U1250" s="6"/>
      <c r="V1250" s="6"/>
    </row>
    <row r="1251" spans="2:31" x14ac:dyDescent="0.2">
      <c r="C1251" s="5"/>
      <c r="D1251" s="5"/>
    </row>
    <row r="1252" spans="2:31" x14ac:dyDescent="0.2">
      <c r="B1252" s="8">
        <f>B1211+1</f>
        <v>11</v>
      </c>
      <c r="C1252" s="20" t="s">
        <v>142</v>
      </c>
      <c r="D1252" s="20"/>
      <c r="M1252" s="33"/>
      <c r="N1252" s="21"/>
      <c r="O1252" s="121"/>
    </row>
    <row r="1253" spans="2:31" x14ac:dyDescent="0.2">
      <c r="C1253" s="5"/>
      <c r="D1253" s="5"/>
      <c r="M1253" s="274"/>
    </row>
    <row r="1254" spans="2:31" x14ac:dyDescent="0.2">
      <c r="C1254" s="1" t="s">
        <v>104</v>
      </c>
      <c r="F1254" s="1" t="s">
        <v>55</v>
      </c>
      <c r="G1254" s="21">
        <f>SUM(I1254:AE1254)</f>
        <v>238.19489524999995</v>
      </c>
      <c r="I1254" s="21">
        <f t="shared" ref="I1254:V1254" si="798">I1213</f>
        <v>0</v>
      </c>
      <c r="J1254" s="21">
        <f t="shared" si="798"/>
        <v>0</v>
      </c>
      <c r="K1254" s="21">
        <f t="shared" si="798"/>
        <v>0</v>
      </c>
      <c r="L1254" s="21">
        <f t="shared" si="798"/>
        <v>0</v>
      </c>
      <c r="M1254" s="21">
        <f t="shared" si="798"/>
        <v>0</v>
      </c>
      <c r="N1254" s="21">
        <f t="shared" si="798"/>
        <v>0</v>
      </c>
      <c r="O1254" s="21">
        <f t="shared" si="798"/>
        <v>0</v>
      </c>
      <c r="P1254" s="21">
        <f t="shared" si="798"/>
        <v>0</v>
      </c>
      <c r="Q1254" s="21">
        <f t="shared" si="798"/>
        <v>0</v>
      </c>
      <c r="R1254" s="21">
        <f t="shared" si="798"/>
        <v>0</v>
      </c>
      <c r="S1254" s="21">
        <f t="shared" si="798"/>
        <v>36.645368499999996</v>
      </c>
      <c r="T1254" s="21">
        <f t="shared" si="798"/>
        <v>54.968052749999998</v>
      </c>
      <c r="U1254" s="21">
        <f t="shared" si="798"/>
        <v>73.290736999999993</v>
      </c>
      <c r="V1254" s="21">
        <f t="shared" si="798"/>
        <v>73.290736999999993</v>
      </c>
      <c r="W1254" s="563"/>
      <c r="X1254" s="563"/>
      <c r="Y1254" s="563"/>
      <c r="Z1254" s="563"/>
      <c r="AA1254" s="563"/>
      <c r="AB1254" s="563"/>
      <c r="AC1254" s="563"/>
      <c r="AD1254" s="563"/>
      <c r="AE1254" s="563"/>
    </row>
    <row r="1255" spans="2:31" x14ac:dyDescent="0.2">
      <c r="C1255" s="1" t="s">
        <v>120</v>
      </c>
      <c r="F1255" s="1" t="s">
        <v>55</v>
      </c>
      <c r="G1255" s="21">
        <f>SUM(I1255:AE1255)</f>
        <v>-121.24848509713172</v>
      </c>
      <c r="I1255" s="21">
        <f t="shared" ref="I1255:V1255" si="799">I1214</f>
        <v>0</v>
      </c>
      <c r="J1255" s="21">
        <f t="shared" si="799"/>
        <v>0</v>
      </c>
      <c r="K1255" s="21">
        <f t="shared" si="799"/>
        <v>0</v>
      </c>
      <c r="L1255" s="21">
        <f t="shared" si="799"/>
        <v>0</v>
      </c>
      <c r="M1255" s="21">
        <f t="shared" si="799"/>
        <v>0</v>
      </c>
      <c r="N1255" s="21">
        <f t="shared" si="799"/>
        <v>0</v>
      </c>
      <c r="O1255" s="21">
        <f t="shared" si="799"/>
        <v>0</v>
      </c>
      <c r="P1255" s="21">
        <f t="shared" si="799"/>
        <v>0</v>
      </c>
      <c r="Q1255" s="21">
        <f t="shared" si="799"/>
        <v>0</v>
      </c>
      <c r="R1255" s="21">
        <f t="shared" si="799"/>
        <v>0</v>
      </c>
      <c r="S1255" s="21">
        <f t="shared" si="799"/>
        <v>-19.662910695891949</v>
      </c>
      <c r="T1255" s="21">
        <f t="shared" si="799"/>
        <v>-28.189926269632529</v>
      </c>
      <c r="U1255" s="21">
        <f t="shared" si="799"/>
        <v>-36.809878251958011</v>
      </c>
      <c r="V1255" s="21">
        <f t="shared" si="799"/>
        <v>-36.585769879649234</v>
      </c>
      <c r="W1255" s="563"/>
      <c r="X1255" s="563"/>
      <c r="Y1255" s="563"/>
      <c r="Z1255" s="563"/>
      <c r="AA1255" s="563"/>
      <c r="AB1255" s="563"/>
      <c r="AC1255" s="563"/>
      <c r="AD1255" s="563"/>
      <c r="AE1255" s="563"/>
    </row>
    <row r="1256" spans="2:31" x14ac:dyDescent="0.2">
      <c r="C1256" s="1" t="s">
        <v>444</v>
      </c>
      <c r="F1256" s="1" t="s">
        <v>55</v>
      </c>
      <c r="G1256" s="21">
        <f>SUM(I1256:AE1256)</f>
        <v>-5.4096175223144218</v>
      </c>
      <c r="I1256" s="21">
        <f t="shared" ref="I1256:V1256" si="800">I1215</f>
        <v>0</v>
      </c>
      <c r="J1256" s="21">
        <f t="shared" si="800"/>
        <v>0</v>
      </c>
      <c r="K1256" s="21">
        <f t="shared" si="800"/>
        <v>0</v>
      </c>
      <c r="L1256" s="21">
        <f t="shared" si="800"/>
        <v>0</v>
      </c>
      <c r="M1256" s="21">
        <f t="shared" si="800"/>
        <v>0</v>
      </c>
      <c r="N1256" s="21">
        <f t="shared" si="800"/>
        <v>0</v>
      </c>
      <c r="O1256" s="21">
        <f t="shared" si="800"/>
        <v>0</v>
      </c>
      <c r="P1256" s="21">
        <f t="shared" si="800"/>
        <v>0</v>
      </c>
      <c r="Q1256" s="21">
        <f t="shared" si="800"/>
        <v>0</v>
      </c>
      <c r="R1256" s="21">
        <f t="shared" si="800"/>
        <v>0</v>
      </c>
      <c r="S1256" s="21">
        <f t="shared" si="800"/>
        <v>-1.0088540508911055</v>
      </c>
      <c r="T1256" s="21">
        <f t="shared" si="800"/>
        <v>-1.2836943146411057</v>
      </c>
      <c r="U1256" s="21">
        <f t="shared" si="800"/>
        <v>-1.5585345783911055</v>
      </c>
      <c r="V1256" s="21">
        <f t="shared" si="800"/>
        <v>-1.5585345783911055</v>
      </c>
      <c r="W1256" s="563"/>
      <c r="X1256" s="563"/>
      <c r="Y1256" s="563"/>
      <c r="Z1256" s="563"/>
      <c r="AA1256" s="563"/>
      <c r="AB1256" s="563"/>
      <c r="AC1256" s="563"/>
      <c r="AD1256" s="563"/>
      <c r="AE1256" s="563"/>
    </row>
    <row r="1257" spans="2:31" x14ac:dyDescent="0.2">
      <c r="C1257" s="20" t="s">
        <v>143</v>
      </c>
      <c r="D1257" s="20"/>
      <c r="F1257" s="9" t="s">
        <v>55</v>
      </c>
      <c r="G1257" s="44">
        <f>SUM(I1257:AE1257)</f>
        <v>111.53679263055383</v>
      </c>
      <c r="I1257" s="44">
        <f>SUM(I1254:I1256)</f>
        <v>0</v>
      </c>
      <c r="J1257" s="44">
        <f t="shared" ref="J1257:V1257" si="801">SUM(J1254:J1256)</f>
        <v>0</v>
      </c>
      <c r="K1257" s="44">
        <f t="shared" si="801"/>
        <v>0</v>
      </c>
      <c r="L1257" s="44">
        <f t="shared" si="801"/>
        <v>0</v>
      </c>
      <c r="M1257" s="44">
        <f t="shared" si="801"/>
        <v>0</v>
      </c>
      <c r="N1257" s="44">
        <f t="shared" si="801"/>
        <v>0</v>
      </c>
      <c r="O1257" s="44">
        <f t="shared" si="801"/>
        <v>0</v>
      </c>
      <c r="P1257" s="44">
        <f t="shared" si="801"/>
        <v>0</v>
      </c>
      <c r="Q1257" s="44">
        <f t="shared" si="801"/>
        <v>0</v>
      </c>
      <c r="R1257" s="44">
        <f t="shared" si="801"/>
        <v>0</v>
      </c>
      <c r="S1257" s="44">
        <f t="shared" si="801"/>
        <v>15.973603753216942</v>
      </c>
      <c r="T1257" s="44">
        <f t="shared" si="801"/>
        <v>25.494432165726362</v>
      </c>
      <c r="U1257" s="44">
        <f t="shared" si="801"/>
        <v>34.922324169650878</v>
      </c>
      <c r="V1257" s="44">
        <f t="shared" si="801"/>
        <v>35.146432541959655</v>
      </c>
      <c r="W1257" s="580"/>
      <c r="X1257" s="580"/>
      <c r="Y1257" s="580"/>
      <c r="Z1257" s="580"/>
      <c r="AA1257" s="580"/>
      <c r="AB1257" s="580"/>
      <c r="AC1257" s="580"/>
      <c r="AD1257" s="580"/>
      <c r="AE1257" s="580"/>
    </row>
    <row r="1259" spans="2:31" x14ac:dyDescent="0.2">
      <c r="C1259" s="1" t="s">
        <v>128</v>
      </c>
      <c r="F1259" s="1" t="s">
        <v>55</v>
      </c>
      <c r="G1259" s="21">
        <f>SUM(I1259:AE1259)</f>
        <v>-11.889398285369733</v>
      </c>
      <c r="I1259" s="21">
        <f>I1323</f>
        <v>0</v>
      </c>
      <c r="J1259" s="21">
        <f t="shared" ref="J1259:V1259" si="802">J1323</f>
        <v>0</v>
      </c>
      <c r="K1259" s="21">
        <f>K1323</f>
        <v>0</v>
      </c>
      <c r="L1259" s="21">
        <f>L1323</f>
        <v>0</v>
      </c>
      <c r="M1259" s="21">
        <f t="shared" si="802"/>
        <v>0</v>
      </c>
      <c r="N1259" s="21">
        <f t="shared" si="802"/>
        <v>0</v>
      </c>
      <c r="O1259" s="21">
        <f t="shared" si="802"/>
        <v>0</v>
      </c>
      <c r="P1259" s="21">
        <f t="shared" si="802"/>
        <v>0</v>
      </c>
      <c r="Q1259" s="21">
        <f t="shared" si="802"/>
        <v>0</v>
      </c>
      <c r="R1259" s="21">
        <f t="shared" si="802"/>
        <v>0</v>
      </c>
      <c r="S1259" s="21">
        <f t="shared" si="802"/>
        <v>0</v>
      </c>
      <c r="T1259" s="21">
        <f t="shared" si="802"/>
        <v>0</v>
      </c>
      <c r="U1259" s="21">
        <f t="shared" si="802"/>
        <v>-5.9446991426848665</v>
      </c>
      <c r="V1259" s="21">
        <f t="shared" si="802"/>
        <v>-5.9446991426848665</v>
      </c>
      <c r="W1259" s="563"/>
      <c r="X1259" s="563"/>
      <c r="Y1259" s="563"/>
      <c r="Z1259" s="563"/>
      <c r="AA1259" s="563"/>
      <c r="AB1259" s="563"/>
      <c r="AC1259" s="563"/>
      <c r="AD1259" s="563"/>
      <c r="AE1259" s="563"/>
    </row>
    <row r="1260" spans="2:31" x14ac:dyDescent="0.2">
      <c r="C1260" s="1" t="s">
        <v>220</v>
      </c>
      <c r="F1260" s="1" t="s">
        <v>55</v>
      </c>
      <c r="G1260" s="21">
        <f>SUM(I1260:AE1260)</f>
        <v>-2.8278130974478968</v>
      </c>
      <c r="I1260" s="21">
        <f>I1578+I1661+I1729</f>
        <v>-8.7499999999999994E-2</v>
      </c>
      <c r="J1260" s="21">
        <f t="shared" ref="J1260:V1260" si="803">J1578+J1661+J1729</f>
        <v>-8.7499999999999994E-2</v>
      </c>
      <c r="K1260" s="21">
        <f t="shared" si="803"/>
        <v>-4.3749999999999997E-2</v>
      </c>
      <c r="L1260" s="21">
        <f t="shared" si="803"/>
        <v>-4.3749999999999997E-2</v>
      </c>
      <c r="M1260" s="21">
        <f t="shared" si="803"/>
        <v>-4.3749999999999997E-2</v>
      </c>
      <c r="N1260" s="21">
        <f t="shared" si="803"/>
        <v>-4.3749999999999997E-2</v>
      </c>
      <c r="O1260" s="21">
        <f t="shared" si="803"/>
        <v>-4.3749999999999997E-2</v>
      </c>
      <c r="P1260" s="21">
        <f t="shared" si="803"/>
        <v>-4.3749999999999997E-2</v>
      </c>
      <c r="Q1260" s="21">
        <f t="shared" si="803"/>
        <v>-0.39838551624131607</v>
      </c>
      <c r="R1260" s="21">
        <f t="shared" si="803"/>
        <v>-0.39838551624131607</v>
      </c>
      <c r="S1260" s="21">
        <f t="shared" si="803"/>
        <v>-0.39838551624131607</v>
      </c>
      <c r="T1260" s="21">
        <f t="shared" si="803"/>
        <v>-0.39838551624131607</v>
      </c>
      <c r="U1260" s="21">
        <f t="shared" si="803"/>
        <v>-0.39838551624131607</v>
      </c>
      <c r="V1260" s="21">
        <f t="shared" si="803"/>
        <v>-0.39838551624131607</v>
      </c>
      <c r="W1260" s="563"/>
      <c r="X1260" s="563"/>
      <c r="Y1260" s="563"/>
      <c r="Z1260" s="563"/>
      <c r="AA1260" s="563"/>
      <c r="AB1260" s="563"/>
      <c r="AC1260" s="563"/>
      <c r="AD1260" s="563"/>
      <c r="AE1260" s="563"/>
    </row>
    <row r="1261" spans="2:31" x14ac:dyDescent="0.2">
      <c r="C1261" s="9" t="s">
        <v>144</v>
      </c>
      <c r="D1261" s="9"/>
      <c r="F1261" s="9" t="s">
        <v>55</v>
      </c>
      <c r="G1261" s="44">
        <f>SUM(I1261:AE1261)</f>
        <v>96.819581247736195</v>
      </c>
      <c r="I1261" s="44">
        <f>I1257+I1259+I1260</f>
        <v>-8.7499999999999994E-2</v>
      </c>
      <c r="J1261" s="44">
        <f t="shared" ref="J1261:V1261" si="804">J1257+J1259+J1260</f>
        <v>-8.7499999999999994E-2</v>
      </c>
      <c r="K1261" s="44">
        <f>K1257+K1259+K1260</f>
        <v>-4.3749999999999997E-2</v>
      </c>
      <c r="L1261" s="44">
        <f t="shared" si="804"/>
        <v>-4.3749999999999997E-2</v>
      </c>
      <c r="M1261" s="44">
        <f t="shared" si="804"/>
        <v>-4.3749999999999997E-2</v>
      </c>
      <c r="N1261" s="44">
        <f t="shared" si="804"/>
        <v>-4.3749999999999997E-2</v>
      </c>
      <c r="O1261" s="44">
        <f t="shared" si="804"/>
        <v>-4.3749999999999997E-2</v>
      </c>
      <c r="P1261" s="44">
        <f t="shared" si="804"/>
        <v>-4.3749999999999997E-2</v>
      </c>
      <c r="Q1261" s="44">
        <f t="shared" si="804"/>
        <v>-0.39838551624131607</v>
      </c>
      <c r="R1261" s="44">
        <f t="shared" si="804"/>
        <v>-0.39838551624131607</v>
      </c>
      <c r="S1261" s="44">
        <f t="shared" si="804"/>
        <v>15.575218236975626</v>
      </c>
      <c r="T1261" s="44">
        <f t="shared" si="804"/>
        <v>25.096046649485046</v>
      </c>
      <c r="U1261" s="44">
        <f t="shared" si="804"/>
        <v>28.579239510724694</v>
      </c>
      <c r="V1261" s="44">
        <f t="shared" si="804"/>
        <v>28.803347883033471</v>
      </c>
      <c r="W1261" s="580"/>
      <c r="X1261" s="580"/>
      <c r="Y1261" s="580"/>
      <c r="Z1261" s="580"/>
      <c r="AA1261" s="580"/>
      <c r="AB1261" s="580"/>
      <c r="AC1261" s="580"/>
      <c r="AD1261" s="580"/>
      <c r="AE1261" s="580"/>
    </row>
    <row r="1263" spans="2:31" x14ac:dyDescent="0.2">
      <c r="C1263" s="1" t="s">
        <v>462</v>
      </c>
      <c r="F1263" s="1" t="s">
        <v>55</v>
      </c>
      <c r="G1263" s="21">
        <f>SUM(I1263:AE1263)</f>
        <v>0</v>
      </c>
      <c r="I1263" s="45">
        <f>-I1560</f>
        <v>0</v>
      </c>
      <c r="J1263" s="45">
        <f t="shared" ref="J1263:V1263" si="805">-J1560</f>
        <v>0</v>
      </c>
      <c r="K1263" s="45">
        <f>-K1560</f>
        <v>0</v>
      </c>
      <c r="L1263" s="45">
        <f>-L1560</f>
        <v>0</v>
      </c>
      <c r="M1263" s="45">
        <f t="shared" si="805"/>
        <v>0</v>
      </c>
      <c r="N1263" s="45">
        <f t="shared" si="805"/>
        <v>0</v>
      </c>
      <c r="O1263" s="45">
        <f t="shared" si="805"/>
        <v>0</v>
      </c>
      <c r="P1263" s="45">
        <f t="shared" si="805"/>
        <v>0</v>
      </c>
      <c r="Q1263" s="45">
        <f t="shared" si="805"/>
        <v>0</v>
      </c>
      <c r="R1263" s="45">
        <f t="shared" si="805"/>
        <v>0</v>
      </c>
      <c r="S1263" s="45">
        <f t="shared" si="805"/>
        <v>0</v>
      </c>
      <c r="T1263" s="45">
        <f t="shared" si="805"/>
        <v>0</v>
      </c>
      <c r="U1263" s="45">
        <f t="shared" si="805"/>
        <v>0</v>
      </c>
      <c r="V1263" s="45">
        <f t="shared" si="805"/>
        <v>0</v>
      </c>
      <c r="W1263" s="568"/>
      <c r="X1263" s="568"/>
      <c r="Y1263" s="568"/>
      <c r="Z1263" s="568"/>
      <c r="AA1263" s="568"/>
      <c r="AB1263" s="568"/>
      <c r="AC1263" s="568"/>
      <c r="AD1263" s="568"/>
      <c r="AE1263" s="568"/>
    </row>
    <row r="1264" spans="2:31" x14ac:dyDescent="0.2">
      <c r="C1264" s="1" t="s">
        <v>469</v>
      </c>
      <c r="F1264" s="1" t="s">
        <v>55</v>
      </c>
      <c r="G1264" s="21">
        <f>SUM(I1264:AE1264)</f>
        <v>-1.2516281732978158</v>
      </c>
      <c r="I1264" s="45">
        <f t="shared" ref="I1264:V1264" si="806">-I951</f>
        <v>0</v>
      </c>
      <c r="J1264" s="45">
        <f t="shared" si="806"/>
        <v>0</v>
      </c>
      <c r="K1264" s="45">
        <f t="shared" si="806"/>
        <v>0</v>
      </c>
      <c r="L1264" s="45">
        <f t="shared" si="806"/>
        <v>0</v>
      </c>
      <c r="M1264" s="45">
        <f t="shared" si="806"/>
        <v>0</v>
      </c>
      <c r="N1264" s="45">
        <f t="shared" si="806"/>
        <v>0</v>
      </c>
      <c r="O1264" s="45">
        <f t="shared" si="806"/>
        <v>0</v>
      </c>
      <c r="P1264" s="45">
        <f t="shared" si="806"/>
        <v>0</v>
      </c>
      <c r="Q1264" s="45">
        <f t="shared" si="806"/>
        <v>0</v>
      </c>
      <c r="R1264" s="45">
        <f t="shared" si="806"/>
        <v>0</v>
      </c>
      <c r="S1264" s="45">
        <f t="shared" si="806"/>
        <v>-0.11378437939071051</v>
      </c>
      <c r="T1264" s="45">
        <f t="shared" si="806"/>
        <v>-0.28446094847677633</v>
      </c>
      <c r="U1264" s="45">
        <f t="shared" si="806"/>
        <v>-0.3982453278674869</v>
      </c>
      <c r="V1264" s="45">
        <f t="shared" si="806"/>
        <v>-0.45513751756284204</v>
      </c>
      <c r="W1264" s="568"/>
      <c r="X1264" s="568"/>
      <c r="Y1264" s="568"/>
      <c r="Z1264" s="568"/>
      <c r="AA1264" s="568"/>
      <c r="AB1264" s="568"/>
      <c r="AC1264" s="568"/>
      <c r="AD1264" s="568"/>
      <c r="AE1264" s="568"/>
    </row>
    <row r="1265" spans="2:32" x14ac:dyDescent="0.2">
      <c r="C1265" s="1" t="s">
        <v>775</v>
      </c>
      <c r="F1265" s="1" t="s">
        <v>55</v>
      </c>
      <c r="G1265" s="21">
        <f>SUM(I1265:AE1265)</f>
        <v>0</v>
      </c>
      <c r="I1265" s="45">
        <f>-I1643</f>
        <v>0</v>
      </c>
      <c r="J1265" s="45">
        <f t="shared" ref="J1265:V1265" si="807">-J1643</f>
        <v>0</v>
      </c>
      <c r="K1265" s="45">
        <f t="shared" si="807"/>
        <v>0</v>
      </c>
      <c r="L1265" s="45">
        <f t="shared" si="807"/>
        <v>0</v>
      </c>
      <c r="M1265" s="45">
        <f t="shared" si="807"/>
        <v>0</v>
      </c>
      <c r="N1265" s="45">
        <f t="shared" si="807"/>
        <v>0</v>
      </c>
      <c r="O1265" s="45">
        <f t="shared" si="807"/>
        <v>0</v>
      </c>
      <c r="P1265" s="45">
        <f t="shared" si="807"/>
        <v>0</v>
      </c>
      <c r="Q1265" s="45">
        <f t="shared" si="807"/>
        <v>0</v>
      </c>
      <c r="R1265" s="45">
        <f t="shared" si="807"/>
        <v>0</v>
      </c>
      <c r="S1265" s="45">
        <f t="shared" si="807"/>
        <v>0</v>
      </c>
      <c r="T1265" s="45">
        <f t="shared" si="807"/>
        <v>0</v>
      </c>
      <c r="U1265" s="45">
        <f t="shared" si="807"/>
        <v>0</v>
      </c>
      <c r="V1265" s="45">
        <f t="shared" si="807"/>
        <v>0</v>
      </c>
      <c r="W1265" s="568"/>
      <c r="X1265" s="568"/>
      <c r="Y1265" s="568"/>
      <c r="Z1265" s="568"/>
      <c r="AA1265" s="568"/>
      <c r="AB1265" s="568"/>
      <c r="AC1265" s="568"/>
      <c r="AD1265" s="568"/>
      <c r="AE1265" s="568"/>
    </row>
    <row r="1266" spans="2:32" x14ac:dyDescent="0.2">
      <c r="C1266" s="1" t="s">
        <v>958</v>
      </c>
      <c r="F1266" s="1" t="s">
        <v>55</v>
      </c>
      <c r="G1266" s="21">
        <f>SUM(I1266:AE1266)</f>
        <v>-4.1711625334943765</v>
      </c>
      <c r="I1266" s="45">
        <f>-I1720</f>
        <v>-9.5053106797031259E-2</v>
      </c>
      <c r="J1266" s="45">
        <f t="shared" ref="J1266:V1266" si="808">-J1720</f>
        <v>-0.28270633372671877</v>
      </c>
      <c r="K1266" s="45">
        <f t="shared" si="808"/>
        <v>-0.31611692441421879</v>
      </c>
      <c r="L1266" s="45">
        <f t="shared" si="808"/>
        <v>-0.31611692441421879</v>
      </c>
      <c r="M1266" s="45">
        <f t="shared" si="808"/>
        <v>-0.31611692441421879</v>
      </c>
      <c r="N1266" s="45">
        <f t="shared" si="808"/>
        <v>-0.31611692441421879</v>
      </c>
      <c r="O1266" s="45">
        <f t="shared" si="808"/>
        <v>-0.31611692441421879</v>
      </c>
      <c r="P1266" s="45">
        <f t="shared" si="808"/>
        <v>-0.31611692441421879</v>
      </c>
      <c r="Q1266" s="45">
        <f t="shared" si="808"/>
        <v>-0.31611692441421879</v>
      </c>
      <c r="R1266" s="45">
        <f t="shared" si="808"/>
        <v>-0.31611692441421879</v>
      </c>
      <c r="S1266" s="45">
        <f t="shared" si="808"/>
        <v>-0.31611692441421879</v>
      </c>
      <c r="T1266" s="45">
        <f t="shared" si="808"/>
        <v>-0.31611692441421879</v>
      </c>
      <c r="U1266" s="45">
        <f t="shared" si="808"/>
        <v>-0.31611692441421879</v>
      </c>
      <c r="V1266" s="45">
        <f t="shared" si="808"/>
        <v>-0.31611692441421879</v>
      </c>
      <c r="W1266" s="568"/>
      <c r="X1266" s="568"/>
      <c r="Y1266" s="568"/>
      <c r="Z1266" s="568"/>
      <c r="AA1266" s="568"/>
      <c r="AB1266" s="568"/>
      <c r="AC1266" s="568"/>
      <c r="AD1266" s="568"/>
      <c r="AE1266" s="568"/>
    </row>
    <row r="1267" spans="2:32" x14ac:dyDescent="0.2">
      <c r="C1267" s="9" t="s">
        <v>146</v>
      </c>
      <c r="D1267" s="9"/>
      <c r="F1267" s="9" t="s">
        <v>55</v>
      </c>
      <c r="G1267" s="44">
        <f>SUM(I1267:AE1267)</f>
        <v>91.396790540944011</v>
      </c>
      <c r="I1267" s="44">
        <f>I1261+I1263+I1264+I1265+I1266</f>
        <v>-0.18255310679703124</v>
      </c>
      <c r="J1267" s="44">
        <f t="shared" ref="J1267:V1267" si="809">J1261+J1263+J1264+J1265+J1266</f>
        <v>-0.37020633372671874</v>
      </c>
      <c r="K1267" s="44">
        <f t="shared" si="809"/>
        <v>-0.3598669244142188</v>
      </c>
      <c r="L1267" s="44">
        <f t="shared" si="809"/>
        <v>-0.3598669244142188</v>
      </c>
      <c r="M1267" s="44">
        <f t="shared" si="809"/>
        <v>-0.3598669244142188</v>
      </c>
      <c r="N1267" s="44">
        <f t="shared" si="809"/>
        <v>-0.3598669244142188</v>
      </c>
      <c r="O1267" s="44">
        <f t="shared" si="809"/>
        <v>-0.3598669244142188</v>
      </c>
      <c r="P1267" s="44">
        <f t="shared" si="809"/>
        <v>-0.3598669244142188</v>
      </c>
      <c r="Q1267" s="44">
        <f t="shared" si="809"/>
        <v>-0.71450244065553492</v>
      </c>
      <c r="R1267" s="44">
        <f t="shared" si="809"/>
        <v>-0.71450244065553492</v>
      </c>
      <c r="S1267" s="44">
        <f t="shared" si="809"/>
        <v>15.145316933170697</v>
      </c>
      <c r="T1267" s="44">
        <f t="shared" si="809"/>
        <v>24.495468776594052</v>
      </c>
      <c r="U1267" s="44">
        <f t="shared" si="809"/>
        <v>27.864877258442991</v>
      </c>
      <c r="V1267" s="44">
        <f t="shared" si="809"/>
        <v>28.032093441056411</v>
      </c>
      <c r="W1267" s="580"/>
      <c r="X1267" s="580"/>
      <c r="Y1267" s="580"/>
      <c r="Z1267" s="580"/>
      <c r="AA1267" s="580"/>
      <c r="AB1267" s="580"/>
      <c r="AC1267" s="580"/>
      <c r="AD1267" s="580"/>
      <c r="AE1267" s="580"/>
    </row>
    <row r="1269" spans="2:32" x14ac:dyDescent="0.2">
      <c r="C1269" s="1" t="s">
        <v>147</v>
      </c>
      <c r="F1269" s="1" t="s">
        <v>55</v>
      </c>
      <c r="G1269" s="21">
        <f>SUM(I1269:AE1269)</f>
        <v>-16.616150850655778</v>
      </c>
      <c r="I1269" s="43">
        <f>SUMIF('Plant model'!$I$3:$AE$3,YEAR('Quarterly Plant Model'!I$3),'Plant model'!$I1269:$AE1269)/4</f>
        <v>0</v>
      </c>
      <c r="J1269" s="43">
        <f>SUMIF('Plant model'!$I$3:$AE$3,YEAR('Quarterly Plant Model'!J$3),'Plant model'!$I1269:$AE1269)/4</f>
        <v>0</v>
      </c>
      <c r="K1269" s="43">
        <f>SUMIF('Plant model'!$I$3:$AE$3,YEAR('Quarterly Plant Model'!K$3),'Plant model'!$I1269:$AE1269)/4</f>
        <v>0</v>
      </c>
      <c r="L1269" s="43">
        <f>SUMIF('Plant model'!$I$3:$AE$3,YEAR('Quarterly Plant Model'!L$3),'Plant model'!$I1269:$AE1269)/4</f>
        <v>0</v>
      </c>
      <c r="M1269" s="43">
        <f>SUMIF('Plant model'!$I$3:$AE$3,YEAR('Quarterly Plant Model'!M$3),'Plant model'!$I1269:$AE1269)/4</f>
        <v>0</v>
      </c>
      <c r="N1269" s="43">
        <f>SUMIF('Plant model'!$I$3:$AE$3,YEAR('Quarterly Plant Model'!N$3),'Plant model'!$I1269:$AE1269)/4</f>
        <v>0</v>
      </c>
      <c r="O1269" s="43">
        <f>SUMIF('Plant model'!$I$3:$AE$3,YEAR('Quarterly Plant Model'!O$3),'Plant model'!$I1269:$AE1269)/4</f>
        <v>0</v>
      </c>
      <c r="P1269" s="43">
        <f>SUMIF('Plant model'!$I$3:$AE$3,YEAR('Quarterly Plant Model'!P$3),'Plant model'!$I1269:$AE1269)/4</f>
        <v>0</v>
      </c>
      <c r="Q1269" s="43">
        <f>SUMIF('Plant model'!$I$3:$AE$3,YEAR('Quarterly Plant Model'!Q$3),'Plant model'!$I1269:$AE1269)/4</f>
        <v>-2.3992221887665348</v>
      </c>
      <c r="R1269" s="43">
        <f>SUMIF('Plant model'!$I$3:$AE$3,YEAR('Quarterly Plant Model'!R$3),'Plant model'!$I1269:$AE1269)/4</f>
        <v>-2.3992221887665348</v>
      </c>
      <c r="S1269" s="43">
        <f>SUMIF('Plant model'!$I$3:$AE$3,YEAR('Quarterly Plant Model'!S$3),'Plant model'!$I1269:$AE1269)/4</f>
        <v>-2.3992221887665348</v>
      </c>
      <c r="T1269" s="43">
        <f>SUMIF('Plant model'!$I$3:$AE$3,YEAR('Quarterly Plant Model'!T$3),'Plant model'!$I1269:$AE1269)/4</f>
        <v>-2.3992221887665348</v>
      </c>
      <c r="U1269" s="43">
        <f>SUMIF('Plant model'!$I$3:$AE$3,YEAR('Quarterly Plant Model'!U$3),'Plant model'!$I1269:$AE1269)/4</f>
        <v>-3.5096310477948185</v>
      </c>
      <c r="V1269" s="43">
        <f>SUMIF('Plant model'!$I$3:$AE$3,YEAR('Quarterly Plant Model'!V$3),'Plant model'!$I1269:$AE1269)/4</f>
        <v>-3.5096310477948185</v>
      </c>
      <c r="W1269" s="563"/>
      <c r="X1269" s="563"/>
      <c r="Y1269" s="563"/>
      <c r="Z1269" s="563"/>
      <c r="AA1269" s="563"/>
      <c r="AB1269" s="563"/>
      <c r="AC1269" s="563"/>
      <c r="AD1269" s="563"/>
      <c r="AE1269" s="563"/>
    </row>
    <row r="1270" spans="2:32" x14ac:dyDescent="0.2">
      <c r="C1270" s="9" t="s">
        <v>148</v>
      </c>
      <c r="D1270" s="9"/>
      <c r="E1270" s="9"/>
      <c r="F1270" s="9" t="s">
        <v>55</v>
      </c>
      <c r="G1270" s="44">
        <f>SUM(I1270:AE1270)</f>
        <v>74.78063969028824</v>
      </c>
      <c r="H1270" s="9"/>
      <c r="I1270" s="44">
        <f>I1267+I1269</f>
        <v>-0.18255310679703124</v>
      </c>
      <c r="J1270" s="44">
        <f t="shared" ref="J1270:V1270" si="810">J1267+J1269</f>
        <v>-0.37020633372671874</v>
      </c>
      <c r="K1270" s="44">
        <f>K1267+K1269</f>
        <v>-0.3598669244142188</v>
      </c>
      <c r="L1270" s="44">
        <f t="shared" si="810"/>
        <v>-0.3598669244142188</v>
      </c>
      <c r="M1270" s="44">
        <f t="shared" si="810"/>
        <v>-0.3598669244142188</v>
      </c>
      <c r="N1270" s="44">
        <f t="shared" si="810"/>
        <v>-0.3598669244142188</v>
      </c>
      <c r="O1270" s="44">
        <f t="shared" si="810"/>
        <v>-0.3598669244142188</v>
      </c>
      <c r="P1270" s="44">
        <f t="shared" si="810"/>
        <v>-0.3598669244142188</v>
      </c>
      <c r="Q1270" s="44">
        <f t="shared" si="810"/>
        <v>-3.1137246294220695</v>
      </c>
      <c r="R1270" s="44">
        <f t="shared" si="810"/>
        <v>-3.1137246294220695</v>
      </c>
      <c r="S1270" s="44">
        <f t="shared" si="810"/>
        <v>12.746094744404163</v>
      </c>
      <c r="T1270" s="44">
        <f t="shared" si="810"/>
        <v>22.096246587827515</v>
      </c>
      <c r="U1270" s="44">
        <f t="shared" si="810"/>
        <v>24.355246210648172</v>
      </c>
      <c r="V1270" s="44">
        <f t="shared" si="810"/>
        <v>24.522462393261591</v>
      </c>
      <c r="W1270" s="580"/>
      <c r="X1270" s="580"/>
      <c r="Y1270" s="580"/>
      <c r="Z1270" s="580"/>
      <c r="AA1270" s="580"/>
      <c r="AB1270" s="580"/>
      <c r="AC1270" s="580"/>
      <c r="AD1270" s="580"/>
      <c r="AE1270" s="580"/>
      <c r="AF1270" s="575"/>
    </row>
    <row r="1271" spans="2:32" x14ac:dyDescent="0.2">
      <c r="C1271" s="5"/>
      <c r="D1271" s="5"/>
    </row>
    <row r="1272" spans="2:32" x14ac:dyDescent="0.2">
      <c r="B1272" s="10">
        <f>B1252+0.1</f>
        <v>11.1</v>
      </c>
      <c r="C1272" s="9" t="s">
        <v>149</v>
      </c>
      <c r="D1272" s="9"/>
      <c r="G1272" s="21"/>
      <c r="N1272" s="21"/>
    </row>
    <row r="1273" spans="2:32" x14ac:dyDescent="0.2">
      <c r="C1273" s="5"/>
      <c r="D1273" s="5"/>
    </row>
    <row r="1274" spans="2:32" x14ac:dyDescent="0.2">
      <c r="C1274" s="63" t="s">
        <v>114</v>
      </c>
      <c r="D1274" s="63"/>
    </row>
    <row r="1275" spans="2:32" x14ac:dyDescent="0.2">
      <c r="C1275" s="1" t="s">
        <v>146</v>
      </c>
      <c r="F1275" s="1" t="s">
        <v>55</v>
      </c>
      <c r="G1275" s="21">
        <f>SUM(I1275:AE1275)</f>
        <v>91.396790540944011</v>
      </c>
      <c r="I1275" s="21">
        <f>I1267</f>
        <v>-0.18255310679703124</v>
      </c>
      <c r="J1275" s="21">
        <f t="shared" ref="J1275:V1275" si="811">J1267</f>
        <v>-0.37020633372671874</v>
      </c>
      <c r="K1275" s="21">
        <f>K1267</f>
        <v>-0.3598669244142188</v>
      </c>
      <c r="L1275" s="21">
        <f t="shared" si="811"/>
        <v>-0.3598669244142188</v>
      </c>
      <c r="M1275" s="21">
        <f t="shared" si="811"/>
        <v>-0.3598669244142188</v>
      </c>
      <c r="N1275" s="21">
        <f t="shared" si="811"/>
        <v>-0.3598669244142188</v>
      </c>
      <c r="O1275" s="21">
        <f t="shared" si="811"/>
        <v>-0.3598669244142188</v>
      </c>
      <c r="P1275" s="21">
        <f t="shared" si="811"/>
        <v>-0.3598669244142188</v>
      </c>
      <c r="Q1275" s="21">
        <f t="shared" si="811"/>
        <v>-0.71450244065553492</v>
      </c>
      <c r="R1275" s="21">
        <f t="shared" si="811"/>
        <v>-0.71450244065553492</v>
      </c>
      <c r="S1275" s="21">
        <f t="shared" si="811"/>
        <v>15.145316933170697</v>
      </c>
      <c r="T1275" s="21">
        <f t="shared" si="811"/>
        <v>24.495468776594052</v>
      </c>
      <c r="U1275" s="21">
        <f t="shared" si="811"/>
        <v>27.864877258442991</v>
      </c>
      <c r="V1275" s="21">
        <f t="shared" si="811"/>
        <v>28.032093441056411</v>
      </c>
      <c r="W1275" s="563"/>
      <c r="X1275" s="563"/>
      <c r="Y1275" s="563"/>
      <c r="Z1275" s="563"/>
      <c r="AA1275" s="563"/>
      <c r="AB1275" s="563"/>
      <c r="AC1275" s="563"/>
      <c r="AD1275" s="563"/>
      <c r="AE1275" s="563"/>
    </row>
    <row r="1276" spans="2:32" x14ac:dyDescent="0.2">
      <c r="C1276" s="1" t="s">
        <v>129</v>
      </c>
      <c r="F1276" s="1" t="s">
        <v>55</v>
      </c>
      <c r="G1276" s="21">
        <f>SUM(I1276:AE1276)</f>
        <v>-10.876218074372337</v>
      </c>
      <c r="I1276" s="21">
        <f>-I1284</f>
        <v>2.1723819708846716E-2</v>
      </c>
      <c r="J1276" s="21">
        <f t="shared" ref="J1276:V1276" si="812">-J1284</f>
        <v>4.4054553713479529E-2</v>
      </c>
      <c r="K1276" s="21">
        <f>-K1284</f>
        <v>4.2824164005292036E-2</v>
      </c>
      <c r="L1276" s="21">
        <f t="shared" si="812"/>
        <v>4.2824164005292036E-2</v>
      </c>
      <c r="M1276" s="21">
        <f t="shared" si="812"/>
        <v>4.2824164005292036E-2</v>
      </c>
      <c r="N1276" s="21">
        <f t="shared" si="812"/>
        <v>4.2824164005292036E-2</v>
      </c>
      <c r="O1276" s="21">
        <f t="shared" si="812"/>
        <v>4.2824164005292036E-2</v>
      </c>
      <c r="P1276" s="21">
        <f t="shared" si="812"/>
        <v>4.2824164005292036E-2</v>
      </c>
      <c r="Q1276" s="21">
        <f t="shared" si="812"/>
        <v>8.5025790438008647E-2</v>
      </c>
      <c r="R1276" s="21">
        <f t="shared" si="812"/>
        <v>8.5025790438008647E-2</v>
      </c>
      <c r="S1276" s="21">
        <f t="shared" si="812"/>
        <v>-1.8022927150473129</v>
      </c>
      <c r="T1276" s="21">
        <f t="shared" si="812"/>
        <v>-2.9149607844146921</v>
      </c>
      <c r="U1276" s="21">
        <f t="shared" si="812"/>
        <v>-3.3159203937547157</v>
      </c>
      <c r="V1276" s="21">
        <f t="shared" si="812"/>
        <v>-3.3358191194857127</v>
      </c>
      <c r="W1276" s="563"/>
      <c r="X1276" s="563"/>
      <c r="Y1276" s="563"/>
      <c r="Z1276" s="563"/>
      <c r="AA1276" s="563"/>
      <c r="AB1276" s="563"/>
      <c r="AC1276" s="563"/>
      <c r="AD1276" s="563"/>
      <c r="AE1276" s="563"/>
    </row>
    <row r="1277" spans="2:32" x14ac:dyDescent="0.2">
      <c r="C1277" s="1" t="s">
        <v>130</v>
      </c>
      <c r="F1277" s="1" t="s">
        <v>55</v>
      </c>
      <c r="G1277" s="21">
        <f>SUM(I1277:AE1277)</f>
        <v>0</v>
      </c>
      <c r="I1277" s="21">
        <f t="shared" ref="I1277:V1277" si="813">-I1285</f>
        <v>0</v>
      </c>
      <c r="J1277" s="21">
        <f t="shared" si="813"/>
        <v>0</v>
      </c>
      <c r="K1277" s="21">
        <f>-K1285</f>
        <v>0</v>
      </c>
      <c r="L1277" s="21">
        <f t="shared" si="813"/>
        <v>0</v>
      </c>
      <c r="M1277" s="21">
        <f t="shared" si="813"/>
        <v>0</v>
      </c>
      <c r="N1277" s="21">
        <f t="shared" si="813"/>
        <v>0</v>
      </c>
      <c r="O1277" s="21">
        <f t="shared" si="813"/>
        <v>0</v>
      </c>
      <c r="P1277" s="21">
        <f t="shared" si="813"/>
        <v>0</v>
      </c>
      <c r="Q1277" s="21">
        <f t="shared" si="813"/>
        <v>0</v>
      </c>
      <c r="R1277" s="21">
        <f t="shared" si="813"/>
        <v>0</v>
      </c>
      <c r="S1277" s="21">
        <f t="shared" si="813"/>
        <v>0</v>
      </c>
      <c r="T1277" s="21">
        <f t="shared" si="813"/>
        <v>0</v>
      </c>
      <c r="U1277" s="21">
        <f t="shared" si="813"/>
        <v>0</v>
      </c>
      <c r="V1277" s="21">
        <f t="shared" si="813"/>
        <v>0</v>
      </c>
      <c r="W1277" s="563"/>
      <c r="X1277" s="563"/>
      <c r="Y1277" s="563"/>
      <c r="Z1277" s="563"/>
      <c r="AA1277" s="563"/>
      <c r="AB1277" s="563"/>
      <c r="AC1277" s="563"/>
      <c r="AD1277" s="563"/>
      <c r="AE1277" s="563"/>
    </row>
    <row r="1278" spans="2:32" x14ac:dyDescent="0.2">
      <c r="C1278" s="1" t="s">
        <v>131</v>
      </c>
      <c r="F1278" s="1" t="s">
        <v>55</v>
      </c>
      <c r="G1278" s="21">
        <f>SUM(I1278:AE1278)</f>
        <v>80.520572466571679</v>
      </c>
      <c r="I1278" s="21">
        <f>SUM(I1275:I1277)</f>
        <v>-0.16082928708818453</v>
      </c>
      <c r="J1278" s="21">
        <f t="shared" ref="J1278:V1278" si="814">SUM(J1275:J1277)</f>
        <v>-0.32615178001323919</v>
      </c>
      <c r="K1278" s="21">
        <f>SUM(K1275:K1277)</f>
        <v>-0.31704276040892676</v>
      </c>
      <c r="L1278" s="21">
        <f t="shared" si="814"/>
        <v>-0.31704276040892676</v>
      </c>
      <c r="M1278" s="21">
        <f t="shared" si="814"/>
        <v>-0.31704276040892676</v>
      </c>
      <c r="N1278" s="21">
        <f t="shared" si="814"/>
        <v>-0.31704276040892676</v>
      </c>
      <c r="O1278" s="21">
        <f t="shared" si="814"/>
        <v>-0.31704276040892676</v>
      </c>
      <c r="P1278" s="21">
        <f t="shared" si="814"/>
        <v>-0.31704276040892676</v>
      </c>
      <c r="Q1278" s="21">
        <f t="shared" si="814"/>
        <v>-0.6294766502175263</v>
      </c>
      <c r="R1278" s="21">
        <f t="shared" si="814"/>
        <v>-0.6294766502175263</v>
      </c>
      <c r="S1278" s="21">
        <f t="shared" si="814"/>
        <v>13.343024218123384</v>
      </c>
      <c r="T1278" s="21">
        <f t="shared" si="814"/>
        <v>21.58050799217936</v>
      </c>
      <c r="U1278" s="21">
        <f t="shared" si="814"/>
        <v>24.548956864688275</v>
      </c>
      <c r="V1278" s="21">
        <f t="shared" si="814"/>
        <v>24.696274321570698</v>
      </c>
      <c r="W1278" s="563"/>
      <c r="X1278" s="563"/>
      <c r="Y1278" s="563"/>
      <c r="Z1278" s="563"/>
      <c r="AA1278" s="563"/>
      <c r="AB1278" s="563"/>
      <c r="AC1278" s="563"/>
      <c r="AD1278" s="563"/>
      <c r="AE1278" s="563"/>
    </row>
    <row r="1279" spans="2:32" x14ac:dyDescent="0.2">
      <c r="G1279" s="21"/>
      <c r="I1279" s="21"/>
      <c r="J1279" s="21"/>
      <c r="K1279" s="21"/>
      <c r="L1279" s="21"/>
      <c r="M1279" s="21"/>
      <c r="N1279" s="21"/>
      <c r="O1279" s="21"/>
      <c r="P1279" s="21"/>
      <c r="Q1279" s="21"/>
      <c r="R1279" s="21"/>
      <c r="S1279" s="21"/>
      <c r="T1279" s="21"/>
      <c r="U1279" s="21"/>
      <c r="V1279" s="21"/>
      <c r="W1279" s="563"/>
      <c r="X1279" s="563"/>
      <c r="Y1279" s="563"/>
      <c r="Z1279" s="563"/>
      <c r="AA1279" s="563"/>
      <c r="AB1279" s="563"/>
      <c r="AC1279" s="563"/>
      <c r="AD1279" s="563"/>
      <c r="AE1279" s="563"/>
    </row>
    <row r="1280" spans="2:32" x14ac:dyDescent="0.2">
      <c r="C1280" s="9" t="s">
        <v>150</v>
      </c>
      <c r="D1280" s="9"/>
      <c r="F1280" s="9" t="s">
        <v>55</v>
      </c>
      <c r="G1280" s="44">
        <f>SUM(I1280:AE1280)</f>
        <v>12.625314509484257</v>
      </c>
      <c r="H1280" s="9"/>
      <c r="I1280" s="44">
        <f t="shared" ref="I1280:V1280" si="815">MAX(I1278,0)*$E$960</f>
        <v>0</v>
      </c>
      <c r="J1280" s="44">
        <f t="shared" si="815"/>
        <v>0</v>
      </c>
      <c r="K1280" s="44">
        <f t="shared" si="815"/>
        <v>0</v>
      </c>
      <c r="L1280" s="44">
        <f t="shared" si="815"/>
        <v>0</v>
      </c>
      <c r="M1280" s="44">
        <f t="shared" si="815"/>
        <v>0</v>
      </c>
      <c r="N1280" s="44">
        <f t="shared" si="815"/>
        <v>0</v>
      </c>
      <c r="O1280" s="44">
        <f t="shared" si="815"/>
        <v>0</v>
      </c>
      <c r="P1280" s="44">
        <f t="shared" si="815"/>
        <v>0</v>
      </c>
      <c r="Q1280" s="44">
        <f t="shared" si="815"/>
        <v>0</v>
      </c>
      <c r="R1280" s="44">
        <f t="shared" si="815"/>
        <v>0</v>
      </c>
      <c r="S1280" s="44">
        <f t="shared" si="815"/>
        <v>2.0014536327185075</v>
      </c>
      <c r="T1280" s="44">
        <f t="shared" si="815"/>
        <v>3.2370761988269039</v>
      </c>
      <c r="U1280" s="44">
        <f t="shared" si="815"/>
        <v>3.6823435297032412</v>
      </c>
      <c r="V1280" s="44">
        <f t="shared" si="815"/>
        <v>3.7044411482356043</v>
      </c>
      <c r="W1280" s="580"/>
      <c r="X1280" s="580"/>
      <c r="Y1280" s="580"/>
      <c r="Z1280" s="580"/>
      <c r="AA1280" s="580"/>
      <c r="AB1280" s="580"/>
      <c r="AC1280" s="580"/>
      <c r="AD1280" s="580"/>
      <c r="AE1280" s="580"/>
    </row>
    <row r="1281" spans="2:31" x14ac:dyDescent="0.2">
      <c r="C1281" s="5"/>
      <c r="D1281" s="5"/>
      <c r="G1281" s="21"/>
    </row>
    <row r="1282" spans="2:31" x14ac:dyDescent="0.2">
      <c r="C1282" s="63" t="s">
        <v>151</v>
      </c>
      <c r="D1282" s="63"/>
      <c r="G1282" s="21"/>
    </row>
    <row r="1283" spans="2:31" x14ac:dyDescent="0.2">
      <c r="C1283" s="1" t="s">
        <v>146</v>
      </c>
      <c r="F1283" s="1" t="s">
        <v>55</v>
      </c>
      <c r="G1283" s="21">
        <f>SUM(I1283:AE1283)</f>
        <v>91.396790540944011</v>
      </c>
      <c r="I1283" s="21">
        <f>I1267</f>
        <v>-0.18255310679703124</v>
      </c>
      <c r="J1283" s="21">
        <f t="shared" ref="J1283:V1283" si="816">J1267</f>
        <v>-0.37020633372671874</v>
      </c>
      <c r="K1283" s="21">
        <f>K1267</f>
        <v>-0.3598669244142188</v>
      </c>
      <c r="L1283" s="21">
        <f t="shared" si="816"/>
        <v>-0.3598669244142188</v>
      </c>
      <c r="M1283" s="21">
        <f t="shared" si="816"/>
        <v>-0.3598669244142188</v>
      </c>
      <c r="N1283" s="21">
        <f t="shared" si="816"/>
        <v>-0.3598669244142188</v>
      </c>
      <c r="O1283" s="21">
        <f t="shared" si="816"/>
        <v>-0.3598669244142188</v>
      </c>
      <c r="P1283" s="21">
        <f t="shared" si="816"/>
        <v>-0.3598669244142188</v>
      </c>
      <c r="Q1283" s="21">
        <f t="shared" si="816"/>
        <v>-0.71450244065553492</v>
      </c>
      <c r="R1283" s="21">
        <f t="shared" si="816"/>
        <v>-0.71450244065553492</v>
      </c>
      <c r="S1283" s="21">
        <f t="shared" si="816"/>
        <v>15.145316933170697</v>
      </c>
      <c r="T1283" s="21">
        <f t="shared" si="816"/>
        <v>24.495468776594052</v>
      </c>
      <c r="U1283" s="21">
        <f t="shared" si="816"/>
        <v>27.864877258442991</v>
      </c>
      <c r="V1283" s="21">
        <f t="shared" si="816"/>
        <v>28.032093441056411</v>
      </c>
      <c r="W1283" s="563"/>
      <c r="X1283" s="563"/>
      <c r="Y1283" s="563"/>
      <c r="Z1283" s="563"/>
      <c r="AA1283" s="563"/>
      <c r="AB1283" s="563"/>
      <c r="AC1283" s="563"/>
      <c r="AD1283" s="563"/>
      <c r="AE1283" s="563"/>
    </row>
    <row r="1284" spans="2:31" x14ac:dyDescent="0.2">
      <c r="C1284" s="5" t="s">
        <v>292</v>
      </c>
      <c r="D1284" s="5"/>
      <c r="F1284" s="1" t="s">
        <v>55</v>
      </c>
      <c r="G1284" s="21">
        <f>SUM(I1284:AE1284)</f>
        <v>10.876218074372337</v>
      </c>
      <c r="I1284" s="21">
        <f t="shared" ref="I1284:V1284" si="817">I1283*$E$975</f>
        <v>-2.1723819708846716E-2</v>
      </c>
      <c r="J1284" s="21">
        <f t="shared" si="817"/>
        <v>-4.4054553713479529E-2</v>
      </c>
      <c r="K1284" s="21">
        <f t="shared" si="817"/>
        <v>-4.2824164005292036E-2</v>
      </c>
      <c r="L1284" s="21">
        <f t="shared" si="817"/>
        <v>-4.2824164005292036E-2</v>
      </c>
      <c r="M1284" s="21">
        <f t="shared" si="817"/>
        <v>-4.2824164005292036E-2</v>
      </c>
      <c r="N1284" s="21">
        <f t="shared" si="817"/>
        <v>-4.2824164005292036E-2</v>
      </c>
      <c r="O1284" s="21">
        <f t="shared" si="817"/>
        <v>-4.2824164005292036E-2</v>
      </c>
      <c r="P1284" s="21">
        <f t="shared" si="817"/>
        <v>-4.2824164005292036E-2</v>
      </c>
      <c r="Q1284" s="21">
        <f t="shared" si="817"/>
        <v>-8.5025790438008647E-2</v>
      </c>
      <c r="R1284" s="21">
        <f t="shared" si="817"/>
        <v>-8.5025790438008647E-2</v>
      </c>
      <c r="S1284" s="21">
        <f t="shared" si="817"/>
        <v>1.8022927150473129</v>
      </c>
      <c r="T1284" s="21">
        <f t="shared" si="817"/>
        <v>2.9149607844146921</v>
      </c>
      <c r="U1284" s="21">
        <f t="shared" si="817"/>
        <v>3.3159203937547157</v>
      </c>
      <c r="V1284" s="21">
        <f t="shared" si="817"/>
        <v>3.3358191194857127</v>
      </c>
      <c r="W1284" s="563"/>
      <c r="X1284" s="563"/>
      <c r="Y1284" s="563"/>
      <c r="Z1284" s="563"/>
      <c r="AA1284" s="563"/>
      <c r="AB1284" s="563"/>
      <c r="AC1284" s="563"/>
      <c r="AD1284" s="563"/>
      <c r="AE1284" s="563"/>
    </row>
    <row r="1285" spans="2:31" x14ac:dyDescent="0.2">
      <c r="C1285" s="5" t="s">
        <v>130</v>
      </c>
      <c r="D1285" s="5"/>
      <c r="F1285" s="1" t="s">
        <v>55</v>
      </c>
      <c r="G1285" s="21">
        <f>SUM(I1285:AE1285)</f>
        <v>0</v>
      </c>
      <c r="I1285" s="52">
        <f>I1206</f>
        <v>0</v>
      </c>
      <c r="J1285" s="52">
        <f t="shared" ref="J1285:V1285" si="818">J1206</f>
        <v>0</v>
      </c>
      <c r="K1285" s="52">
        <f t="shared" si="818"/>
        <v>0</v>
      </c>
      <c r="L1285" s="52">
        <f t="shared" si="818"/>
        <v>0</v>
      </c>
      <c r="M1285" s="52">
        <f t="shared" si="818"/>
        <v>0</v>
      </c>
      <c r="N1285" s="52">
        <f t="shared" si="818"/>
        <v>0</v>
      </c>
      <c r="O1285" s="52">
        <f t="shared" si="818"/>
        <v>0</v>
      </c>
      <c r="P1285" s="52">
        <f t="shared" si="818"/>
        <v>0</v>
      </c>
      <c r="Q1285" s="52">
        <f t="shared" si="818"/>
        <v>0</v>
      </c>
      <c r="R1285" s="52">
        <f t="shared" si="818"/>
        <v>0</v>
      </c>
      <c r="S1285" s="52">
        <f t="shared" si="818"/>
        <v>0</v>
      </c>
      <c r="T1285" s="52">
        <f t="shared" si="818"/>
        <v>0</v>
      </c>
      <c r="U1285" s="52">
        <f t="shared" si="818"/>
        <v>0</v>
      </c>
      <c r="V1285" s="52">
        <f t="shared" si="818"/>
        <v>0</v>
      </c>
      <c r="W1285" s="563"/>
      <c r="X1285" s="563"/>
      <c r="Y1285" s="563"/>
      <c r="Z1285" s="563"/>
      <c r="AA1285" s="563"/>
      <c r="AB1285" s="563"/>
      <c r="AC1285" s="563"/>
      <c r="AD1285" s="563"/>
      <c r="AE1285" s="563"/>
    </row>
    <row r="1286" spans="2:31" x14ac:dyDescent="0.2">
      <c r="C1286" s="5"/>
      <c r="D1286" s="5"/>
      <c r="G1286" s="21"/>
      <c r="I1286" s="21"/>
      <c r="J1286" s="21"/>
      <c r="K1286" s="21"/>
      <c r="L1286" s="21"/>
      <c r="M1286" s="21"/>
      <c r="N1286" s="21"/>
      <c r="O1286" s="21"/>
      <c r="P1286" s="21"/>
      <c r="Q1286" s="21"/>
      <c r="R1286" s="21"/>
      <c r="S1286" s="21"/>
      <c r="T1286" s="21"/>
      <c r="U1286" s="21"/>
      <c r="V1286" s="21"/>
      <c r="W1286" s="563"/>
      <c r="X1286" s="563"/>
      <c r="Y1286" s="563"/>
      <c r="Z1286" s="563"/>
      <c r="AA1286" s="563"/>
      <c r="AB1286" s="563"/>
      <c r="AC1286" s="563"/>
      <c r="AD1286" s="563"/>
      <c r="AE1286" s="563"/>
    </row>
    <row r="1287" spans="2:31" x14ac:dyDescent="0.2">
      <c r="C1287" s="20" t="s">
        <v>291</v>
      </c>
      <c r="D1287" s="20"/>
      <c r="E1287" s="9"/>
      <c r="F1287" s="9" t="s">
        <v>55</v>
      </c>
      <c r="G1287" s="44">
        <f>SUM(I1287:AE1287)</f>
        <v>11.368993012702434</v>
      </c>
      <c r="H1287" s="9"/>
      <c r="I1287" s="44">
        <f>MAX(I1284,0)+I1285</f>
        <v>0</v>
      </c>
      <c r="J1287" s="44">
        <f t="shared" ref="J1287:V1287" si="819">MAX(J1284,0)+J1285</f>
        <v>0</v>
      </c>
      <c r="K1287" s="44">
        <f>MAX(K1284,0)+K1285</f>
        <v>0</v>
      </c>
      <c r="L1287" s="44">
        <f t="shared" si="819"/>
        <v>0</v>
      </c>
      <c r="M1287" s="44">
        <f t="shared" si="819"/>
        <v>0</v>
      </c>
      <c r="N1287" s="44">
        <f t="shared" si="819"/>
        <v>0</v>
      </c>
      <c r="O1287" s="44">
        <f t="shared" si="819"/>
        <v>0</v>
      </c>
      <c r="P1287" s="44">
        <f t="shared" si="819"/>
        <v>0</v>
      </c>
      <c r="Q1287" s="44">
        <f t="shared" si="819"/>
        <v>0</v>
      </c>
      <c r="R1287" s="44">
        <f t="shared" si="819"/>
        <v>0</v>
      </c>
      <c r="S1287" s="44">
        <f t="shared" si="819"/>
        <v>1.8022927150473129</v>
      </c>
      <c r="T1287" s="44">
        <f t="shared" si="819"/>
        <v>2.9149607844146921</v>
      </c>
      <c r="U1287" s="44">
        <f t="shared" si="819"/>
        <v>3.3159203937547157</v>
      </c>
      <c r="V1287" s="44">
        <f t="shared" si="819"/>
        <v>3.3358191194857127</v>
      </c>
      <c r="W1287" s="580"/>
      <c r="X1287" s="580"/>
      <c r="Y1287" s="580"/>
      <c r="Z1287" s="580"/>
      <c r="AA1287" s="580"/>
      <c r="AB1287" s="580"/>
      <c r="AC1287" s="580"/>
      <c r="AD1287" s="580"/>
      <c r="AE1287" s="580"/>
    </row>
    <row r="1288" spans="2:31" x14ac:dyDescent="0.2">
      <c r="C1288" s="5"/>
      <c r="D1288" s="5"/>
      <c r="G1288" s="21"/>
    </row>
    <row r="1289" spans="2:31" x14ac:dyDescent="0.2">
      <c r="C1289" s="20" t="s">
        <v>152</v>
      </c>
      <c r="D1289" s="20"/>
      <c r="F1289" s="9" t="s">
        <v>55</v>
      </c>
      <c r="G1289" s="44">
        <f>SUM(I1289:AE1289)</f>
        <v>23.994307522186688</v>
      </c>
      <c r="I1289" s="44">
        <f>I1280+I1287</f>
        <v>0</v>
      </c>
      <c r="J1289" s="44">
        <f t="shared" ref="J1289:V1289" si="820">J1280+J1287</f>
        <v>0</v>
      </c>
      <c r="K1289" s="44">
        <f>K1280+K1287</f>
        <v>0</v>
      </c>
      <c r="L1289" s="44">
        <f t="shared" si="820"/>
        <v>0</v>
      </c>
      <c r="M1289" s="44">
        <f t="shared" si="820"/>
        <v>0</v>
      </c>
      <c r="N1289" s="44">
        <f t="shared" si="820"/>
        <v>0</v>
      </c>
      <c r="O1289" s="44">
        <f t="shared" si="820"/>
        <v>0</v>
      </c>
      <c r="P1289" s="44">
        <f t="shared" si="820"/>
        <v>0</v>
      </c>
      <c r="Q1289" s="44">
        <f t="shared" si="820"/>
        <v>0</v>
      </c>
      <c r="R1289" s="44">
        <f t="shared" si="820"/>
        <v>0</v>
      </c>
      <c r="S1289" s="44">
        <f t="shared" si="820"/>
        <v>3.8037463477658204</v>
      </c>
      <c r="T1289" s="44">
        <f t="shared" si="820"/>
        <v>6.1520369832415955</v>
      </c>
      <c r="U1289" s="44">
        <f t="shared" si="820"/>
        <v>6.9982639234579569</v>
      </c>
      <c r="V1289" s="44">
        <f t="shared" si="820"/>
        <v>7.0402602677213171</v>
      </c>
      <c r="W1289" s="580"/>
      <c r="X1289" s="580"/>
      <c r="Y1289" s="580"/>
      <c r="Z1289" s="580"/>
      <c r="AA1289" s="580"/>
      <c r="AB1289" s="580"/>
      <c r="AC1289" s="580"/>
      <c r="AD1289" s="580"/>
      <c r="AE1289" s="580"/>
    </row>
    <row r="1290" spans="2:31" x14ac:dyDescent="0.2">
      <c r="C1290" s="5"/>
      <c r="D1290" s="5"/>
      <c r="N1290" s="21"/>
    </row>
    <row r="1291" spans="2:31" x14ac:dyDescent="0.2">
      <c r="B1291" s="6"/>
      <c r="C1291" s="6"/>
      <c r="D1291" s="6"/>
      <c r="E1291" s="7"/>
      <c r="F1291" s="6"/>
      <c r="G1291" s="6"/>
      <c r="H1291" s="6"/>
      <c r="I1291" s="6"/>
      <c r="J1291" s="6"/>
      <c r="K1291" s="6"/>
      <c r="L1291" s="6"/>
      <c r="M1291" s="6"/>
      <c r="N1291" s="6"/>
      <c r="O1291" s="6"/>
      <c r="P1291" s="6"/>
      <c r="Q1291" s="6"/>
      <c r="R1291" s="6"/>
      <c r="S1291" s="6"/>
      <c r="T1291" s="6"/>
      <c r="U1291" s="6"/>
      <c r="V1291" s="6"/>
    </row>
    <row r="1292" spans="2:31" x14ac:dyDescent="0.2">
      <c r="C1292" s="5"/>
      <c r="D1292" s="5"/>
    </row>
    <row r="1293" spans="2:31" x14ac:dyDescent="0.2">
      <c r="B1293" s="8">
        <f>B1252+1</f>
        <v>12</v>
      </c>
      <c r="C1293" s="20" t="s">
        <v>153</v>
      </c>
      <c r="D1293" s="20"/>
    </row>
    <row r="1294" spans="2:31" x14ac:dyDescent="0.2">
      <c r="C1294" s="5"/>
      <c r="D1294" s="5"/>
    </row>
    <row r="1295" spans="2:31" x14ac:dyDescent="0.2">
      <c r="B1295" s="10">
        <f>B1293+0.1</f>
        <v>12.1</v>
      </c>
      <c r="C1295" s="9" t="s">
        <v>154</v>
      </c>
      <c r="D1295" s="9"/>
    </row>
    <row r="1296" spans="2:31" x14ac:dyDescent="0.2">
      <c r="C1296" s="1" t="s">
        <v>155</v>
      </c>
      <c r="F1296" s="1" t="s">
        <v>55</v>
      </c>
      <c r="I1296" s="21">
        <f>I1248</f>
        <v>0</v>
      </c>
      <c r="J1296" s="21">
        <f>J1248</f>
        <v>0</v>
      </c>
      <c r="K1296" s="21">
        <f>K1248</f>
        <v>2.2204460492503131E-16</v>
      </c>
      <c r="L1296" s="21">
        <f t="shared" ref="L1296:V1296" si="821">L1248</f>
        <v>2.2204460492503131E-16</v>
      </c>
      <c r="M1296" s="21">
        <f t="shared" si="821"/>
        <v>2.2204460492503131E-16</v>
      </c>
      <c r="N1296" s="21">
        <f t="shared" si="821"/>
        <v>2.2204460492503131E-16</v>
      </c>
      <c r="O1296" s="21">
        <f t="shared" si="821"/>
        <v>2.2204460492503131E-16</v>
      </c>
      <c r="P1296" s="21">
        <f t="shared" si="821"/>
        <v>2.2204460492503131E-16</v>
      </c>
      <c r="Q1296" s="21">
        <f t="shared" si="821"/>
        <v>2.2204460492503131E-16</v>
      </c>
      <c r="R1296" s="21">
        <f t="shared" si="821"/>
        <v>2.2204460492503131E-16</v>
      </c>
      <c r="S1296" s="21">
        <f t="shared" si="821"/>
        <v>2.6609863046416287</v>
      </c>
      <c r="T1296" s="21">
        <f t="shared" si="821"/>
        <v>19.721646026814547</v>
      </c>
      <c r="U1296" s="21">
        <f t="shared" si="821"/>
        <v>46.126967809220403</v>
      </c>
      <c r="V1296" s="21">
        <f t="shared" si="821"/>
        <v>71.744255918018553</v>
      </c>
      <c r="W1296" s="563"/>
      <c r="X1296" s="563"/>
      <c r="Y1296" s="563"/>
      <c r="Z1296" s="563"/>
      <c r="AA1296" s="563"/>
      <c r="AB1296" s="563"/>
      <c r="AC1296" s="563"/>
      <c r="AD1296" s="563"/>
      <c r="AE1296" s="563"/>
    </row>
    <row r="1297" spans="2:31" x14ac:dyDescent="0.2">
      <c r="C1297" s="1" t="s">
        <v>99</v>
      </c>
      <c r="F1297" s="1" t="s">
        <v>55</v>
      </c>
      <c r="I1297" s="21">
        <f t="shared" ref="I1297:V1297" si="822">I912</f>
        <v>0</v>
      </c>
      <c r="J1297" s="21">
        <f t="shared" si="822"/>
        <v>0</v>
      </c>
      <c r="K1297" s="21">
        <f t="shared" si="822"/>
        <v>0</v>
      </c>
      <c r="L1297" s="21">
        <f t="shared" si="822"/>
        <v>0</v>
      </c>
      <c r="M1297" s="21">
        <f t="shared" si="822"/>
        <v>0</v>
      </c>
      <c r="N1297" s="21">
        <f t="shared" si="822"/>
        <v>0</v>
      </c>
      <c r="O1297" s="21">
        <f t="shared" si="822"/>
        <v>0</v>
      </c>
      <c r="P1297" s="21">
        <f t="shared" si="822"/>
        <v>0</v>
      </c>
      <c r="Q1297" s="21">
        <f t="shared" si="822"/>
        <v>0</v>
      </c>
      <c r="R1297" s="21">
        <f t="shared" si="822"/>
        <v>0</v>
      </c>
      <c r="S1297" s="21">
        <f t="shared" si="822"/>
        <v>12.047792383561642</v>
      </c>
      <c r="T1297" s="21">
        <f t="shared" si="822"/>
        <v>18.071688575342467</v>
      </c>
      <c r="U1297" s="21">
        <f t="shared" si="822"/>
        <v>24.095584767123285</v>
      </c>
      <c r="V1297" s="21">
        <f t="shared" si="822"/>
        <v>24.095584767123285</v>
      </c>
      <c r="W1297" s="563"/>
      <c r="X1297" s="563"/>
      <c r="Y1297" s="563"/>
      <c r="Z1297" s="563"/>
      <c r="AA1297" s="563"/>
      <c r="AB1297" s="563"/>
      <c r="AC1297" s="563"/>
      <c r="AD1297" s="563"/>
      <c r="AE1297" s="563"/>
    </row>
    <row r="1298" spans="2:31" x14ac:dyDescent="0.2">
      <c r="C1298" s="1" t="s">
        <v>156</v>
      </c>
      <c r="F1298" s="1" t="s">
        <v>55</v>
      </c>
      <c r="I1298" s="21">
        <f>I1324</f>
        <v>3.00687975</v>
      </c>
      <c r="J1298" s="21">
        <f t="shared" ref="J1298:V1298" si="823">J1324</f>
        <v>8.9430422499999995</v>
      </c>
      <c r="K1298" s="21">
        <f>K1324</f>
        <v>9.9999422500000001</v>
      </c>
      <c r="L1298" s="21">
        <f>L1324</f>
        <v>56.557541166478941</v>
      </c>
      <c r="M1298" s="21">
        <f t="shared" si="823"/>
        <v>114.75453981207761</v>
      </c>
      <c r="N1298" s="21">
        <f t="shared" si="823"/>
        <v>184.59093818679602</v>
      </c>
      <c r="O1298" s="21">
        <f t="shared" si="823"/>
        <v>254.42733656151444</v>
      </c>
      <c r="P1298" s="21">
        <f t="shared" si="823"/>
        <v>324.26373493623282</v>
      </c>
      <c r="Q1298" s="21">
        <f t="shared" si="823"/>
        <v>394.10013331095126</v>
      </c>
      <c r="R1298" s="21">
        <f t="shared" si="823"/>
        <v>452.29713195654995</v>
      </c>
      <c r="S1298" s="21">
        <f t="shared" si="823"/>
        <v>475.57593141478941</v>
      </c>
      <c r="T1298" s="21">
        <f t="shared" si="823"/>
        <v>475.57593141478941</v>
      </c>
      <c r="U1298" s="21">
        <f t="shared" si="823"/>
        <v>469.63123227210457</v>
      </c>
      <c r="V1298" s="21">
        <f t="shared" si="823"/>
        <v>463.68653312941973</v>
      </c>
      <c r="W1298" s="563"/>
      <c r="X1298" s="563"/>
      <c r="Y1298" s="563"/>
      <c r="Z1298" s="563"/>
      <c r="AA1298" s="563"/>
      <c r="AB1298" s="563"/>
      <c r="AC1298" s="563"/>
      <c r="AD1298" s="563"/>
      <c r="AE1298" s="563"/>
    </row>
    <row r="1299" spans="2:31" x14ac:dyDescent="0.2">
      <c r="C1299" s="1" t="s">
        <v>157</v>
      </c>
      <c r="F1299" s="1" t="s">
        <v>55</v>
      </c>
      <c r="I1299" s="21">
        <f>I917+I922+I927</f>
        <v>0</v>
      </c>
      <c r="J1299" s="21">
        <f t="shared" ref="J1299:V1299" si="824">J917+J922+J927</f>
        <v>0</v>
      </c>
      <c r="K1299" s="21">
        <f t="shared" si="824"/>
        <v>0</v>
      </c>
      <c r="L1299" s="21">
        <f t="shared" si="824"/>
        <v>0</v>
      </c>
      <c r="M1299" s="21">
        <f t="shared" si="824"/>
        <v>0</v>
      </c>
      <c r="N1299" s="21">
        <f t="shared" si="824"/>
        <v>0</v>
      </c>
      <c r="O1299" s="21">
        <f t="shared" si="824"/>
        <v>0</v>
      </c>
      <c r="P1299" s="21">
        <f t="shared" si="824"/>
        <v>0</v>
      </c>
      <c r="Q1299" s="21">
        <f t="shared" si="824"/>
        <v>0</v>
      </c>
      <c r="R1299" s="21">
        <f t="shared" si="824"/>
        <v>0</v>
      </c>
      <c r="S1299" s="21">
        <f t="shared" si="824"/>
        <v>10.035817599425336</v>
      </c>
      <c r="T1299" s="21">
        <f t="shared" si="824"/>
        <v>14.624869487070479</v>
      </c>
      <c r="U1299" s="21">
        <f t="shared" si="824"/>
        <v>19.244475810414766</v>
      </c>
      <c r="V1299" s="21">
        <f t="shared" si="824"/>
        <v>19.170796345546126</v>
      </c>
      <c r="W1299" s="563"/>
      <c r="X1299" s="563"/>
      <c r="Y1299" s="563"/>
      <c r="Z1299" s="563"/>
      <c r="AA1299" s="563"/>
      <c r="AB1299" s="563"/>
      <c r="AC1299" s="563"/>
      <c r="AD1299" s="563"/>
      <c r="AE1299" s="563"/>
    </row>
    <row r="1300" spans="2:31" x14ac:dyDescent="0.2">
      <c r="C1300" s="1" t="s">
        <v>158</v>
      </c>
      <c r="F1300" s="1" t="s">
        <v>55</v>
      </c>
      <c r="I1300" s="21">
        <f>-(I1359&lt;0)*I1359</f>
        <v>0</v>
      </c>
      <c r="J1300" s="21">
        <f t="shared" ref="J1300:V1300" si="825">-(J1359&lt;0)*J1359</f>
        <v>0</v>
      </c>
      <c r="K1300" s="21">
        <f>-(K1359&lt;0)*K1359</f>
        <v>0</v>
      </c>
      <c r="L1300" s="21">
        <f t="shared" si="825"/>
        <v>0</v>
      </c>
      <c r="M1300" s="21">
        <f t="shared" si="825"/>
        <v>0</v>
      </c>
      <c r="N1300" s="21">
        <f t="shared" si="825"/>
        <v>0</v>
      </c>
      <c r="O1300" s="21">
        <f t="shared" si="825"/>
        <v>0</v>
      </c>
      <c r="P1300" s="21">
        <f t="shared" si="825"/>
        <v>0</v>
      </c>
      <c r="Q1300" s="21">
        <f t="shared" si="825"/>
        <v>0</v>
      </c>
      <c r="R1300" s="21">
        <f t="shared" si="825"/>
        <v>0</v>
      </c>
      <c r="S1300" s="21">
        <f t="shared" si="825"/>
        <v>0</v>
      </c>
      <c r="T1300" s="21">
        <f t="shared" si="825"/>
        <v>0</v>
      </c>
      <c r="U1300" s="21">
        <f t="shared" si="825"/>
        <v>0</v>
      </c>
      <c r="V1300" s="21">
        <f t="shared" si="825"/>
        <v>0</v>
      </c>
      <c r="W1300" s="563"/>
      <c r="X1300" s="563"/>
      <c r="Y1300" s="563"/>
      <c r="Z1300" s="563"/>
      <c r="AA1300" s="563"/>
      <c r="AB1300" s="563"/>
      <c r="AC1300" s="563"/>
      <c r="AD1300" s="563"/>
      <c r="AE1300" s="563"/>
    </row>
    <row r="1301" spans="2:31" x14ac:dyDescent="0.2">
      <c r="C1301" s="1" t="s">
        <v>294</v>
      </c>
      <c r="F1301" s="1" t="s">
        <v>55</v>
      </c>
      <c r="I1301" s="21">
        <f>I1579+I1662+I1730</f>
        <v>0.94240419799883646</v>
      </c>
      <c r="J1301" s="21">
        <f t="shared" ref="J1301:V1301" si="826">J1579+J1662+J1730</f>
        <v>1.8348083959976729</v>
      </c>
      <c r="K1301" s="21">
        <f t="shared" si="826"/>
        <v>2.7709625939965097</v>
      </c>
      <c r="L1301" s="21">
        <f t="shared" si="826"/>
        <v>10.166020583309049</v>
      </c>
      <c r="M1301" s="21">
        <f t="shared" si="826"/>
        <v>10.868612103077412</v>
      </c>
      <c r="N1301" s="21">
        <f t="shared" si="826"/>
        <v>11.458189048958458</v>
      </c>
      <c r="O1301" s="21">
        <f t="shared" si="826"/>
        <v>11.924477368780609</v>
      </c>
      <c r="P1301" s="21">
        <f t="shared" si="826"/>
        <v>12.267477062543863</v>
      </c>
      <c r="Q1301" s="21">
        <f t="shared" si="826"/>
        <v>12.132552614006906</v>
      </c>
      <c r="R1301" s="21">
        <f t="shared" si="826"/>
        <v>11.884613591582628</v>
      </c>
      <c r="S1301" s="21">
        <f t="shared" si="826"/>
        <v>11.465679970998163</v>
      </c>
      <c r="T1301" s="21">
        <f t="shared" si="826"/>
        <v>11.067294454756848</v>
      </c>
      <c r="U1301" s="21">
        <f t="shared" si="826"/>
        <v>10.668908938515532</v>
      </c>
      <c r="V1301" s="21">
        <f t="shared" si="826"/>
        <v>10.270523422274215</v>
      </c>
      <c r="W1301" s="563"/>
      <c r="X1301" s="563"/>
      <c r="Y1301" s="563"/>
      <c r="Z1301" s="563"/>
      <c r="AA1301" s="563"/>
      <c r="AB1301" s="563"/>
      <c r="AC1301" s="563"/>
      <c r="AD1301" s="563"/>
      <c r="AE1301" s="563"/>
    </row>
    <row r="1302" spans="2:31" x14ac:dyDescent="0.2">
      <c r="C1302" s="9" t="s">
        <v>159</v>
      </c>
      <c r="D1302" s="9"/>
      <c r="F1302" s="9" t="s">
        <v>55</v>
      </c>
      <c r="G1302" s="9"/>
      <c r="H1302" s="9"/>
      <c r="I1302" s="44">
        <f>SUM(I1296:I1301)</f>
        <v>3.9492839479988362</v>
      </c>
      <c r="J1302" s="44">
        <f t="shared" ref="J1302:V1302" si="827">SUM(J1296:J1301)</f>
        <v>10.777850645997672</v>
      </c>
      <c r="K1302" s="44">
        <f>SUM(K1296:K1301)</f>
        <v>12.77090484399651</v>
      </c>
      <c r="L1302" s="44">
        <f t="shared" si="827"/>
        <v>66.72356174978799</v>
      </c>
      <c r="M1302" s="44">
        <f t="shared" si="827"/>
        <v>125.62315191515502</v>
      </c>
      <c r="N1302" s="44">
        <f t="shared" si="827"/>
        <v>196.04912723575447</v>
      </c>
      <c r="O1302" s="44">
        <f t="shared" si="827"/>
        <v>266.35181393029507</v>
      </c>
      <c r="P1302" s="44">
        <f t="shared" si="827"/>
        <v>336.53121199877671</v>
      </c>
      <c r="Q1302" s="44">
        <f t="shared" si="827"/>
        <v>406.23268592495816</v>
      </c>
      <c r="R1302" s="44">
        <f t="shared" si="827"/>
        <v>464.1817455481326</v>
      </c>
      <c r="S1302" s="44">
        <f t="shared" si="827"/>
        <v>511.78620767341619</v>
      </c>
      <c r="T1302" s="44">
        <f t="shared" si="827"/>
        <v>539.06142995877372</v>
      </c>
      <c r="U1302" s="44">
        <f t="shared" si="827"/>
        <v>569.7671695973786</v>
      </c>
      <c r="V1302" s="44">
        <f t="shared" si="827"/>
        <v>588.96769358238191</v>
      </c>
      <c r="W1302" s="580"/>
      <c r="X1302" s="580"/>
      <c r="Y1302" s="580"/>
      <c r="Z1302" s="580"/>
      <c r="AA1302" s="580"/>
      <c r="AB1302" s="580"/>
      <c r="AC1302" s="580"/>
      <c r="AD1302" s="580"/>
      <c r="AE1302" s="580"/>
    </row>
    <row r="1303" spans="2:31" x14ac:dyDescent="0.2">
      <c r="C1303" s="20"/>
      <c r="D1303" s="20"/>
    </row>
    <row r="1304" spans="2:31" x14ac:dyDescent="0.2">
      <c r="B1304" s="10">
        <f>B1295+0.1</f>
        <v>12.2</v>
      </c>
      <c r="C1304" s="9" t="s">
        <v>160</v>
      </c>
      <c r="D1304" s="9"/>
    </row>
    <row r="1305" spans="2:31" x14ac:dyDescent="0.2">
      <c r="C1305" s="1" t="s">
        <v>110</v>
      </c>
      <c r="F1305" s="1" t="s">
        <v>55</v>
      </c>
      <c r="I1305" s="21">
        <f t="shared" ref="I1305:V1305" si="828">-I930-I933</f>
        <v>0</v>
      </c>
      <c r="J1305" s="21">
        <f t="shared" si="828"/>
        <v>0</v>
      </c>
      <c r="K1305" s="21">
        <f t="shared" si="828"/>
        <v>0</v>
      </c>
      <c r="L1305" s="21">
        <f t="shared" si="828"/>
        <v>0</v>
      </c>
      <c r="M1305" s="21">
        <f t="shared" si="828"/>
        <v>0</v>
      </c>
      <c r="N1305" s="21">
        <f t="shared" si="828"/>
        <v>0</v>
      </c>
      <c r="O1305" s="21">
        <f t="shared" si="828"/>
        <v>0</v>
      </c>
      <c r="P1305" s="21">
        <f t="shared" si="828"/>
        <v>0</v>
      </c>
      <c r="Q1305" s="21">
        <f t="shared" si="828"/>
        <v>0</v>
      </c>
      <c r="R1305" s="21">
        <f t="shared" si="828"/>
        <v>0</v>
      </c>
      <c r="S1305" s="21">
        <f t="shared" si="828"/>
        <v>12.929037169901557</v>
      </c>
      <c r="T1305" s="21">
        <f t="shared" si="828"/>
        <v>18.535841930717279</v>
      </c>
      <c r="U1305" s="21">
        <f t="shared" si="828"/>
        <v>24.203755562931295</v>
      </c>
      <c r="V1305" s="21">
        <f t="shared" si="828"/>
        <v>24.056396633194019</v>
      </c>
      <c r="W1305" s="563"/>
      <c r="X1305" s="563"/>
      <c r="Y1305" s="563"/>
      <c r="Z1305" s="563"/>
      <c r="AA1305" s="563"/>
      <c r="AB1305" s="563"/>
      <c r="AC1305" s="563"/>
      <c r="AD1305" s="563"/>
      <c r="AE1305" s="563"/>
    </row>
    <row r="1306" spans="2:31" x14ac:dyDescent="0.2">
      <c r="C1306" s="1" t="s">
        <v>161</v>
      </c>
      <c r="F1306" s="1" t="s">
        <v>55</v>
      </c>
      <c r="I1306" s="45">
        <f>I1558</f>
        <v>0</v>
      </c>
      <c r="J1306" s="45">
        <f t="shared" ref="J1306:V1306" si="829">J1558</f>
        <v>0</v>
      </c>
      <c r="K1306" s="45">
        <f>K1558</f>
        <v>0</v>
      </c>
      <c r="L1306" s="45">
        <f t="shared" si="829"/>
        <v>33</v>
      </c>
      <c r="M1306" s="45">
        <f t="shared" si="829"/>
        <v>74.25</v>
      </c>
      <c r="N1306" s="45">
        <f t="shared" si="829"/>
        <v>123.75</v>
      </c>
      <c r="O1306" s="45">
        <f t="shared" si="829"/>
        <v>173.25</v>
      </c>
      <c r="P1306" s="45">
        <f t="shared" si="829"/>
        <v>222.75</v>
      </c>
      <c r="Q1306" s="45">
        <f t="shared" si="829"/>
        <v>272.25</v>
      </c>
      <c r="R1306" s="45">
        <f t="shared" si="829"/>
        <v>313.5</v>
      </c>
      <c r="S1306" s="45">
        <f t="shared" si="829"/>
        <v>321.31578947368422</v>
      </c>
      <c r="T1306" s="45">
        <f t="shared" si="829"/>
        <v>312.63157894736844</v>
      </c>
      <c r="U1306" s="45">
        <f t="shared" si="829"/>
        <v>303.94736842105266</v>
      </c>
      <c r="V1306" s="45">
        <f t="shared" si="829"/>
        <v>295.26315789473688</v>
      </c>
      <c r="W1306" s="568"/>
      <c r="X1306" s="568"/>
      <c r="Y1306" s="568"/>
      <c r="Z1306" s="568"/>
      <c r="AA1306" s="568"/>
      <c r="AB1306" s="568"/>
      <c r="AC1306" s="568"/>
      <c r="AD1306" s="568"/>
      <c r="AE1306" s="568"/>
    </row>
    <row r="1307" spans="2:31" x14ac:dyDescent="0.2">
      <c r="C1307" s="1" t="s">
        <v>470</v>
      </c>
      <c r="F1307" s="1" t="s">
        <v>55</v>
      </c>
      <c r="I1307" s="45">
        <f t="shared" ref="I1307:V1307" si="830">I949</f>
        <v>0</v>
      </c>
      <c r="J1307" s="45">
        <f t="shared" si="830"/>
        <v>0</v>
      </c>
      <c r="K1307" s="45">
        <f t="shared" si="830"/>
        <v>0</v>
      </c>
      <c r="L1307" s="45">
        <f t="shared" si="830"/>
        <v>0</v>
      </c>
      <c r="M1307" s="45">
        <f t="shared" si="830"/>
        <v>0</v>
      </c>
      <c r="N1307" s="45">
        <f t="shared" si="830"/>
        <v>0</v>
      </c>
      <c r="O1307" s="45">
        <f t="shared" si="830"/>
        <v>0</v>
      </c>
      <c r="P1307" s="45">
        <f t="shared" si="830"/>
        <v>0</v>
      </c>
      <c r="Q1307" s="45">
        <f t="shared" si="830"/>
        <v>0</v>
      </c>
      <c r="R1307" s="45">
        <f t="shared" si="830"/>
        <v>0</v>
      </c>
      <c r="S1307" s="45">
        <f t="shared" si="830"/>
        <v>11.714318548527149</v>
      </c>
      <c r="T1307" s="45">
        <f t="shared" si="830"/>
        <v>17.57147782279073</v>
      </c>
      <c r="U1307" s="45">
        <f t="shared" si="830"/>
        <v>23.428637097054299</v>
      </c>
      <c r="V1307" s="45">
        <f t="shared" si="830"/>
        <v>23.428637097054299</v>
      </c>
      <c r="W1307" s="568"/>
      <c r="X1307" s="568"/>
      <c r="Y1307" s="568"/>
      <c r="Z1307" s="568"/>
      <c r="AA1307" s="568"/>
      <c r="AB1307" s="568"/>
      <c r="AC1307" s="568"/>
      <c r="AD1307" s="568"/>
      <c r="AE1307" s="568"/>
    </row>
    <row r="1308" spans="2:31" x14ac:dyDescent="0.2">
      <c r="C1308" s="1" t="s">
        <v>774</v>
      </c>
      <c r="F1308" s="1" t="s">
        <v>55</v>
      </c>
      <c r="I1308" s="45">
        <f>I1641</f>
        <v>0</v>
      </c>
      <c r="J1308" s="45">
        <f t="shared" ref="J1308:V1308" si="831">J1641</f>
        <v>0</v>
      </c>
      <c r="K1308" s="45">
        <f t="shared" si="831"/>
        <v>0</v>
      </c>
      <c r="L1308" s="45">
        <f t="shared" si="831"/>
        <v>0</v>
      </c>
      <c r="M1308" s="45">
        <f t="shared" si="831"/>
        <v>0</v>
      </c>
      <c r="N1308" s="45">
        <f t="shared" si="831"/>
        <v>0</v>
      </c>
      <c r="O1308" s="45">
        <f t="shared" si="831"/>
        <v>0</v>
      </c>
      <c r="P1308" s="45">
        <f t="shared" si="831"/>
        <v>0</v>
      </c>
      <c r="Q1308" s="45">
        <f t="shared" si="831"/>
        <v>0</v>
      </c>
      <c r="R1308" s="45">
        <f t="shared" si="831"/>
        <v>0</v>
      </c>
      <c r="S1308" s="45">
        <f t="shared" si="831"/>
        <v>0</v>
      </c>
      <c r="T1308" s="45">
        <f t="shared" si="831"/>
        <v>0</v>
      </c>
      <c r="U1308" s="45">
        <f t="shared" si="831"/>
        <v>0</v>
      </c>
      <c r="V1308" s="45">
        <f t="shared" si="831"/>
        <v>0</v>
      </c>
      <c r="W1308" s="568"/>
      <c r="X1308" s="568"/>
      <c r="Y1308" s="568"/>
      <c r="Z1308" s="568"/>
      <c r="AA1308" s="568"/>
      <c r="AB1308" s="568"/>
      <c r="AC1308" s="568"/>
      <c r="AD1308" s="568"/>
      <c r="AE1308" s="568"/>
    </row>
    <row r="1309" spans="2:31" x14ac:dyDescent="0.2">
      <c r="C1309" s="1" t="s">
        <v>944</v>
      </c>
      <c r="F1309" s="1" t="s">
        <v>55</v>
      </c>
      <c r="I1309" s="45">
        <f>I1718</f>
        <v>3.00687975</v>
      </c>
      <c r="J1309" s="45">
        <f t="shared" ref="J1309:V1309" si="832">J1718</f>
        <v>8.9430422499999995</v>
      </c>
      <c r="K1309" s="45">
        <f t="shared" si="832"/>
        <v>9.9999422500000001</v>
      </c>
      <c r="L1309" s="45">
        <f t="shared" si="832"/>
        <v>9.9999422500000001</v>
      </c>
      <c r="M1309" s="45">
        <f t="shared" si="832"/>
        <v>9.9999422500000001</v>
      </c>
      <c r="N1309" s="45">
        <f t="shared" si="832"/>
        <v>9.9999422500000001</v>
      </c>
      <c r="O1309" s="45">
        <f t="shared" si="832"/>
        <v>9.9999422500000001</v>
      </c>
      <c r="P1309" s="45">
        <f t="shared" si="832"/>
        <v>9.9999422500000001</v>
      </c>
      <c r="Q1309" s="45">
        <f t="shared" si="832"/>
        <v>9.9999422500000001</v>
      </c>
      <c r="R1309" s="45">
        <f t="shared" si="832"/>
        <v>9.9999422500000001</v>
      </c>
      <c r="S1309" s="45">
        <f t="shared" si="832"/>
        <v>9.9999422500000001</v>
      </c>
      <c r="T1309" s="45">
        <f t="shared" si="832"/>
        <v>9.9999422500000001</v>
      </c>
      <c r="U1309" s="45">
        <f t="shared" si="832"/>
        <v>9.9999422500000001</v>
      </c>
      <c r="V1309" s="45">
        <f t="shared" si="832"/>
        <v>9.9999422500000001</v>
      </c>
      <c r="W1309" s="568"/>
      <c r="X1309" s="568"/>
      <c r="Y1309" s="568"/>
      <c r="Z1309" s="568"/>
      <c r="AA1309" s="568"/>
      <c r="AB1309" s="568"/>
      <c r="AC1309" s="568"/>
      <c r="AD1309" s="568"/>
      <c r="AE1309" s="568"/>
    </row>
    <row r="1310" spans="2:31" x14ac:dyDescent="0.2">
      <c r="C1310" s="1" t="s">
        <v>162</v>
      </c>
      <c r="F1310" s="1" t="s">
        <v>55</v>
      </c>
      <c r="I1310" s="21">
        <f>(I1359&gt;0)*I1359</f>
        <v>0</v>
      </c>
      <c r="J1310" s="21">
        <f t="shared" ref="J1310:V1310" si="833">(J1359&gt;0)*J1359</f>
        <v>0</v>
      </c>
      <c r="K1310" s="21">
        <f>(K1359&gt;0)*K1359</f>
        <v>0</v>
      </c>
      <c r="L1310" s="21">
        <f t="shared" si="833"/>
        <v>0</v>
      </c>
      <c r="M1310" s="21">
        <f t="shared" si="833"/>
        <v>0</v>
      </c>
      <c r="N1310" s="21">
        <f t="shared" si="833"/>
        <v>0</v>
      </c>
      <c r="O1310" s="21">
        <f t="shared" si="833"/>
        <v>0</v>
      </c>
      <c r="P1310" s="21">
        <f t="shared" si="833"/>
        <v>0</v>
      </c>
      <c r="Q1310" s="21">
        <f t="shared" si="833"/>
        <v>2.3992221887665348</v>
      </c>
      <c r="R1310" s="21">
        <f t="shared" si="833"/>
        <v>4.7984443775330696</v>
      </c>
      <c r="S1310" s="21">
        <f t="shared" si="833"/>
        <v>7.1976665662996044</v>
      </c>
      <c r="T1310" s="21">
        <f t="shared" si="833"/>
        <v>9.5968887550661393</v>
      </c>
      <c r="U1310" s="21">
        <f t="shared" si="833"/>
        <v>13.106519802860959</v>
      </c>
      <c r="V1310" s="21">
        <f t="shared" si="833"/>
        <v>16.616150850655778</v>
      </c>
      <c r="W1310" s="563"/>
      <c r="X1310" s="563"/>
      <c r="Y1310" s="563"/>
      <c r="Z1310" s="563"/>
      <c r="AA1310" s="563"/>
      <c r="AB1310" s="563"/>
      <c r="AC1310" s="563"/>
      <c r="AD1310" s="563"/>
      <c r="AE1310" s="563"/>
    </row>
    <row r="1311" spans="2:31" x14ac:dyDescent="0.2">
      <c r="C1311" s="9" t="s">
        <v>163</v>
      </c>
      <c r="D1311" s="9"/>
      <c r="F1311" s="9" t="s">
        <v>55</v>
      </c>
      <c r="G1311" s="9"/>
      <c r="H1311" s="9"/>
      <c r="I1311" s="44">
        <f>SUM(I1305:I1310)</f>
        <v>3.00687975</v>
      </c>
      <c r="J1311" s="44">
        <f t="shared" ref="J1311:V1311" si="834">SUM(J1305:J1310)</f>
        <v>8.9430422499999995</v>
      </c>
      <c r="K1311" s="44">
        <f>SUM(K1305:K1310)</f>
        <v>9.9999422500000001</v>
      </c>
      <c r="L1311" s="44">
        <f t="shared" si="834"/>
        <v>42.999942250000004</v>
      </c>
      <c r="M1311" s="44">
        <f t="shared" si="834"/>
        <v>84.249942250000004</v>
      </c>
      <c r="N1311" s="44">
        <f t="shared" si="834"/>
        <v>133.74994225</v>
      </c>
      <c r="O1311" s="44">
        <f t="shared" si="834"/>
        <v>183.24994225</v>
      </c>
      <c r="P1311" s="44">
        <f t="shared" si="834"/>
        <v>232.74994225</v>
      </c>
      <c r="Q1311" s="44">
        <f t="shared" si="834"/>
        <v>284.64916443876655</v>
      </c>
      <c r="R1311" s="44">
        <f t="shared" si="834"/>
        <v>328.29838662753309</v>
      </c>
      <c r="S1311" s="44">
        <f t="shared" si="834"/>
        <v>363.15675400841258</v>
      </c>
      <c r="T1311" s="44">
        <f t="shared" si="834"/>
        <v>368.33572970594253</v>
      </c>
      <c r="U1311" s="44">
        <f t="shared" si="834"/>
        <v>374.68622313389926</v>
      </c>
      <c r="V1311" s="44">
        <f t="shared" si="834"/>
        <v>369.36428472564103</v>
      </c>
      <c r="W1311" s="580"/>
      <c r="X1311" s="580"/>
      <c r="Y1311" s="580"/>
      <c r="Z1311" s="580"/>
      <c r="AA1311" s="580"/>
      <c r="AB1311" s="580"/>
      <c r="AC1311" s="580"/>
      <c r="AD1311" s="580"/>
      <c r="AE1311" s="580"/>
    </row>
    <row r="1312" spans="2:31" x14ac:dyDescent="0.2">
      <c r="C1312" s="9"/>
      <c r="D1312" s="9"/>
    </row>
    <row r="1313" spans="2:31" x14ac:dyDescent="0.2">
      <c r="C1313" s="9" t="s">
        <v>806</v>
      </c>
      <c r="D1313" s="9"/>
      <c r="F1313" s="9" t="s">
        <v>55</v>
      </c>
      <c r="I1313" s="44">
        <f>I1367</f>
        <v>0.94240419799883623</v>
      </c>
      <c r="J1313" s="44">
        <f t="shared" ref="J1313:V1313" si="835">J1367</f>
        <v>1.8348083959976722</v>
      </c>
      <c r="K1313" s="44">
        <f>K1367</f>
        <v>2.7709625939965088</v>
      </c>
      <c r="L1313" s="44">
        <f t="shared" si="835"/>
        <v>23.723619499787986</v>
      </c>
      <c r="M1313" s="44">
        <f t="shared" si="835"/>
        <v>41.373209665155017</v>
      </c>
      <c r="N1313" s="44">
        <f t="shared" si="835"/>
        <v>62.299184985754472</v>
      </c>
      <c r="O1313" s="44">
        <f t="shared" si="835"/>
        <v>83.101871680295034</v>
      </c>
      <c r="P1313" s="44">
        <f t="shared" si="835"/>
        <v>103.78126974877669</v>
      </c>
      <c r="Q1313" s="44">
        <f t="shared" si="835"/>
        <v>121.58352148619161</v>
      </c>
      <c r="R1313" s="44">
        <f t="shared" si="835"/>
        <v>135.88335892059945</v>
      </c>
      <c r="S1313" s="44">
        <f t="shared" si="835"/>
        <v>148.62945366500361</v>
      </c>
      <c r="T1313" s="44">
        <f t="shared" si="835"/>
        <v>170.72570025283113</v>
      </c>
      <c r="U1313" s="44">
        <f t="shared" si="835"/>
        <v>195.08094646347931</v>
      </c>
      <c r="V1313" s="44">
        <f t="shared" si="835"/>
        <v>219.60340885674088</v>
      </c>
      <c r="W1313" s="580"/>
      <c r="X1313" s="580"/>
      <c r="Y1313" s="580"/>
      <c r="Z1313" s="580"/>
      <c r="AA1313" s="580"/>
      <c r="AB1313" s="580"/>
      <c r="AC1313" s="580"/>
      <c r="AD1313" s="580"/>
      <c r="AE1313" s="580"/>
    </row>
    <row r="1314" spans="2:31" x14ac:dyDescent="0.2">
      <c r="C1314" s="5"/>
      <c r="D1314" s="5"/>
    </row>
    <row r="1315" spans="2:31" x14ac:dyDescent="0.2">
      <c r="C1315" s="64" t="s">
        <v>165</v>
      </c>
      <c r="D1315" s="64"/>
      <c r="F1315" s="1" t="s">
        <v>55</v>
      </c>
      <c r="G1315" s="65">
        <f>SUM(I1315:AE1315)</f>
        <v>0</v>
      </c>
      <c r="I1315" s="65">
        <f>I1313+I1311-I1302</f>
        <v>0</v>
      </c>
      <c r="J1315" s="65">
        <f>J1313+J1311-J1302</f>
        <v>0</v>
      </c>
      <c r="K1315" s="65">
        <f>K1313+K1311-K1302</f>
        <v>0</v>
      </c>
      <c r="L1315" s="65">
        <f>L1313+L1311-L1302</f>
        <v>0</v>
      </c>
      <c r="M1315" s="65">
        <f t="shared" ref="M1315:V1315" si="836">M1313+M1311-M1302</f>
        <v>0</v>
      </c>
      <c r="N1315" s="65">
        <f t="shared" si="836"/>
        <v>0</v>
      </c>
      <c r="O1315" s="65">
        <f t="shared" si="836"/>
        <v>0</v>
      </c>
      <c r="P1315" s="65">
        <f t="shared" si="836"/>
        <v>0</v>
      </c>
      <c r="Q1315" s="65">
        <f t="shared" si="836"/>
        <v>0</v>
      </c>
      <c r="R1315" s="65">
        <f t="shared" si="836"/>
        <v>0</v>
      </c>
      <c r="S1315" s="65">
        <f t="shared" si="836"/>
        <v>0</v>
      </c>
      <c r="T1315" s="65">
        <f t="shared" si="836"/>
        <v>0</v>
      </c>
      <c r="U1315" s="65">
        <f t="shared" si="836"/>
        <v>0</v>
      </c>
      <c r="V1315" s="65">
        <f t="shared" si="836"/>
        <v>0</v>
      </c>
      <c r="W1315" s="590"/>
      <c r="X1315" s="590"/>
      <c r="Y1315" s="590"/>
      <c r="Z1315" s="590"/>
      <c r="AA1315" s="590"/>
      <c r="AB1315" s="590"/>
      <c r="AC1315" s="590"/>
      <c r="AD1315" s="590"/>
      <c r="AE1315" s="590"/>
    </row>
    <row r="1316" spans="2:31" x14ac:dyDescent="0.2">
      <c r="C1316" s="20"/>
      <c r="D1316" s="20"/>
      <c r="J1316" s="21"/>
      <c r="K1316" s="21"/>
      <c r="L1316" s="21"/>
      <c r="M1316" s="21"/>
    </row>
    <row r="1317" spans="2:31" x14ac:dyDescent="0.2">
      <c r="C1317" s="23"/>
      <c r="D1317" s="23"/>
      <c r="E1317" s="59"/>
      <c r="F1317" s="23"/>
      <c r="G1317" s="23"/>
      <c r="H1317" s="23"/>
      <c r="I1317" s="23"/>
      <c r="J1317" s="23"/>
      <c r="K1317" s="23"/>
      <c r="L1317" s="23"/>
      <c r="M1317" s="23"/>
      <c r="N1317" s="23"/>
      <c r="O1317" s="23"/>
      <c r="P1317" s="23"/>
      <c r="Q1317" s="23"/>
      <c r="R1317" s="23"/>
      <c r="S1317" s="23"/>
      <c r="T1317" s="23"/>
      <c r="U1317" s="23"/>
      <c r="V1317" s="23"/>
    </row>
    <row r="1318" spans="2:31" x14ac:dyDescent="0.2">
      <c r="C1318" s="20"/>
      <c r="D1318" s="20"/>
    </row>
    <row r="1319" spans="2:31" x14ac:dyDescent="0.2">
      <c r="B1319" s="10">
        <f>B1304+0.1</f>
        <v>12.299999999999999</v>
      </c>
      <c r="C1319" s="9" t="s">
        <v>156</v>
      </c>
      <c r="D1319" s="9"/>
    </row>
    <row r="1320" spans="2:31" x14ac:dyDescent="0.2">
      <c r="C1320" s="5"/>
      <c r="D1320" s="5"/>
    </row>
    <row r="1321" spans="2:31" x14ac:dyDescent="0.2">
      <c r="C1321" s="1" t="s">
        <v>166</v>
      </c>
      <c r="E1321" s="2"/>
      <c r="F1321" s="1" t="s">
        <v>55</v>
      </c>
      <c r="I1321" s="21">
        <f>H1324</f>
        <v>0</v>
      </c>
      <c r="J1321" s="21">
        <f t="shared" ref="J1321:V1321" si="837">I1324</f>
        <v>3.00687975</v>
      </c>
      <c r="K1321" s="21">
        <f t="shared" si="837"/>
        <v>8.9430422499999995</v>
      </c>
      <c r="L1321" s="21">
        <f t="shared" si="837"/>
        <v>9.9999422500000001</v>
      </c>
      <c r="M1321" s="21">
        <f t="shared" si="837"/>
        <v>56.557541166478941</v>
      </c>
      <c r="N1321" s="21">
        <f t="shared" si="837"/>
        <v>114.75453981207761</v>
      </c>
      <c r="O1321" s="21">
        <f t="shared" si="837"/>
        <v>184.59093818679602</v>
      </c>
      <c r="P1321" s="21">
        <f t="shared" si="837"/>
        <v>254.42733656151444</v>
      </c>
      <c r="Q1321" s="21">
        <f t="shared" si="837"/>
        <v>324.26373493623282</v>
      </c>
      <c r="R1321" s="21">
        <f t="shared" si="837"/>
        <v>394.10013331095126</v>
      </c>
      <c r="S1321" s="21">
        <f t="shared" si="837"/>
        <v>452.29713195654995</v>
      </c>
      <c r="T1321" s="21">
        <f t="shared" si="837"/>
        <v>475.57593141478941</v>
      </c>
      <c r="U1321" s="21">
        <f t="shared" si="837"/>
        <v>475.57593141478941</v>
      </c>
      <c r="V1321" s="21">
        <f t="shared" si="837"/>
        <v>469.63123227210457</v>
      </c>
      <c r="W1321" s="563"/>
      <c r="X1321" s="563"/>
      <c r="Y1321" s="563"/>
      <c r="Z1321" s="563"/>
      <c r="AA1321" s="563"/>
      <c r="AB1321" s="563"/>
      <c r="AC1321" s="563"/>
      <c r="AD1321" s="563"/>
      <c r="AE1321" s="563"/>
    </row>
    <row r="1322" spans="2:31" x14ac:dyDescent="0.2">
      <c r="C1322" s="1" t="s">
        <v>167</v>
      </c>
      <c r="E1322" s="2"/>
      <c r="F1322" s="1" t="s">
        <v>55</v>
      </c>
      <c r="G1322" s="21">
        <f>SUM(I1322:V1322)</f>
        <v>475.57593141478941</v>
      </c>
      <c r="I1322" s="21">
        <f t="shared" ref="I1322:V1322" si="838">-I1220</f>
        <v>3.00687975</v>
      </c>
      <c r="J1322" s="21">
        <f t="shared" si="838"/>
        <v>5.9361625</v>
      </c>
      <c r="K1322" s="21">
        <f>-K1220</f>
        <v>1.0569</v>
      </c>
      <c r="L1322" s="21">
        <f t="shared" si="838"/>
        <v>46.557598916478945</v>
      </c>
      <c r="M1322" s="21">
        <f t="shared" si="838"/>
        <v>58.196998645598669</v>
      </c>
      <c r="N1322" s="21">
        <f t="shared" si="838"/>
        <v>69.836398374718414</v>
      </c>
      <c r="O1322" s="21">
        <f t="shared" si="838"/>
        <v>69.836398374718414</v>
      </c>
      <c r="P1322" s="21">
        <f t="shared" si="838"/>
        <v>69.836398374718414</v>
      </c>
      <c r="Q1322" s="21">
        <f t="shared" si="838"/>
        <v>69.836398374718414</v>
      </c>
      <c r="R1322" s="21">
        <f t="shared" si="838"/>
        <v>58.196998645598669</v>
      </c>
      <c r="S1322" s="21">
        <f t="shared" si="838"/>
        <v>23.278799458239472</v>
      </c>
      <c r="T1322" s="21">
        <f t="shared" si="838"/>
        <v>0</v>
      </c>
      <c r="U1322" s="21">
        <f t="shared" si="838"/>
        <v>0</v>
      </c>
      <c r="V1322" s="21">
        <f t="shared" si="838"/>
        <v>0</v>
      </c>
      <c r="W1322" s="563"/>
      <c r="X1322" s="563"/>
      <c r="Y1322" s="563"/>
      <c r="Z1322" s="563"/>
      <c r="AA1322" s="563"/>
      <c r="AB1322" s="563"/>
      <c r="AC1322" s="563"/>
      <c r="AD1322" s="563"/>
      <c r="AE1322" s="563"/>
    </row>
    <row r="1323" spans="2:31" x14ac:dyDescent="0.2">
      <c r="C1323" s="1" t="s">
        <v>128</v>
      </c>
      <c r="E1323" s="2"/>
      <c r="F1323" s="1" t="s">
        <v>55</v>
      </c>
      <c r="G1323" s="21">
        <f>SUM(I1323:V1323)</f>
        <v>-11.889398285369733</v>
      </c>
      <c r="I1323" s="43">
        <f>SUMIF('Plant model'!$I$3:$AE$3,YEAR('Quarterly Plant Model'!I$3),'Plant model'!$I1323:$AE1323)/4</f>
        <v>0</v>
      </c>
      <c r="J1323" s="43">
        <f>SUMIF('Plant model'!$I$3:$AE$3,YEAR('Quarterly Plant Model'!J$3),'Plant model'!$I1323:$AE1323)/4</f>
        <v>0</v>
      </c>
      <c r="K1323" s="43">
        <f>SUMIF('Plant model'!$I$3:$AE$3,YEAR('Quarterly Plant Model'!K$3),'Plant model'!$I1323:$AE1323)/4</f>
        <v>0</v>
      </c>
      <c r="L1323" s="43">
        <f>SUMIF('Plant model'!$I$3:$AE$3,YEAR('Quarterly Plant Model'!L$3),'Plant model'!$I1323:$AE1323)/4</f>
        <v>0</v>
      </c>
      <c r="M1323" s="43">
        <f>SUMIF('Plant model'!$I$3:$AE$3,YEAR('Quarterly Plant Model'!M$3),'Plant model'!$I1323:$AE1323)/4</f>
        <v>0</v>
      </c>
      <c r="N1323" s="43">
        <f>SUMIF('Plant model'!$I$3:$AE$3,YEAR('Quarterly Plant Model'!N$3),'Plant model'!$I1323:$AE1323)/4</f>
        <v>0</v>
      </c>
      <c r="O1323" s="43">
        <f>SUMIF('Plant model'!$I$3:$AE$3,YEAR('Quarterly Plant Model'!O$3),'Plant model'!$I1323:$AE1323)/4</f>
        <v>0</v>
      </c>
      <c r="P1323" s="43">
        <f>SUMIF('Plant model'!$I$3:$AE$3,YEAR('Quarterly Plant Model'!P$3),'Plant model'!$I1323:$AE1323)/4</f>
        <v>0</v>
      </c>
      <c r="Q1323" s="43">
        <f>SUMIF('Plant model'!$I$3:$AE$3,YEAR('Quarterly Plant Model'!Q$3),'Plant model'!$I1323:$AE1323)/4</f>
        <v>0</v>
      </c>
      <c r="R1323" s="43">
        <f>SUMIF('Plant model'!$I$3:$AE$3,YEAR('Quarterly Plant Model'!R$3),'Plant model'!$I1323:$AE1323)/4</f>
        <v>0</v>
      </c>
      <c r="S1323" s="43">
        <f>SUMIF('Plant model'!$I$3:$AE$3,YEAR('Quarterly Plant Model'!S$3),'Plant model'!$I1323:$AE1323)/4</f>
        <v>0</v>
      </c>
      <c r="T1323" s="43">
        <f>SUMIF('Plant model'!$I$3:$AE$3,YEAR('Quarterly Plant Model'!T$3),'Plant model'!$I1323:$AE1323)/4</f>
        <v>0</v>
      </c>
      <c r="U1323" s="43">
        <f>SUMIF('Plant model'!$I$3:$AE$3,YEAR('Quarterly Plant Model'!U$3),'Plant model'!$I1323:$AE1323)/4</f>
        <v>-5.9446991426848665</v>
      </c>
      <c r="V1323" s="43">
        <f>SUMIF('Plant model'!$I$3:$AE$3,YEAR('Quarterly Plant Model'!V$3),'Plant model'!$I1323:$AE1323)/4</f>
        <v>-5.9446991426848665</v>
      </c>
      <c r="W1323" s="563"/>
      <c r="X1323" s="563"/>
      <c r="Y1323" s="563"/>
      <c r="Z1323" s="563"/>
      <c r="AA1323" s="563"/>
      <c r="AB1323" s="563"/>
      <c r="AC1323" s="563"/>
      <c r="AD1323" s="563"/>
      <c r="AE1323" s="563"/>
    </row>
    <row r="1324" spans="2:31" x14ac:dyDescent="0.2">
      <c r="C1324" s="1" t="s">
        <v>373</v>
      </c>
      <c r="E1324" s="2"/>
      <c r="F1324" s="1" t="s">
        <v>55</v>
      </c>
      <c r="H1324" s="109">
        <v>0</v>
      </c>
      <c r="I1324" s="21">
        <f>SUM(I1321:I1323)</f>
        <v>3.00687975</v>
      </c>
      <c r="J1324" s="21">
        <f t="shared" ref="J1324:V1324" si="839">SUM(J1321:J1323)</f>
        <v>8.9430422499999995</v>
      </c>
      <c r="K1324" s="21">
        <f>SUM(K1321:K1323)</f>
        <v>9.9999422500000001</v>
      </c>
      <c r="L1324" s="21">
        <f t="shared" si="839"/>
        <v>56.557541166478941</v>
      </c>
      <c r="M1324" s="21">
        <f t="shared" si="839"/>
        <v>114.75453981207761</v>
      </c>
      <c r="N1324" s="21">
        <f t="shared" si="839"/>
        <v>184.59093818679602</v>
      </c>
      <c r="O1324" s="21">
        <f t="shared" si="839"/>
        <v>254.42733656151444</v>
      </c>
      <c r="P1324" s="21">
        <f t="shared" si="839"/>
        <v>324.26373493623282</v>
      </c>
      <c r="Q1324" s="21">
        <f t="shared" si="839"/>
        <v>394.10013331095126</v>
      </c>
      <c r="R1324" s="21">
        <f t="shared" si="839"/>
        <v>452.29713195654995</v>
      </c>
      <c r="S1324" s="21">
        <f t="shared" si="839"/>
        <v>475.57593141478941</v>
      </c>
      <c r="T1324" s="21">
        <f t="shared" si="839"/>
        <v>475.57593141478941</v>
      </c>
      <c r="U1324" s="21">
        <f t="shared" si="839"/>
        <v>469.63123227210457</v>
      </c>
      <c r="V1324" s="21">
        <f t="shared" si="839"/>
        <v>463.68653312941973</v>
      </c>
      <c r="W1324" s="563"/>
      <c r="X1324" s="563"/>
      <c r="Y1324" s="563"/>
      <c r="Z1324" s="563"/>
      <c r="AA1324" s="563"/>
      <c r="AB1324" s="563"/>
      <c r="AC1324" s="563"/>
      <c r="AD1324" s="563"/>
      <c r="AE1324" s="563"/>
    </row>
    <row r="1325" spans="2:31" hidden="1" outlineLevel="1" x14ac:dyDescent="0.2">
      <c r="C1325" s="5"/>
      <c r="D1325" s="5"/>
    </row>
    <row r="1326" spans="2:31" hidden="1" outlineLevel="1" x14ac:dyDescent="0.2">
      <c r="C1326" s="5"/>
      <c r="D1326" s="5"/>
      <c r="E1326" s="316"/>
    </row>
    <row r="1327" spans="2:31" hidden="1" outlineLevel="1" x14ac:dyDescent="0.2">
      <c r="C1327" s="5"/>
      <c r="D1327" s="5"/>
    </row>
    <row r="1328" spans="2:31" hidden="1" outlineLevel="1" x14ac:dyDescent="0.2">
      <c r="C1328" s="47"/>
      <c r="D1328" s="47"/>
    </row>
    <row r="1329" spans="1:31" hidden="1" outlineLevel="1" x14ac:dyDescent="0.2">
      <c r="C1329" s="66"/>
      <c r="D1329" s="66"/>
      <c r="E1329" s="21"/>
      <c r="F1329" s="21"/>
      <c r="G1329" s="21"/>
      <c r="I1329" s="21"/>
      <c r="J1329" s="21"/>
      <c r="K1329" s="21"/>
      <c r="L1329" s="21"/>
      <c r="M1329" s="21"/>
      <c r="N1329" s="21"/>
      <c r="O1329" s="21"/>
      <c r="P1329" s="21"/>
      <c r="Q1329" s="21"/>
      <c r="R1329" s="21"/>
      <c r="S1329" s="21"/>
      <c r="T1329" s="21"/>
      <c r="U1329" s="21"/>
      <c r="V1329" s="21"/>
      <c r="W1329" s="563"/>
      <c r="X1329" s="563"/>
      <c r="Y1329" s="563"/>
      <c r="Z1329" s="563"/>
      <c r="AA1329" s="563"/>
      <c r="AB1329" s="563"/>
      <c r="AC1329" s="563"/>
    </row>
    <row r="1330" spans="1:31" hidden="1" outlineLevel="1" x14ac:dyDescent="0.2">
      <c r="C1330" s="66"/>
      <c r="D1330" s="66"/>
      <c r="E1330" s="21"/>
      <c r="F1330" s="21"/>
      <c r="G1330" s="21"/>
      <c r="H1330" s="21"/>
      <c r="I1330" s="21"/>
      <c r="J1330" s="21"/>
      <c r="K1330" s="21"/>
      <c r="L1330" s="21"/>
      <c r="M1330" s="21"/>
      <c r="N1330" s="21"/>
      <c r="O1330" s="21"/>
      <c r="P1330" s="21"/>
      <c r="Q1330" s="21"/>
      <c r="R1330" s="21"/>
      <c r="S1330" s="21"/>
      <c r="T1330" s="21"/>
      <c r="U1330" s="21"/>
      <c r="V1330" s="21"/>
      <c r="W1330" s="563"/>
      <c r="X1330" s="563"/>
      <c r="Y1330" s="563"/>
      <c r="Z1330" s="563"/>
      <c r="AA1330" s="563"/>
      <c r="AB1330" s="563"/>
      <c r="AC1330" s="563"/>
      <c r="AD1330" s="563"/>
      <c r="AE1330" s="563"/>
    </row>
    <row r="1331" spans="1:31" hidden="1" outlineLevel="1" x14ac:dyDescent="0.2">
      <c r="C1331" s="66"/>
      <c r="D1331" s="66"/>
      <c r="E1331" s="21"/>
      <c r="F1331" s="21"/>
      <c r="G1331" s="21"/>
      <c r="H1331" s="21"/>
      <c r="I1331" s="21"/>
      <c r="J1331" s="21"/>
      <c r="K1331" s="21"/>
      <c r="L1331" s="21"/>
      <c r="M1331" s="21"/>
      <c r="N1331" s="21"/>
      <c r="O1331" s="21"/>
      <c r="P1331" s="21"/>
      <c r="Q1331" s="21"/>
      <c r="R1331" s="21"/>
      <c r="S1331" s="21"/>
      <c r="T1331" s="21"/>
      <c r="U1331" s="21"/>
      <c r="V1331" s="21"/>
      <c r="W1331" s="563"/>
      <c r="X1331" s="563"/>
      <c r="Y1331" s="563"/>
      <c r="Z1331" s="563"/>
      <c r="AA1331" s="563"/>
      <c r="AB1331" s="563"/>
      <c r="AC1331" s="563"/>
      <c r="AD1331" s="563"/>
      <c r="AE1331" s="563"/>
    </row>
    <row r="1332" spans="1:31" hidden="1" outlineLevel="1" x14ac:dyDescent="0.2">
      <c r="C1332" s="66"/>
      <c r="D1332" s="66"/>
      <c r="E1332" s="21"/>
      <c r="F1332" s="21"/>
      <c r="G1332" s="21"/>
      <c r="H1332" s="21"/>
      <c r="I1332" s="21"/>
      <c r="J1332" s="21"/>
      <c r="K1332" s="21"/>
      <c r="L1332" s="21"/>
      <c r="M1332" s="21"/>
      <c r="N1332" s="21"/>
      <c r="O1332" s="21"/>
      <c r="P1332" s="21"/>
      <c r="Q1332" s="21"/>
      <c r="R1332" s="21"/>
      <c r="S1332" s="21"/>
      <c r="T1332" s="21"/>
      <c r="U1332" s="21"/>
      <c r="V1332" s="21"/>
      <c r="W1332" s="563"/>
      <c r="X1332" s="563"/>
      <c r="Y1332" s="563"/>
      <c r="Z1332" s="563"/>
      <c r="AA1332" s="563"/>
      <c r="AB1332" s="563"/>
      <c r="AC1332" s="563"/>
      <c r="AD1332" s="563"/>
      <c r="AE1332" s="563"/>
    </row>
    <row r="1333" spans="1:31" hidden="1" outlineLevel="1" x14ac:dyDescent="0.2">
      <c r="C1333" s="66"/>
      <c r="D1333" s="66"/>
      <c r="E1333" s="21"/>
      <c r="F1333" s="21"/>
      <c r="G1333" s="21"/>
      <c r="H1333" s="21"/>
      <c r="I1333" s="21"/>
      <c r="J1333" s="21"/>
      <c r="K1333" s="21"/>
      <c r="L1333" s="21"/>
      <c r="M1333" s="21"/>
      <c r="N1333" s="21"/>
      <c r="O1333" s="21"/>
      <c r="P1333" s="21"/>
      <c r="Q1333" s="21"/>
      <c r="R1333" s="21"/>
      <c r="S1333" s="21"/>
      <c r="T1333" s="21"/>
      <c r="U1333" s="21"/>
      <c r="V1333" s="21"/>
      <c r="W1333" s="563"/>
      <c r="X1333" s="563"/>
      <c r="Y1333" s="563"/>
      <c r="Z1333" s="563"/>
      <c r="AA1333" s="563"/>
      <c r="AB1333" s="563"/>
      <c r="AC1333" s="563"/>
      <c r="AD1333" s="563"/>
      <c r="AE1333" s="563"/>
    </row>
    <row r="1334" spans="1:31" hidden="1" outlineLevel="1" x14ac:dyDescent="0.2">
      <c r="C1334" s="66"/>
      <c r="D1334" s="66"/>
      <c r="E1334" s="21"/>
      <c r="F1334" s="21"/>
      <c r="G1334" s="21"/>
      <c r="H1334" s="21"/>
      <c r="I1334" s="21"/>
      <c r="J1334" s="21"/>
      <c r="K1334" s="21"/>
      <c r="L1334" s="21"/>
      <c r="M1334" s="21"/>
      <c r="N1334" s="21"/>
      <c r="O1334" s="21"/>
      <c r="P1334" s="21"/>
      <c r="Q1334" s="21"/>
      <c r="R1334" s="21"/>
      <c r="S1334" s="21"/>
      <c r="T1334" s="21"/>
      <c r="U1334" s="21"/>
      <c r="V1334" s="21"/>
      <c r="W1334" s="563"/>
      <c r="X1334" s="563"/>
      <c r="Y1334" s="563"/>
      <c r="Z1334" s="563"/>
      <c r="AA1334" s="563"/>
      <c r="AB1334" s="563"/>
      <c r="AC1334" s="563"/>
      <c r="AD1334" s="563"/>
      <c r="AE1334" s="563"/>
    </row>
    <row r="1335" spans="1:31" hidden="1" outlineLevel="1" x14ac:dyDescent="0.2">
      <c r="C1335" s="66"/>
      <c r="D1335" s="66"/>
      <c r="E1335" s="21"/>
      <c r="F1335" s="21"/>
      <c r="G1335" s="21"/>
      <c r="H1335" s="21"/>
      <c r="I1335" s="21"/>
      <c r="J1335" s="21"/>
      <c r="K1335" s="21"/>
      <c r="L1335" s="21"/>
      <c r="M1335" s="21"/>
      <c r="N1335" s="21"/>
      <c r="O1335" s="21"/>
      <c r="P1335" s="21"/>
      <c r="Q1335" s="21"/>
      <c r="R1335" s="21"/>
      <c r="S1335" s="21"/>
      <c r="T1335" s="21"/>
      <c r="U1335" s="21"/>
      <c r="V1335" s="21"/>
      <c r="W1335" s="563"/>
      <c r="X1335" s="563"/>
      <c r="Y1335" s="563"/>
      <c r="Z1335" s="563"/>
      <c r="AA1335" s="563"/>
      <c r="AB1335" s="563"/>
      <c r="AC1335" s="563"/>
      <c r="AD1335" s="563"/>
      <c r="AE1335" s="563"/>
    </row>
    <row r="1336" spans="1:31" hidden="1" outlineLevel="1" x14ac:dyDescent="0.2">
      <c r="C1336" s="66"/>
      <c r="D1336" s="66"/>
      <c r="E1336" s="21"/>
      <c r="F1336" s="21"/>
      <c r="G1336" s="21"/>
      <c r="H1336" s="21"/>
      <c r="I1336" s="21"/>
      <c r="J1336" s="21"/>
      <c r="K1336" s="21"/>
      <c r="L1336" s="21"/>
      <c r="M1336" s="21"/>
      <c r="N1336" s="21"/>
      <c r="O1336" s="21"/>
      <c r="P1336" s="21"/>
      <c r="Q1336" s="21"/>
      <c r="R1336" s="21"/>
      <c r="S1336" s="21"/>
      <c r="T1336" s="21"/>
      <c r="U1336" s="21"/>
      <c r="V1336" s="21"/>
      <c r="W1336" s="563"/>
      <c r="X1336" s="563"/>
      <c r="Y1336" s="563"/>
      <c r="Z1336" s="563"/>
      <c r="AA1336" s="563"/>
      <c r="AB1336" s="563"/>
      <c r="AC1336" s="563"/>
      <c r="AD1336" s="563"/>
      <c r="AE1336" s="563"/>
    </row>
    <row r="1337" spans="1:31" hidden="1" outlineLevel="1" x14ac:dyDescent="0.2">
      <c r="C1337" s="66"/>
      <c r="D1337" s="66"/>
      <c r="E1337" s="21"/>
      <c r="F1337" s="21"/>
      <c r="G1337" s="21"/>
      <c r="H1337" s="21"/>
      <c r="I1337" s="21"/>
      <c r="J1337" s="21"/>
      <c r="K1337" s="21"/>
      <c r="L1337" s="21"/>
      <c r="M1337" s="21"/>
      <c r="N1337" s="21"/>
      <c r="O1337" s="21"/>
      <c r="P1337" s="21"/>
      <c r="Q1337" s="21"/>
      <c r="R1337" s="21"/>
      <c r="S1337" s="21"/>
      <c r="T1337" s="21"/>
      <c r="U1337" s="21"/>
      <c r="V1337" s="21"/>
      <c r="W1337" s="563"/>
      <c r="X1337" s="563"/>
      <c r="Y1337" s="563"/>
      <c r="Z1337" s="563"/>
      <c r="AA1337" s="563"/>
      <c r="AB1337" s="563"/>
      <c r="AC1337" s="563"/>
      <c r="AD1337" s="563"/>
      <c r="AE1337" s="563"/>
    </row>
    <row r="1338" spans="1:31" hidden="1" outlineLevel="1" x14ac:dyDescent="0.2">
      <c r="C1338" s="66"/>
      <c r="D1338" s="66"/>
      <c r="E1338" s="21"/>
      <c r="F1338" s="21"/>
      <c r="G1338" s="21"/>
      <c r="H1338" s="21"/>
      <c r="I1338" s="21"/>
      <c r="J1338" s="21"/>
      <c r="K1338" s="21"/>
      <c r="L1338" s="21"/>
      <c r="M1338" s="21"/>
      <c r="N1338" s="21"/>
      <c r="O1338" s="21"/>
      <c r="P1338" s="21"/>
      <c r="Q1338" s="21"/>
      <c r="R1338" s="21"/>
      <c r="S1338" s="21"/>
      <c r="T1338" s="21"/>
      <c r="U1338" s="21"/>
      <c r="V1338" s="21"/>
      <c r="W1338" s="563"/>
      <c r="X1338" s="563"/>
      <c r="Y1338" s="563"/>
      <c r="Z1338" s="563"/>
      <c r="AA1338" s="563"/>
      <c r="AB1338" s="563"/>
      <c r="AC1338" s="563"/>
      <c r="AD1338" s="563"/>
      <c r="AE1338" s="563"/>
    </row>
    <row r="1339" spans="1:31" hidden="1" outlineLevel="1" x14ac:dyDescent="0.2">
      <c r="A1339" s="5"/>
      <c r="C1339" s="66"/>
      <c r="D1339" s="66"/>
      <c r="E1339" s="21"/>
      <c r="F1339" s="21"/>
      <c r="G1339" s="21"/>
      <c r="H1339" s="21"/>
      <c r="I1339" s="21"/>
      <c r="J1339" s="21"/>
      <c r="K1339" s="21"/>
      <c r="L1339" s="21"/>
      <c r="M1339" s="21"/>
      <c r="N1339" s="21"/>
      <c r="O1339" s="21"/>
      <c r="P1339" s="21"/>
      <c r="Q1339" s="21"/>
      <c r="R1339" s="21"/>
      <c r="S1339" s="21"/>
      <c r="T1339" s="21"/>
      <c r="U1339" s="21"/>
      <c r="V1339" s="21"/>
      <c r="W1339" s="563"/>
      <c r="X1339" s="563"/>
      <c r="Y1339" s="563"/>
      <c r="Z1339" s="563"/>
      <c r="AA1339" s="563"/>
      <c r="AB1339" s="563"/>
      <c r="AC1339" s="563"/>
      <c r="AD1339" s="563"/>
      <c r="AE1339" s="563"/>
    </row>
    <row r="1340" spans="1:31" hidden="1" outlineLevel="1" x14ac:dyDescent="0.2">
      <c r="C1340" s="66"/>
      <c r="D1340" s="66"/>
      <c r="E1340" s="21"/>
      <c r="F1340" s="21"/>
      <c r="G1340" s="21"/>
      <c r="H1340" s="21"/>
      <c r="I1340" s="21"/>
      <c r="J1340" s="21"/>
      <c r="K1340" s="21"/>
      <c r="L1340" s="21"/>
      <c r="M1340" s="21"/>
      <c r="N1340" s="21"/>
      <c r="O1340" s="21"/>
      <c r="P1340" s="21"/>
      <c r="Q1340" s="21"/>
      <c r="R1340" s="21"/>
      <c r="S1340" s="21"/>
      <c r="T1340" s="21"/>
      <c r="U1340" s="21"/>
      <c r="V1340" s="21"/>
      <c r="W1340" s="563"/>
      <c r="X1340" s="563"/>
      <c r="Y1340" s="563"/>
      <c r="Z1340" s="563"/>
      <c r="AA1340" s="563"/>
      <c r="AB1340" s="563"/>
      <c r="AC1340" s="563"/>
      <c r="AD1340" s="563"/>
      <c r="AE1340" s="563"/>
    </row>
    <row r="1341" spans="1:31" hidden="1" outlineLevel="1" x14ac:dyDescent="0.2">
      <c r="C1341" s="66"/>
      <c r="D1341" s="66"/>
      <c r="E1341" s="21"/>
      <c r="F1341" s="21"/>
      <c r="G1341" s="21"/>
      <c r="H1341" s="21"/>
      <c r="I1341" s="21"/>
      <c r="J1341" s="21"/>
      <c r="K1341" s="21"/>
      <c r="L1341" s="21"/>
      <c r="M1341" s="21"/>
      <c r="N1341" s="21"/>
      <c r="O1341" s="21"/>
      <c r="P1341" s="21"/>
      <c r="Q1341" s="21"/>
      <c r="R1341" s="21"/>
      <c r="S1341" s="21"/>
      <c r="T1341" s="21"/>
      <c r="U1341" s="21"/>
      <c r="V1341" s="21"/>
      <c r="W1341" s="563"/>
      <c r="X1341" s="563"/>
      <c r="Y1341" s="563"/>
      <c r="Z1341" s="563"/>
      <c r="AA1341" s="563"/>
      <c r="AB1341" s="563"/>
      <c r="AC1341" s="563"/>
      <c r="AD1341" s="563"/>
      <c r="AE1341" s="563"/>
    </row>
    <row r="1342" spans="1:31" hidden="1" outlineLevel="1" x14ac:dyDescent="0.2">
      <c r="C1342" s="66"/>
      <c r="D1342" s="66"/>
      <c r="E1342" s="21"/>
      <c r="F1342" s="21"/>
      <c r="G1342" s="21"/>
      <c r="H1342" s="21"/>
      <c r="I1342" s="21"/>
      <c r="J1342" s="21"/>
      <c r="K1342" s="21"/>
      <c r="L1342" s="21"/>
      <c r="M1342" s="21"/>
      <c r="N1342" s="21"/>
      <c r="O1342" s="21"/>
      <c r="P1342" s="21"/>
      <c r="Q1342" s="21"/>
      <c r="R1342" s="21"/>
      <c r="S1342" s="21"/>
      <c r="T1342" s="21"/>
      <c r="U1342" s="21"/>
      <c r="V1342" s="21"/>
      <c r="W1342" s="563"/>
      <c r="X1342" s="563"/>
      <c r="Y1342" s="563"/>
      <c r="Z1342" s="563"/>
      <c r="AA1342" s="563"/>
      <c r="AB1342" s="563"/>
      <c r="AC1342" s="563"/>
      <c r="AD1342" s="563"/>
      <c r="AE1342" s="563"/>
    </row>
    <row r="1343" spans="1:31" hidden="1" outlineLevel="1" x14ac:dyDescent="0.2">
      <c r="C1343" s="66"/>
      <c r="D1343" s="66"/>
      <c r="E1343" s="21"/>
      <c r="F1343" s="21"/>
      <c r="G1343" s="21"/>
      <c r="H1343" s="21"/>
      <c r="I1343" s="21"/>
      <c r="J1343" s="21"/>
      <c r="K1343" s="21"/>
      <c r="L1343" s="21"/>
      <c r="M1343" s="21"/>
      <c r="N1343" s="21"/>
      <c r="O1343" s="21"/>
      <c r="P1343" s="21"/>
      <c r="Q1343" s="21"/>
      <c r="R1343" s="21"/>
      <c r="S1343" s="21"/>
      <c r="T1343" s="21"/>
      <c r="U1343" s="21"/>
      <c r="V1343" s="21"/>
      <c r="W1343" s="563"/>
      <c r="X1343" s="563"/>
      <c r="Y1343" s="563"/>
      <c r="Z1343" s="563"/>
      <c r="AA1343" s="563"/>
      <c r="AB1343" s="563"/>
      <c r="AC1343" s="563"/>
      <c r="AD1343" s="563"/>
      <c r="AE1343" s="563"/>
    </row>
    <row r="1344" spans="1:31" hidden="1" outlineLevel="1" x14ac:dyDescent="0.2">
      <c r="C1344" s="66"/>
      <c r="D1344" s="66"/>
      <c r="E1344" s="21"/>
      <c r="F1344" s="21"/>
      <c r="G1344" s="21"/>
      <c r="H1344" s="21"/>
      <c r="I1344" s="21"/>
      <c r="J1344" s="21"/>
      <c r="K1344" s="21"/>
      <c r="L1344" s="21"/>
      <c r="M1344" s="21"/>
      <c r="N1344" s="21"/>
      <c r="O1344" s="21"/>
      <c r="P1344" s="21"/>
      <c r="Q1344" s="21"/>
      <c r="R1344" s="21"/>
      <c r="S1344" s="21"/>
      <c r="T1344" s="21"/>
      <c r="U1344" s="21"/>
      <c r="V1344" s="21"/>
      <c r="W1344" s="563"/>
      <c r="X1344" s="563"/>
      <c r="Y1344" s="563"/>
      <c r="Z1344" s="563"/>
      <c r="AA1344" s="563"/>
      <c r="AB1344" s="563"/>
      <c r="AC1344" s="563"/>
      <c r="AD1344" s="563"/>
      <c r="AE1344" s="563"/>
    </row>
    <row r="1345" spans="2:31" hidden="1" outlineLevel="1" x14ac:dyDescent="0.2">
      <c r="C1345" s="66"/>
      <c r="D1345" s="66"/>
      <c r="E1345" s="21"/>
      <c r="F1345" s="21"/>
      <c r="G1345" s="21"/>
      <c r="H1345" s="21"/>
      <c r="I1345" s="21"/>
      <c r="J1345" s="21"/>
      <c r="K1345" s="21"/>
      <c r="L1345" s="21"/>
      <c r="M1345" s="21"/>
      <c r="N1345" s="21"/>
      <c r="O1345" s="21"/>
      <c r="P1345" s="21"/>
      <c r="Q1345" s="21"/>
      <c r="R1345" s="21"/>
      <c r="S1345" s="21"/>
      <c r="T1345" s="21"/>
      <c r="U1345" s="21"/>
      <c r="V1345" s="21"/>
      <c r="W1345" s="563"/>
      <c r="X1345" s="563"/>
      <c r="Y1345" s="563"/>
      <c r="Z1345" s="563"/>
      <c r="AA1345" s="563"/>
      <c r="AB1345" s="563"/>
      <c r="AC1345" s="563"/>
      <c r="AD1345" s="563"/>
      <c r="AE1345" s="563"/>
    </row>
    <row r="1346" spans="2:31" hidden="1" outlineLevel="1" x14ac:dyDescent="0.2">
      <c r="C1346" s="66"/>
      <c r="D1346" s="66"/>
      <c r="E1346" s="21"/>
      <c r="F1346" s="21"/>
      <c r="G1346" s="21"/>
      <c r="H1346" s="21"/>
      <c r="I1346" s="21"/>
      <c r="J1346" s="21"/>
      <c r="K1346" s="21"/>
      <c r="L1346" s="21"/>
      <c r="M1346" s="21"/>
      <c r="N1346" s="21"/>
      <c r="O1346" s="21"/>
      <c r="P1346" s="21"/>
      <c r="Q1346" s="21"/>
      <c r="R1346" s="21"/>
      <c r="S1346" s="21"/>
      <c r="T1346" s="21"/>
      <c r="U1346" s="21"/>
      <c r="V1346" s="21"/>
      <c r="W1346" s="563"/>
      <c r="X1346" s="563"/>
      <c r="Y1346" s="563"/>
      <c r="Z1346" s="563"/>
      <c r="AA1346" s="563"/>
      <c r="AB1346" s="563"/>
      <c r="AC1346" s="563"/>
      <c r="AD1346" s="563"/>
      <c r="AE1346" s="563"/>
    </row>
    <row r="1347" spans="2:31" hidden="1" outlineLevel="1" x14ac:dyDescent="0.2">
      <c r="C1347" s="66"/>
      <c r="D1347" s="66"/>
      <c r="E1347" s="21"/>
      <c r="F1347" s="21"/>
      <c r="G1347" s="21"/>
      <c r="H1347" s="21"/>
      <c r="I1347" s="21"/>
      <c r="J1347" s="21"/>
      <c r="K1347" s="21"/>
      <c r="L1347" s="21"/>
      <c r="M1347" s="21"/>
      <c r="N1347" s="21"/>
      <c r="O1347" s="21"/>
      <c r="P1347" s="21"/>
      <c r="Q1347" s="21"/>
      <c r="R1347" s="21"/>
      <c r="S1347" s="21"/>
      <c r="T1347" s="21"/>
      <c r="U1347" s="21"/>
      <c r="V1347" s="21"/>
      <c r="W1347" s="563"/>
      <c r="X1347" s="563"/>
      <c r="Y1347" s="563"/>
      <c r="Z1347" s="563"/>
      <c r="AA1347" s="563"/>
      <c r="AB1347" s="563"/>
      <c r="AC1347" s="563"/>
      <c r="AD1347" s="563"/>
      <c r="AE1347" s="563"/>
    </row>
    <row r="1348" spans="2:31" hidden="1" outlineLevel="1" x14ac:dyDescent="0.2">
      <c r="C1348" s="66"/>
      <c r="D1348" s="66"/>
      <c r="E1348" s="21"/>
      <c r="F1348" s="21"/>
      <c r="G1348" s="21"/>
      <c r="H1348" s="21"/>
      <c r="I1348" s="21"/>
      <c r="J1348" s="21"/>
      <c r="K1348" s="21"/>
      <c r="L1348" s="21"/>
      <c r="M1348" s="21"/>
      <c r="N1348" s="21"/>
      <c r="O1348" s="21"/>
      <c r="P1348" s="21"/>
      <c r="Q1348" s="21"/>
      <c r="R1348" s="21"/>
      <c r="S1348" s="21"/>
      <c r="T1348" s="21"/>
      <c r="U1348" s="21"/>
      <c r="V1348" s="21"/>
      <c r="W1348" s="563"/>
      <c r="X1348" s="563"/>
      <c r="Y1348" s="563"/>
      <c r="Z1348" s="563"/>
      <c r="AA1348" s="563"/>
      <c r="AB1348" s="563"/>
      <c r="AC1348" s="563"/>
      <c r="AD1348" s="563"/>
      <c r="AE1348" s="563"/>
    </row>
    <row r="1349" spans="2:31" hidden="1" outlineLevel="1" x14ac:dyDescent="0.2">
      <c r="C1349" s="66"/>
      <c r="D1349" s="66"/>
      <c r="E1349" s="21"/>
      <c r="F1349" s="21"/>
      <c r="G1349" s="21"/>
      <c r="H1349" s="21"/>
      <c r="I1349" s="21"/>
      <c r="J1349" s="21"/>
      <c r="K1349" s="21"/>
      <c r="L1349" s="21"/>
      <c r="M1349" s="21"/>
      <c r="N1349" s="21"/>
      <c r="O1349" s="21"/>
      <c r="P1349" s="21"/>
      <c r="Q1349" s="21"/>
      <c r="R1349" s="21"/>
      <c r="S1349" s="21"/>
      <c r="T1349" s="21"/>
      <c r="U1349" s="21"/>
      <c r="V1349" s="21"/>
      <c r="W1349" s="563"/>
      <c r="X1349" s="563"/>
      <c r="Y1349" s="563"/>
      <c r="Z1349" s="563"/>
      <c r="AA1349" s="563"/>
      <c r="AB1349" s="563"/>
      <c r="AC1349" s="563"/>
      <c r="AD1349" s="563"/>
      <c r="AE1349" s="563"/>
    </row>
    <row r="1350" spans="2:31" hidden="1" outlineLevel="1" x14ac:dyDescent="0.2">
      <c r="C1350" s="66"/>
      <c r="D1350" s="66"/>
      <c r="E1350" s="21"/>
      <c r="F1350" s="21"/>
      <c r="G1350" s="21"/>
      <c r="H1350" s="21"/>
      <c r="I1350" s="21"/>
      <c r="J1350" s="21"/>
      <c r="K1350" s="21"/>
      <c r="L1350" s="21"/>
      <c r="M1350" s="21"/>
      <c r="N1350" s="21"/>
      <c r="O1350" s="21"/>
      <c r="P1350" s="21"/>
      <c r="Q1350" s="21"/>
      <c r="R1350" s="21"/>
      <c r="S1350" s="21"/>
      <c r="T1350" s="21"/>
      <c r="U1350" s="21"/>
      <c r="V1350" s="21"/>
      <c r="W1350" s="563"/>
      <c r="X1350" s="563"/>
      <c r="Y1350" s="563"/>
      <c r="Z1350" s="563"/>
      <c r="AA1350" s="563"/>
      <c r="AB1350" s="563"/>
      <c r="AC1350" s="563"/>
      <c r="AD1350" s="563"/>
      <c r="AE1350" s="563"/>
    </row>
    <row r="1351" spans="2:31" hidden="1" outlineLevel="1" x14ac:dyDescent="0.2">
      <c r="C1351" s="66"/>
      <c r="D1351" s="66"/>
      <c r="E1351" s="21"/>
      <c r="F1351" s="21"/>
      <c r="G1351" s="21"/>
      <c r="H1351" s="21"/>
      <c r="I1351" s="21"/>
      <c r="J1351" s="21"/>
      <c r="K1351" s="21"/>
      <c r="L1351" s="21"/>
      <c r="M1351" s="21"/>
      <c r="N1351" s="21"/>
      <c r="O1351" s="21"/>
      <c r="P1351" s="21"/>
      <c r="Q1351" s="21"/>
      <c r="R1351" s="21"/>
      <c r="S1351" s="21"/>
      <c r="T1351" s="21"/>
      <c r="U1351" s="21"/>
      <c r="V1351" s="21"/>
      <c r="W1351" s="563"/>
      <c r="X1351" s="563"/>
      <c r="Y1351" s="563"/>
      <c r="Z1351" s="563"/>
      <c r="AA1351" s="563"/>
      <c r="AB1351" s="563"/>
      <c r="AC1351" s="563"/>
      <c r="AD1351" s="563"/>
      <c r="AE1351" s="563"/>
    </row>
    <row r="1352" spans="2:31" hidden="1" outlineLevel="1" x14ac:dyDescent="0.2">
      <c r="C1352" s="61"/>
      <c r="D1352" s="61"/>
      <c r="E1352" s="44"/>
      <c r="F1352" s="44"/>
      <c r="G1352" s="44"/>
      <c r="I1352" s="44"/>
      <c r="J1352" s="44"/>
      <c r="K1352" s="44"/>
      <c r="L1352" s="44"/>
      <c r="M1352" s="44"/>
      <c r="N1352" s="44"/>
      <c r="O1352" s="44"/>
      <c r="P1352" s="44"/>
      <c r="Q1352" s="44"/>
      <c r="R1352" s="44"/>
      <c r="S1352" s="44"/>
      <c r="T1352" s="44"/>
      <c r="U1352" s="44"/>
      <c r="V1352" s="44"/>
      <c r="W1352" s="580"/>
      <c r="X1352" s="580"/>
      <c r="Y1352" s="580"/>
      <c r="Z1352" s="580"/>
      <c r="AA1352" s="580"/>
      <c r="AB1352" s="580"/>
      <c r="AC1352" s="580"/>
      <c r="AD1352" s="580"/>
      <c r="AE1352" s="580"/>
    </row>
    <row r="1353" spans="2:31" collapsed="1" x14ac:dyDescent="0.2">
      <c r="C1353" s="5"/>
      <c r="D1353" s="5"/>
    </row>
    <row r="1354" spans="2:31" x14ac:dyDescent="0.2">
      <c r="B1354" s="10">
        <f>B1319+0.1</f>
        <v>12.399999999999999</v>
      </c>
      <c r="C1354" s="9" t="s">
        <v>374</v>
      </c>
      <c r="D1354" s="9"/>
    </row>
    <row r="1355" spans="2:31" x14ac:dyDescent="0.2">
      <c r="C1355" s="5"/>
      <c r="D1355" s="5"/>
    </row>
    <row r="1356" spans="2:31" x14ac:dyDescent="0.2">
      <c r="C1356" s="1" t="s">
        <v>169</v>
      </c>
      <c r="E1356" s="2"/>
      <c r="F1356" s="1" t="s">
        <v>55</v>
      </c>
      <c r="I1356" s="21">
        <f t="shared" ref="I1356:V1356" si="840">H1359</f>
        <v>0</v>
      </c>
      <c r="J1356" s="21">
        <f t="shared" si="840"/>
        <v>0</v>
      </c>
      <c r="K1356" s="21">
        <f t="shared" si="840"/>
        <v>0</v>
      </c>
      <c r="L1356" s="21">
        <f t="shared" si="840"/>
        <v>0</v>
      </c>
      <c r="M1356" s="21">
        <f t="shared" si="840"/>
        <v>0</v>
      </c>
      <c r="N1356" s="21">
        <f t="shared" si="840"/>
        <v>0</v>
      </c>
      <c r="O1356" s="21">
        <f t="shared" si="840"/>
        <v>0</v>
      </c>
      <c r="P1356" s="21">
        <f t="shared" si="840"/>
        <v>0</v>
      </c>
      <c r="Q1356" s="21">
        <f t="shared" si="840"/>
        <v>0</v>
      </c>
      <c r="R1356" s="21">
        <f t="shared" si="840"/>
        <v>2.3992221887665348</v>
      </c>
      <c r="S1356" s="21">
        <f t="shared" si="840"/>
        <v>4.7984443775330696</v>
      </c>
      <c r="T1356" s="21">
        <f t="shared" si="840"/>
        <v>7.1976665662996044</v>
      </c>
      <c r="U1356" s="21">
        <f t="shared" si="840"/>
        <v>9.5968887550661393</v>
      </c>
      <c r="V1356" s="21">
        <f t="shared" si="840"/>
        <v>13.106519802860959</v>
      </c>
      <c r="W1356" s="563"/>
      <c r="X1356" s="563"/>
      <c r="Y1356" s="563"/>
      <c r="Z1356" s="563"/>
      <c r="AA1356" s="563"/>
      <c r="AB1356" s="563"/>
      <c r="AC1356" s="563"/>
      <c r="AD1356" s="563"/>
      <c r="AE1356" s="563"/>
    </row>
    <row r="1357" spans="2:31" x14ac:dyDescent="0.2">
      <c r="C1357" s="1" t="s">
        <v>170</v>
      </c>
      <c r="E1357" s="2"/>
      <c r="F1357" s="1" t="s">
        <v>55</v>
      </c>
      <c r="I1357" s="43">
        <f>SUMIF('Plant model'!$I$3:$AE$3,YEAR('Quarterly Plant Model'!I$3),'Plant model'!$I1357:$AE1357)/4</f>
        <v>0</v>
      </c>
      <c r="J1357" s="43">
        <f>SUMIF('Plant model'!$I$3:$AE$3,YEAR('Quarterly Plant Model'!J$3),'Plant model'!$I1357:$AE1357)/4</f>
        <v>0</v>
      </c>
      <c r="K1357" s="43">
        <f>SUMIF('Plant model'!$I$3:$AE$3,YEAR('Quarterly Plant Model'!K$3),'Plant model'!$I1357:$AE1357)/4</f>
        <v>0</v>
      </c>
      <c r="L1357" s="43">
        <f>SUMIF('Plant model'!$I$3:$AE$3,YEAR('Quarterly Plant Model'!L$3),'Plant model'!$I1357:$AE1357)/4</f>
        <v>0</v>
      </c>
      <c r="M1357" s="43">
        <f>SUMIF('Plant model'!$I$3:$AE$3,YEAR('Quarterly Plant Model'!M$3),'Plant model'!$I1357:$AE1357)/4</f>
        <v>0</v>
      </c>
      <c r="N1357" s="43">
        <f>SUMIF('Plant model'!$I$3:$AE$3,YEAR('Quarterly Plant Model'!N$3),'Plant model'!$I1357:$AE1357)/4</f>
        <v>0</v>
      </c>
      <c r="O1357" s="43">
        <f>SUMIF('Plant model'!$I$3:$AE$3,YEAR('Quarterly Plant Model'!O$3),'Plant model'!$I1357:$AE1357)/4</f>
        <v>0</v>
      </c>
      <c r="P1357" s="43">
        <f>SUMIF('Plant model'!$I$3:$AE$3,YEAR('Quarterly Plant Model'!P$3),'Plant model'!$I1357:$AE1357)/4</f>
        <v>0</v>
      </c>
      <c r="Q1357" s="43">
        <f>SUMIF('Plant model'!$I$3:$AE$3,YEAR('Quarterly Plant Model'!Q$3),'Plant model'!$I1357:$AE1357)/4</f>
        <v>0</v>
      </c>
      <c r="R1357" s="43">
        <f>SUMIF('Plant model'!$I$3:$AE$3,YEAR('Quarterly Plant Model'!R$3),'Plant model'!$I1357:$AE1357)/4</f>
        <v>0</v>
      </c>
      <c r="S1357" s="43">
        <f>SUMIF('Plant model'!$I$3:$AE$3,YEAR('Quarterly Plant Model'!S$3),'Plant model'!$I1357:$AE1357)/4</f>
        <v>0</v>
      </c>
      <c r="T1357" s="43">
        <f>SUMIF('Plant model'!$I$3:$AE$3,YEAR('Quarterly Plant Model'!T$3),'Plant model'!$I1357:$AE1357)/4</f>
        <v>0</v>
      </c>
      <c r="U1357" s="43">
        <f>SUMIF('Plant model'!$I$3:$AE$3,YEAR('Quarterly Plant Model'!U$3),'Plant model'!$I1357:$AE1357)/4</f>
        <v>0</v>
      </c>
      <c r="V1357" s="43">
        <f>SUMIF('Plant model'!$I$3:$AE$3,YEAR('Quarterly Plant Model'!V$3),'Plant model'!$I1357:$AE1357)/4</f>
        <v>0</v>
      </c>
      <c r="W1357" s="563"/>
      <c r="X1357" s="563"/>
      <c r="Y1357" s="563"/>
      <c r="Z1357" s="563"/>
      <c r="AA1357" s="563"/>
      <c r="AB1357" s="563"/>
      <c r="AC1357" s="563"/>
      <c r="AD1357" s="563"/>
      <c r="AE1357" s="563"/>
    </row>
    <row r="1358" spans="2:31" x14ac:dyDescent="0.2">
      <c r="C1358" s="1" t="s">
        <v>171</v>
      </c>
      <c r="E1358" s="2"/>
      <c r="F1358" s="1" t="s">
        <v>55</v>
      </c>
      <c r="I1358" s="43">
        <f>SUMIF('Plant model'!$I$3:$AE$3,YEAR('Quarterly Plant Model'!I$3),'Plant model'!$I1358:$AE1358)/4</f>
        <v>0</v>
      </c>
      <c r="J1358" s="43">
        <f>SUMIF('Plant model'!$I$3:$AE$3,YEAR('Quarterly Plant Model'!J$3),'Plant model'!$I1358:$AE1358)/4</f>
        <v>0</v>
      </c>
      <c r="K1358" s="43">
        <f>SUMIF('Plant model'!$I$3:$AE$3,YEAR('Quarterly Plant Model'!K$3),'Plant model'!$I1358:$AE1358)/4</f>
        <v>0</v>
      </c>
      <c r="L1358" s="43">
        <f>SUMIF('Plant model'!$I$3:$AE$3,YEAR('Quarterly Plant Model'!L$3),'Plant model'!$I1358:$AE1358)/4</f>
        <v>0</v>
      </c>
      <c r="M1358" s="43">
        <f>SUMIF('Plant model'!$I$3:$AE$3,YEAR('Quarterly Plant Model'!M$3),'Plant model'!$I1358:$AE1358)/4</f>
        <v>0</v>
      </c>
      <c r="N1358" s="43">
        <f>SUMIF('Plant model'!$I$3:$AE$3,YEAR('Quarterly Plant Model'!N$3),'Plant model'!$I1358:$AE1358)/4</f>
        <v>0</v>
      </c>
      <c r="O1358" s="43">
        <f>SUMIF('Plant model'!$I$3:$AE$3,YEAR('Quarterly Plant Model'!O$3),'Plant model'!$I1358:$AE1358)/4</f>
        <v>0</v>
      </c>
      <c r="P1358" s="43">
        <f>SUMIF('Plant model'!$I$3:$AE$3,YEAR('Quarterly Plant Model'!P$3),'Plant model'!$I1358:$AE1358)/4</f>
        <v>0</v>
      </c>
      <c r="Q1358" s="43">
        <f>SUMIF('Plant model'!$I$3:$AE$3,YEAR('Quarterly Plant Model'!Q$3),'Plant model'!$I1358:$AE1358)/4</f>
        <v>2.3992221887665348</v>
      </c>
      <c r="R1358" s="43">
        <f>SUMIF('Plant model'!$I$3:$AE$3,YEAR('Quarterly Plant Model'!R$3),'Plant model'!$I1358:$AE1358)/4</f>
        <v>2.3992221887665348</v>
      </c>
      <c r="S1358" s="43">
        <f>SUMIF('Plant model'!$I$3:$AE$3,YEAR('Quarterly Plant Model'!S$3),'Plant model'!$I1358:$AE1358)/4</f>
        <v>2.3992221887665348</v>
      </c>
      <c r="T1358" s="43">
        <f>SUMIF('Plant model'!$I$3:$AE$3,YEAR('Quarterly Plant Model'!T$3),'Plant model'!$I1358:$AE1358)/4</f>
        <v>2.3992221887665348</v>
      </c>
      <c r="U1358" s="43">
        <f>SUMIF('Plant model'!$I$3:$AE$3,YEAR('Quarterly Plant Model'!U$3),'Plant model'!$I1358:$AE1358)/4</f>
        <v>3.5096310477948185</v>
      </c>
      <c r="V1358" s="43">
        <f>SUMIF('Plant model'!$I$3:$AE$3,YEAR('Quarterly Plant Model'!V$3),'Plant model'!$I1358:$AE1358)/4</f>
        <v>3.5096310477948185</v>
      </c>
      <c r="W1358" s="563"/>
      <c r="X1358" s="563"/>
      <c r="Y1358" s="563"/>
      <c r="Z1358" s="563"/>
      <c r="AA1358" s="563"/>
      <c r="AB1358" s="563"/>
      <c r="AC1358" s="563"/>
      <c r="AD1358" s="563"/>
      <c r="AE1358" s="563"/>
    </row>
    <row r="1359" spans="2:31" x14ac:dyDescent="0.2">
      <c r="C1359" s="1" t="s">
        <v>172</v>
      </c>
      <c r="E1359" s="2"/>
      <c r="F1359" s="1" t="s">
        <v>55</v>
      </c>
      <c r="H1359" s="109">
        <v>0</v>
      </c>
      <c r="I1359" s="21">
        <f>SUM(I1356:I1358)</f>
        <v>0</v>
      </c>
      <c r="J1359" s="21">
        <f t="shared" ref="J1359:V1359" si="841">SUM(J1356:J1358)</f>
        <v>0</v>
      </c>
      <c r="K1359" s="21">
        <f>SUM(K1356:K1358)</f>
        <v>0</v>
      </c>
      <c r="L1359" s="21">
        <f t="shared" si="841"/>
        <v>0</v>
      </c>
      <c r="M1359" s="21">
        <f t="shared" si="841"/>
        <v>0</v>
      </c>
      <c r="N1359" s="21">
        <f t="shared" si="841"/>
        <v>0</v>
      </c>
      <c r="O1359" s="21">
        <f t="shared" si="841"/>
        <v>0</v>
      </c>
      <c r="P1359" s="21">
        <f t="shared" si="841"/>
        <v>0</v>
      </c>
      <c r="Q1359" s="21">
        <f t="shared" si="841"/>
        <v>2.3992221887665348</v>
      </c>
      <c r="R1359" s="21">
        <f t="shared" si="841"/>
        <v>4.7984443775330696</v>
      </c>
      <c r="S1359" s="21">
        <f t="shared" si="841"/>
        <v>7.1976665662996044</v>
      </c>
      <c r="T1359" s="21">
        <f t="shared" si="841"/>
        <v>9.5968887550661393</v>
      </c>
      <c r="U1359" s="21">
        <f t="shared" si="841"/>
        <v>13.106519802860959</v>
      </c>
      <c r="V1359" s="21">
        <f t="shared" si="841"/>
        <v>16.616150850655778</v>
      </c>
      <c r="W1359" s="563"/>
      <c r="X1359" s="563"/>
      <c r="Y1359" s="563"/>
      <c r="Z1359" s="563"/>
      <c r="AA1359" s="563"/>
      <c r="AB1359" s="563"/>
      <c r="AC1359" s="563"/>
      <c r="AD1359" s="563"/>
      <c r="AE1359" s="563"/>
    </row>
    <row r="1360" spans="2:31" x14ac:dyDescent="0.2">
      <c r="C1360" s="20"/>
      <c r="D1360" s="20"/>
    </row>
    <row r="1361" spans="1:31" x14ac:dyDescent="0.2">
      <c r="B1361" s="10">
        <f>B1354+0.1</f>
        <v>12.499999999999998</v>
      </c>
      <c r="C1361" s="9" t="s">
        <v>164</v>
      </c>
      <c r="D1361" s="9"/>
      <c r="N1361" s="21"/>
    </row>
    <row r="1362" spans="1:31" x14ac:dyDescent="0.2">
      <c r="C1362" s="20"/>
      <c r="D1362" s="20"/>
    </row>
    <row r="1363" spans="1:31" x14ac:dyDescent="0.2">
      <c r="C1363" s="1" t="s">
        <v>125</v>
      </c>
      <c r="E1363" s="2"/>
      <c r="F1363" s="1" t="s">
        <v>55</v>
      </c>
      <c r="I1363" s="21">
        <f t="shared" ref="I1363:V1363" si="842">H1367</f>
        <v>0</v>
      </c>
      <c r="J1363" s="21">
        <f t="shared" si="842"/>
        <v>0.94240419799883623</v>
      </c>
      <c r="K1363" s="21">
        <f t="shared" si="842"/>
        <v>1.8348083959976722</v>
      </c>
      <c r="L1363" s="21">
        <f t="shared" si="842"/>
        <v>2.7709625939965088</v>
      </c>
      <c r="M1363" s="21">
        <f t="shared" si="842"/>
        <v>23.723619499787986</v>
      </c>
      <c r="N1363" s="21">
        <f t="shared" si="842"/>
        <v>41.373209665155017</v>
      </c>
      <c r="O1363" s="21">
        <f t="shared" si="842"/>
        <v>62.299184985754472</v>
      </c>
      <c r="P1363" s="21">
        <f t="shared" si="842"/>
        <v>83.101871680295034</v>
      </c>
      <c r="Q1363" s="21">
        <f t="shared" si="842"/>
        <v>103.78126974877669</v>
      </c>
      <c r="R1363" s="21">
        <f t="shared" si="842"/>
        <v>121.58352148619161</v>
      </c>
      <c r="S1363" s="21">
        <f t="shared" si="842"/>
        <v>135.88335892059945</v>
      </c>
      <c r="T1363" s="21">
        <f t="shared" si="842"/>
        <v>148.62945366500361</v>
      </c>
      <c r="U1363" s="21">
        <f t="shared" si="842"/>
        <v>170.72570025283113</v>
      </c>
      <c r="V1363" s="21">
        <f t="shared" si="842"/>
        <v>195.08094646347931</v>
      </c>
      <c r="W1363" s="563"/>
      <c r="X1363" s="563"/>
      <c r="Y1363" s="563"/>
      <c r="Z1363" s="563"/>
      <c r="AA1363" s="563"/>
      <c r="AB1363" s="563"/>
      <c r="AC1363" s="563"/>
      <c r="AD1363" s="563"/>
      <c r="AE1363" s="563"/>
    </row>
    <row r="1364" spans="1:31" x14ac:dyDescent="0.2">
      <c r="C1364" s="1" t="s">
        <v>173</v>
      </c>
      <c r="E1364" s="2"/>
      <c r="F1364" s="1" t="s">
        <v>55</v>
      </c>
      <c r="I1364" s="45">
        <f>I1238</f>
        <v>1.1249573047958674</v>
      </c>
      <c r="J1364" s="45">
        <f t="shared" ref="J1364:V1364" si="843">J1238</f>
        <v>1.2626105317255547</v>
      </c>
      <c r="K1364" s="45">
        <f>K1238</f>
        <v>1.2960211224130553</v>
      </c>
      <c r="L1364" s="45">
        <f t="shared" si="843"/>
        <v>21.312523830205699</v>
      </c>
      <c r="M1364" s="45">
        <f t="shared" si="843"/>
        <v>18.00945708978125</v>
      </c>
      <c r="N1364" s="45">
        <f t="shared" si="843"/>
        <v>21.285842245013676</v>
      </c>
      <c r="O1364" s="45">
        <f t="shared" si="843"/>
        <v>21.162553618954782</v>
      </c>
      <c r="P1364" s="45">
        <f t="shared" si="843"/>
        <v>21.03926499289588</v>
      </c>
      <c r="Q1364" s="45">
        <f t="shared" si="843"/>
        <v>20.915976366836986</v>
      </c>
      <c r="R1364" s="45">
        <f t="shared" si="843"/>
        <v>17.413562063829922</v>
      </c>
      <c r="S1364" s="45">
        <f t="shared" si="843"/>
        <v>0</v>
      </c>
      <c r="T1364" s="45">
        <f t="shared" si="843"/>
        <v>0</v>
      </c>
      <c r="U1364" s="45">
        <f t="shared" si="843"/>
        <v>0</v>
      </c>
      <c r="V1364" s="45">
        <f t="shared" si="843"/>
        <v>0</v>
      </c>
      <c r="W1364" s="568"/>
      <c r="X1364" s="568"/>
      <c r="Y1364" s="568"/>
      <c r="Z1364" s="568"/>
      <c r="AA1364" s="568"/>
      <c r="AB1364" s="568"/>
      <c r="AC1364" s="568"/>
      <c r="AD1364" s="568"/>
      <c r="AE1364" s="568"/>
    </row>
    <row r="1365" spans="1:31" x14ac:dyDescent="0.2">
      <c r="A1365" s="67"/>
      <c r="C1365" s="1" t="s">
        <v>148</v>
      </c>
      <c r="E1365" s="2"/>
      <c r="F1365" s="1" t="s">
        <v>55</v>
      </c>
      <c r="I1365" s="21">
        <f>I1270</f>
        <v>-0.18255310679703124</v>
      </c>
      <c r="J1365" s="21">
        <f t="shared" ref="J1365:V1365" si="844">J1270</f>
        <v>-0.37020633372671874</v>
      </c>
      <c r="K1365" s="21">
        <f>K1270</f>
        <v>-0.3598669244142188</v>
      </c>
      <c r="L1365" s="21">
        <f t="shared" si="844"/>
        <v>-0.3598669244142188</v>
      </c>
      <c r="M1365" s="21">
        <f t="shared" si="844"/>
        <v>-0.3598669244142188</v>
      </c>
      <c r="N1365" s="21">
        <f t="shared" si="844"/>
        <v>-0.3598669244142188</v>
      </c>
      <c r="O1365" s="21">
        <f t="shared" si="844"/>
        <v>-0.3598669244142188</v>
      </c>
      <c r="P1365" s="21">
        <f t="shared" si="844"/>
        <v>-0.3598669244142188</v>
      </c>
      <c r="Q1365" s="21">
        <f t="shared" si="844"/>
        <v>-3.1137246294220695</v>
      </c>
      <c r="R1365" s="21">
        <f t="shared" si="844"/>
        <v>-3.1137246294220695</v>
      </c>
      <c r="S1365" s="21">
        <f t="shared" si="844"/>
        <v>12.746094744404163</v>
      </c>
      <c r="T1365" s="21">
        <f t="shared" si="844"/>
        <v>22.096246587827515</v>
      </c>
      <c r="U1365" s="21">
        <f t="shared" si="844"/>
        <v>24.355246210648172</v>
      </c>
      <c r="V1365" s="21">
        <f t="shared" si="844"/>
        <v>24.522462393261591</v>
      </c>
      <c r="W1365" s="563"/>
      <c r="X1365" s="563"/>
      <c r="Y1365" s="563"/>
      <c r="Z1365" s="563"/>
      <c r="AA1365" s="563"/>
      <c r="AB1365" s="563"/>
      <c r="AC1365" s="563"/>
      <c r="AD1365" s="563"/>
      <c r="AE1365" s="563"/>
    </row>
    <row r="1366" spans="1:31" x14ac:dyDescent="0.2">
      <c r="C1366" s="1" t="s">
        <v>138</v>
      </c>
      <c r="E1366" s="2"/>
      <c r="F1366" s="1" t="s">
        <v>55</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2"/>
      <c r="X1366" s="582"/>
      <c r="Y1366" s="582"/>
      <c r="Z1366" s="582"/>
      <c r="AA1366" s="582"/>
      <c r="AB1366" s="582"/>
      <c r="AC1366" s="582"/>
      <c r="AD1366" s="582"/>
      <c r="AE1366" s="582"/>
    </row>
    <row r="1367" spans="1:31" x14ac:dyDescent="0.2">
      <c r="C1367" s="1" t="s">
        <v>127</v>
      </c>
      <c r="E1367" s="2"/>
      <c r="F1367" s="1" t="s">
        <v>55</v>
      </c>
      <c r="H1367" s="109">
        <v>0</v>
      </c>
      <c r="I1367" s="21">
        <f>SUM(I1363:I1366)</f>
        <v>0.94240419799883623</v>
      </c>
      <c r="J1367" s="21">
        <f t="shared" ref="J1367:V1367" si="845">SUM(J1363:J1366)</f>
        <v>1.8348083959976722</v>
      </c>
      <c r="K1367" s="21">
        <f>SUM(K1363:K1366)</f>
        <v>2.7709625939965088</v>
      </c>
      <c r="L1367" s="21">
        <f t="shared" si="845"/>
        <v>23.723619499787986</v>
      </c>
      <c r="M1367" s="21">
        <f t="shared" si="845"/>
        <v>41.373209665155017</v>
      </c>
      <c r="N1367" s="21">
        <f t="shared" si="845"/>
        <v>62.299184985754472</v>
      </c>
      <c r="O1367" s="21">
        <f t="shared" si="845"/>
        <v>83.101871680295034</v>
      </c>
      <c r="P1367" s="21">
        <f t="shared" si="845"/>
        <v>103.78126974877669</v>
      </c>
      <c r="Q1367" s="21">
        <f t="shared" si="845"/>
        <v>121.58352148619161</v>
      </c>
      <c r="R1367" s="21">
        <f t="shared" si="845"/>
        <v>135.88335892059945</v>
      </c>
      <c r="S1367" s="21">
        <f t="shared" si="845"/>
        <v>148.62945366500361</v>
      </c>
      <c r="T1367" s="21">
        <f t="shared" si="845"/>
        <v>170.72570025283113</v>
      </c>
      <c r="U1367" s="21">
        <f t="shared" si="845"/>
        <v>195.08094646347931</v>
      </c>
      <c r="V1367" s="21">
        <f t="shared" si="845"/>
        <v>219.60340885674088</v>
      </c>
      <c r="W1367" s="563"/>
      <c r="X1367" s="563"/>
      <c r="Y1367" s="563"/>
      <c r="Z1367" s="563"/>
      <c r="AA1367" s="563"/>
      <c r="AB1367" s="563"/>
      <c r="AC1367" s="563"/>
      <c r="AD1367" s="563"/>
      <c r="AE1367" s="563"/>
    </row>
    <row r="1368" spans="1:31" x14ac:dyDescent="0.2">
      <c r="C1368" s="5"/>
      <c r="D1368" s="5"/>
    </row>
    <row r="1369" spans="1:31" x14ac:dyDescent="0.2">
      <c r="C1369" s="5"/>
      <c r="D1369" s="5"/>
    </row>
    <row r="1370" spans="1:31" outlineLevel="1" x14ac:dyDescent="0.2">
      <c r="B1370" s="6"/>
      <c r="C1370" s="6"/>
      <c r="D1370" s="6"/>
      <c r="E1370" s="7"/>
      <c r="F1370" s="6"/>
      <c r="G1370" s="6"/>
      <c r="H1370" s="6"/>
      <c r="I1370" s="6"/>
      <c r="J1370" s="6"/>
      <c r="K1370" s="6"/>
      <c r="L1370" s="6"/>
      <c r="M1370" s="6"/>
      <c r="N1370" s="6"/>
      <c r="O1370" s="6"/>
      <c r="P1370" s="6"/>
      <c r="Q1370" s="6"/>
      <c r="R1370" s="6"/>
      <c r="S1370" s="6"/>
      <c r="T1370" s="6"/>
      <c r="U1370" s="6"/>
      <c r="V1370" s="6"/>
    </row>
    <row r="1371" spans="1:31" outlineLevel="1" x14ac:dyDescent="0.2">
      <c r="C1371" s="5"/>
      <c r="D1371" s="5"/>
    </row>
    <row r="1372" spans="1:31" outlineLevel="1" x14ac:dyDescent="0.2">
      <c r="B1372" s="8">
        <f>B1293+1</f>
        <v>13</v>
      </c>
      <c r="C1372" s="20" t="s">
        <v>174</v>
      </c>
      <c r="D1372" s="20"/>
      <c r="H1372" s="35"/>
      <c r="K1372" s="21"/>
    </row>
    <row r="1373" spans="1:31" outlineLevel="1" x14ac:dyDescent="0.2">
      <c r="C1373" s="5"/>
      <c r="D1373" s="5"/>
      <c r="G1373" s="21"/>
      <c r="I1373" s="21"/>
      <c r="J1373" s="21"/>
      <c r="K1373" s="21"/>
      <c r="L1373" s="21"/>
      <c r="M1373" s="21"/>
      <c r="N1373" s="21"/>
      <c r="O1373" s="21"/>
      <c r="P1373" s="21"/>
      <c r="Q1373" s="21"/>
      <c r="R1373" s="21"/>
      <c r="S1373" s="21"/>
      <c r="T1373" s="21"/>
      <c r="U1373" s="21"/>
      <c r="V1373" s="21"/>
      <c r="W1373" s="563"/>
      <c r="X1373" s="563"/>
      <c r="Y1373" s="563"/>
      <c r="Z1373" s="563"/>
      <c r="AA1373" s="563"/>
      <c r="AB1373" s="563"/>
      <c r="AC1373" s="563"/>
      <c r="AD1373" s="563"/>
      <c r="AE1373" s="563"/>
    </row>
    <row r="1374" spans="1:31" outlineLevel="1" x14ac:dyDescent="0.2">
      <c r="B1374" s="10">
        <f>B1372+0.1</f>
        <v>13.1</v>
      </c>
      <c r="C1374" s="20" t="s">
        <v>235</v>
      </c>
      <c r="D1374" s="5"/>
      <c r="G1374" s="36"/>
      <c r="I1374" s="21"/>
      <c r="J1374" s="21"/>
      <c r="K1374" s="21"/>
      <c r="L1374" s="21"/>
      <c r="M1374" s="21"/>
      <c r="N1374" s="21"/>
      <c r="O1374" s="21"/>
      <c r="P1374" s="21"/>
      <c r="Q1374" s="21"/>
      <c r="R1374" s="21"/>
      <c r="S1374" s="21"/>
      <c r="T1374" s="21"/>
      <c r="U1374" s="21"/>
      <c r="V1374" s="21"/>
      <c r="W1374" s="563"/>
      <c r="X1374" s="563"/>
      <c r="Y1374" s="563"/>
      <c r="Z1374" s="563"/>
      <c r="AA1374" s="563"/>
      <c r="AB1374" s="563"/>
      <c r="AC1374" s="563"/>
      <c r="AD1374" s="563"/>
      <c r="AE1374" s="563"/>
    </row>
    <row r="1375" spans="1:31" outlineLevel="1" x14ac:dyDescent="0.2">
      <c r="C1375" s="5"/>
      <c r="D1375" s="5"/>
      <c r="M1375" s="21"/>
    </row>
    <row r="1376" spans="1:31" outlineLevel="1" x14ac:dyDescent="0.2">
      <c r="C1376" s="5" t="s">
        <v>104</v>
      </c>
      <c r="D1376" s="5"/>
      <c r="F1376" s="1" t="s">
        <v>55</v>
      </c>
      <c r="G1376" s="21">
        <f t="shared" ref="G1376:G1382" si="846">SUM(I1376:AE1376)</f>
        <v>238.19489524999995</v>
      </c>
      <c r="I1376" s="21">
        <f t="shared" ref="I1376:V1376" si="847">I1254</f>
        <v>0</v>
      </c>
      <c r="J1376" s="21">
        <f t="shared" si="847"/>
        <v>0</v>
      </c>
      <c r="K1376" s="21">
        <f t="shared" si="847"/>
        <v>0</v>
      </c>
      <c r="L1376" s="21">
        <f t="shared" si="847"/>
        <v>0</v>
      </c>
      <c r="M1376" s="21">
        <f t="shared" si="847"/>
        <v>0</v>
      </c>
      <c r="N1376" s="21">
        <f t="shared" si="847"/>
        <v>0</v>
      </c>
      <c r="O1376" s="21">
        <f t="shared" si="847"/>
        <v>0</v>
      </c>
      <c r="P1376" s="21">
        <f t="shared" si="847"/>
        <v>0</v>
      </c>
      <c r="Q1376" s="21">
        <f t="shared" si="847"/>
        <v>0</v>
      </c>
      <c r="R1376" s="21">
        <f t="shared" si="847"/>
        <v>0</v>
      </c>
      <c r="S1376" s="21">
        <f t="shared" si="847"/>
        <v>36.645368499999996</v>
      </c>
      <c r="T1376" s="21">
        <f t="shared" si="847"/>
        <v>54.968052749999998</v>
      </c>
      <c r="U1376" s="21">
        <f t="shared" si="847"/>
        <v>73.290736999999993</v>
      </c>
      <c r="V1376" s="21">
        <f t="shared" si="847"/>
        <v>73.290736999999993</v>
      </c>
      <c r="W1376" s="563"/>
      <c r="X1376" s="563"/>
      <c r="Y1376" s="563"/>
      <c r="Z1376" s="563"/>
      <c r="AA1376" s="563"/>
      <c r="AB1376" s="563"/>
      <c r="AC1376" s="563"/>
      <c r="AD1376" s="563"/>
      <c r="AE1376" s="563"/>
    </row>
    <row r="1377" spans="1:31" outlineLevel="1" x14ac:dyDescent="0.2">
      <c r="C1377" s="5" t="s">
        <v>120</v>
      </c>
      <c r="D1377" s="5"/>
      <c r="F1377" s="1" t="s">
        <v>55</v>
      </c>
      <c r="G1377" s="21">
        <f t="shared" si="846"/>
        <v>-121.24848509713172</v>
      </c>
      <c r="I1377" s="21">
        <f t="shared" ref="I1377:V1377" si="848">I1255</f>
        <v>0</v>
      </c>
      <c r="J1377" s="21">
        <f t="shared" si="848"/>
        <v>0</v>
      </c>
      <c r="K1377" s="21">
        <f t="shared" si="848"/>
        <v>0</v>
      </c>
      <c r="L1377" s="21">
        <f t="shared" si="848"/>
        <v>0</v>
      </c>
      <c r="M1377" s="21">
        <f t="shared" si="848"/>
        <v>0</v>
      </c>
      <c r="N1377" s="21">
        <f t="shared" si="848"/>
        <v>0</v>
      </c>
      <c r="O1377" s="21">
        <f t="shared" si="848"/>
        <v>0</v>
      </c>
      <c r="P1377" s="21">
        <f t="shared" si="848"/>
        <v>0</v>
      </c>
      <c r="Q1377" s="21">
        <f t="shared" si="848"/>
        <v>0</v>
      </c>
      <c r="R1377" s="21">
        <f t="shared" si="848"/>
        <v>0</v>
      </c>
      <c r="S1377" s="21">
        <f t="shared" si="848"/>
        <v>-19.662910695891949</v>
      </c>
      <c r="T1377" s="21">
        <f t="shared" si="848"/>
        <v>-28.189926269632529</v>
      </c>
      <c r="U1377" s="21">
        <f t="shared" si="848"/>
        <v>-36.809878251958011</v>
      </c>
      <c r="V1377" s="21">
        <f t="shared" si="848"/>
        <v>-36.585769879649234</v>
      </c>
      <c r="W1377" s="563"/>
      <c r="X1377" s="563"/>
      <c r="Y1377" s="563"/>
      <c r="Z1377" s="563"/>
      <c r="AA1377" s="563"/>
      <c r="AB1377" s="563"/>
      <c r="AC1377" s="563"/>
      <c r="AD1377" s="563"/>
      <c r="AE1377" s="563"/>
    </row>
    <row r="1378" spans="1:31" outlineLevel="1" x14ac:dyDescent="0.2">
      <c r="C1378" s="5" t="s">
        <v>444</v>
      </c>
      <c r="D1378" s="5"/>
      <c r="F1378" s="1" t="s">
        <v>55</v>
      </c>
      <c r="G1378" s="21">
        <f>SUM(I1378:AE1378)</f>
        <v>-5.4096175223144218</v>
      </c>
      <c r="I1378" s="21">
        <f t="shared" ref="I1378:V1378" si="849">I1256</f>
        <v>0</v>
      </c>
      <c r="J1378" s="21">
        <f t="shared" si="849"/>
        <v>0</v>
      </c>
      <c r="K1378" s="21">
        <f t="shared" si="849"/>
        <v>0</v>
      </c>
      <c r="L1378" s="21">
        <f t="shared" si="849"/>
        <v>0</v>
      </c>
      <c r="M1378" s="21">
        <f t="shared" si="849"/>
        <v>0</v>
      </c>
      <c r="N1378" s="21">
        <f t="shared" si="849"/>
        <v>0</v>
      </c>
      <c r="O1378" s="21">
        <f t="shared" si="849"/>
        <v>0</v>
      </c>
      <c r="P1378" s="21">
        <f t="shared" si="849"/>
        <v>0</v>
      </c>
      <c r="Q1378" s="21">
        <f t="shared" si="849"/>
        <v>0</v>
      </c>
      <c r="R1378" s="21">
        <f t="shared" si="849"/>
        <v>0</v>
      </c>
      <c r="S1378" s="21">
        <f t="shared" si="849"/>
        <v>-1.0088540508911055</v>
      </c>
      <c r="T1378" s="21">
        <f t="shared" si="849"/>
        <v>-1.2836943146411057</v>
      </c>
      <c r="U1378" s="21">
        <f t="shared" si="849"/>
        <v>-1.5585345783911055</v>
      </c>
      <c r="V1378" s="21">
        <f t="shared" si="849"/>
        <v>-1.5585345783911055</v>
      </c>
      <c r="W1378" s="563"/>
      <c r="X1378" s="563"/>
      <c r="Y1378" s="563"/>
      <c r="Z1378" s="563"/>
      <c r="AA1378" s="563"/>
      <c r="AB1378" s="563"/>
      <c r="AC1378" s="563"/>
      <c r="AD1378" s="563"/>
      <c r="AE1378" s="563"/>
    </row>
    <row r="1379" spans="1:31" outlineLevel="1" x14ac:dyDescent="0.2">
      <c r="C1379" s="5" t="s">
        <v>135</v>
      </c>
      <c r="D1379" s="5"/>
      <c r="F1379" s="1" t="s">
        <v>55</v>
      </c>
      <c r="G1379" s="21">
        <f t="shared" si="846"/>
        <v>0</v>
      </c>
      <c r="H1379" s="21"/>
      <c r="I1379" s="21">
        <f t="shared" ref="I1379:V1379" si="850">I1217</f>
        <v>0</v>
      </c>
      <c r="J1379" s="21">
        <f t="shared" si="850"/>
        <v>0</v>
      </c>
      <c r="K1379" s="21">
        <f t="shared" si="850"/>
        <v>0</v>
      </c>
      <c r="L1379" s="21">
        <f t="shared" si="850"/>
        <v>0</v>
      </c>
      <c r="M1379" s="21">
        <f t="shared" si="850"/>
        <v>0</v>
      </c>
      <c r="N1379" s="21">
        <f t="shared" si="850"/>
        <v>0</v>
      </c>
      <c r="O1379" s="21">
        <f t="shared" si="850"/>
        <v>0</v>
      </c>
      <c r="P1379" s="21">
        <f t="shared" si="850"/>
        <v>0</v>
      </c>
      <c r="Q1379" s="21">
        <f t="shared" si="850"/>
        <v>0</v>
      </c>
      <c r="R1379" s="21">
        <f t="shared" si="850"/>
        <v>0</v>
      </c>
      <c r="S1379" s="21">
        <f t="shared" si="850"/>
        <v>0</v>
      </c>
      <c r="T1379" s="21">
        <f t="shared" si="850"/>
        <v>0</v>
      </c>
      <c r="U1379" s="21">
        <f t="shared" si="850"/>
        <v>0</v>
      </c>
      <c r="V1379" s="21">
        <f t="shared" si="850"/>
        <v>0</v>
      </c>
      <c r="W1379" s="563"/>
      <c r="X1379" s="563"/>
      <c r="Y1379" s="563"/>
      <c r="Z1379" s="563"/>
      <c r="AA1379" s="563"/>
      <c r="AB1379" s="563"/>
      <c r="AC1379" s="563"/>
      <c r="AD1379" s="563"/>
      <c r="AE1379" s="563"/>
    </row>
    <row r="1380" spans="1:31" outlineLevel="1" x14ac:dyDescent="0.2">
      <c r="C1380" s="5" t="s">
        <v>111</v>
      </c>
      <c r="D1380" s="5"/>
      <c r="F1380" s="1" t="s">
        <v>55</v>
      </c>
      <c r="G1380" s="21">
        <f t="shared" si="846"/>
        <v>-475.57593141478941</v>
      </c>
      <c r="I1380" s="21">
        <f>I1220</f>
        <v>-3.00687975</v>
      </c>
      <c r="J1380" s="21">
        <f t="shared" ref="J1380:V1380" si="851">J1220</f>
        <v>-5.9361625</v>
      </c>
      <c r="K1380" s="21">
        <f>K1220</f>
        <v>-1.0569</v>
      </c>
      <c r="L1380" s="21">
        <f t="shared" si="851"/>
        <v>-46.557598916478945</v>
      </c>
      <c r="M1380" s="21">
        <f t="shared" si="851"/>
        <v>-58.196998645598669</v>
      </c>
      <c r="N1380" s="21">
        <f>N1220</f>
        <v>-69.836398374718414</v>
      </c>
      <c r="O1380" s="21">
        <f t="shared" si="851"/>
        <v>-69.836398374718414</v>
      </c>
      <c r="P1380" s="21">
        <f t="shared" si="851"/>
        <v>-69.836398374718414</v>
      </c>
      <c r="Q1380" s="21">
        <f t="shared" si="851"/>
        <v>-69.836398374718414</v>
      </c>
      <c r="R1380" s="21">
        <f t="shared" si="851"/>
        <v>-58.196998645598669</v>
      </c>
      <c r="S1380" s="21">
        <f t="shared" si="851"/>
        <v>-23.278799458239472</v>
      </c>
      <c r="T1380" s="21">
        <f t="shared" si="851"/>
        <v>0</v>
      </c>
      <c r="U1380" s="21">
        <f t="shared" si="851"/>
        <v>0</v>
      </c>
      <c r="V1380" s="21">
        <f t="shared" si="851"/>
        <v>0</v>
      </c>
      <c r="W1380" s="563"/>
      <c r="X1380" s="563"/>
      <c r="Y1380" s="563"/>
      <c r="Z1380" s="563"/>
      <c r="AA1380" s="563"/>
      <c r="AB1380" s="563"/>
      <c r="AC1380" s="563"/>
      <c r="AD1380" s="563"/>
      <c r="AE1380" s="563"/>
    </row>
    <row r="1381" spans="1:31" outlineLevel="1" x14ac:dyDescent="0.2">
      <c r="C1381" s="5" t="s">
        <v>134</v>
      </c>
      <c r="D1381" s="5"/>
      <c r="F1381" s="1" t="s">
        <v>55</v>
      </c>
      <c r="G1381" s="21">
        <f t="shared" si="846"/>
        <v>-19.209984479475402</v>
      </c>
      <c r="I1381" s="21">
        <f t="shared" ref="I1381:V1381" si="852">I1216</f>
        <v>0</v>
      </c>
      <c r="J1381" s="21">
        <f t="shared" si="852"/>
        <v>0</v>
      </c>
      <c r="K1381" s="21">
        <f>K1216</f>
        <v>0</v>
      </c>
      <c r="L1381" s="21">
        <f t="shared" si="852"/>
        <v>0</v>
      </c>
      <c r="M1381" s="21">
        <f t="shared" si="852"/>
        <v>0</v>
      </c>
      <c r="N1381" s="21">
        <f t="shared" si="852"/>
        <v>0</v>
      </c>
      <c r="O1381" s="21">
        <f t="shared" si="852"/>
        <v>0</v>
      </c>
      <c r="P1381" s="21">
        <f t="shared" si="852"/>
        <v>0</v>
      </c>
      <c r="Q1381" s="21">
        <f t="shared" si="852"/>
        <v>0</v>
      </c>
      <c r="R1381" s="21">
        <f t="shared" si="852"/>
        <v>0</v>
      </c>
      <c r="S1381" s="21">
        <f t="shared" si="852"/>
        <v>-9.1545728130854211</v>
      </c>
      <c r="T1381" s="21">
        <f t="shared" si="852"/>
        <v>-5.0061433186102402</v>
      </c>
      <c r="U1381" s="21">
        <f t="shared" si="852"/>
        <v>-4.9755888829110972</v>
      </c>
      <c r="V1381" s="21">
        <f t="shared" si="852"/>
        <v>-7.3679464868643407E-2</v>
      </c>
      <c r="W1381" s="563"/>
      <c r="X1381" s="563"/>
      <c r="Y1381" s="563"/>
      <c r="Z1381" s="563"/>
      <c r="AA1381" s="563"/>
      <c r="AB1381" s="563"/>
      <c r="AC1381" s="563"/>
      <c r="AD1381" s="563"/>
      <c r="AE1381" s="563"/>
    </row>
    <row r="1382" spans="1:31" outlineLevel="1" x14ac:dyDescent="0.2">
      <c r="C1382" s="20" t="s">
        <v>175</v>
      </c>
      <c r="D1382" s="20"/>
      <c r="F1382" s="9" t="s">
        <v>55</v>
      </c>
      <c r="G1382" s="44">
        <f t="shared" si="846"/>
        <v>-383.24912326371094</v>
      </c>
      <c r="H1382" s="9"/>
      <c r="I1382" s="44">
        <f>SUM(I1376:I1381)</f>
        <v>-3.00687975</v>
      </c>
      <c r="J1382" s="44">
        <f t="shared" ref="J1382:V1382" si="853">SUM(J1376:J1381)</f>
        <v>-5.9361625</v>
      </c>
      <c r="K1382" s="44">
        <f>SUM(K1376:K1381)</f>
        <v>-1.0569</v>
      </c>
      <c r="L1382" s="44">
        <f t="shared" si="853"/>
        <v>-46.557598916478945</v>
      </c>
      <c r="M1382" s="44">
        <f t="shared" si="853"/>
        <v>-58.196998645598669</v>
      </c>
      <c r="N1382" s="44">
        <f t="shared" si="853"/>
        <v>-69.836398374718414</v>
      </c>
      <c r="O1382" s="44">
        <f t="shared" si="853"/>
        <v>-69.836398374718414</v>
      </c>
      <c r="P1382" s="44">
        <f t="shared" si="853"/>
        <v>-69.836398374718414</v>
      </c>
      <c r="Q1382" s="44">
        <f t="shared" si="853"/>
        <v>-69.836398374718414</v>
      </c>
      <c r="R1382" s="44">
        <f t="shared" si="853"/>
        <v>-58.196998645598669</v>
      </c>
      <c r="S1382" s="44">
        <f t="shared" si="853"/>
        <v>-16.45976851810795</v>
      </c>
      <c r="T1382" s="44">
        <f t="shared" si="853"/>
        <v>20.488288847116124</v>
      </c>
      <c r="U1382" s="44">
        <f t="shared" si="853"/>
        <v>29.946735286739781</v>
      </c>
      <c r="V1382" s="44">
        <f t="shared" si="853"/>
        <v>35.072753077091008</v>
      </c>
      <c r="W1382" s="580"/>
      <c r="X1382" s="580"/>
      <c r="Y1382" s="580"/>
      <c r="Z1382" s="580"/>
      <c r="AA1382" s="580"/>
      <c r="AB1382" s="580"/>
      <c r="AC1382" s="580"/>
      <c r="AD1382" s="580"/>
      <c r="AE1382" s="580"/>
    </row>
    <row r="1383" spans="1:31" outlineLevel="1" x14ac:dyDescent="0.2">
      <c r="C1383" s="5"/>
      <c r="D1383" s="5"/>
      <c r="I1383" s="21"/>
    </row>
    <row r="1384" spans="1:31" outlineLevel="1" x14ac:dyDescent="0.2">
      <c r="C1384" s="20" t="s">
        <v>176</v>
      </c>
      <c r="D1384" s="20"/>
      <c r="E1384" s="153">
        <v>8.8800000000000004E-2</v>
      </c>
      <c r="F1384" s="9" t="s">
        <v>55</v>
      </c>
      <c r="G1384" s="68">
        <f>NPV(E1384,I1382:AE1382)</f>
        <v>-231.36182404441922</v>
      </c>
      <c r="H1384" s="68"/>
    </row>
    <row r="1385" spans="1:31" outlineLevel="1" x14ac:dyDescent="0.2">
      <c r="C1385" s="20" t="s">
        <v>177</v>
      </c>
      <c r="D1385" s="20"/>
      <c r="F1385" s="9" t="s">
        <v>8</v>
      </c>
      <c r="G1385" s="73" t="e">
        <f>IRR(I1382:AE1382)</f>
        <v>#NUM!</v>
      </c>
      <c r="H1385" s="73"/>
    </row>
    <row r="1386" spans="1:31" outlineLevel="1" x14ac:dyDescent="0.2">
      <c r="A1386" s="5"/>
      <c r="C1386" s="20" t="s">
        <v>308</v>
      </c>
      <c r="D1386" s="20"/>
      <c r="F1386" s="9" t="s">
        <v>116</v>
      </c>
      <c r="G1386" s="44">
        <f>SUM(I1386:AE1386)</f>
        <v>2</v>
      </c>
      <c r="H1386" s="44"/>
      <c r="I1386" s="21">
        <f>((SUM($I$1382:I1382)&lt;0)*1-AND(SUM($I$1382:I1382)&gt;0,SUM($H$1382:H1382)&lt;0)*1*SUM($H$1382:H1382)/I1382)*(I2&gt;0)</f>
        <v>0</v>
      </c>
      <c r="J1386" s="21">
        <f>((SUM($I$1382:J1382)&lt;0)*1-AND(SUM($I$1382:J1382)&gt;0,SUM($H$1382:I1382)&lt;0)*1*SUM($H$1382:I1382)/J1382)*(J2&gt;0)</f>
        <v>0</v>
      </c>
      <c r="K1386" s="21">
        <f>((SUM($I$1382:K1382)&lt;0)*1-AND(SUM($I$1382:K1382)&gt;0,SUM($H$1382:J1382)&lt;0)*1*SUM($H$1382:J1382)/K1382)*(K2&gt;0)</f>
        <v>0</v>
      </c>
      <c r="L1386" s="21">
        <f>((SUM($I$1382:L1382)&lt;0)*1-AND(SUM($I$1382:L1382)&gt;0,SUM($H$1382:K1382)&lt;0)*1*SUM($H$1382:K1382)/L1382)*(L2&gt;0)</f>
        <v>0</v>
      </c>
      <c r="M1386" s="21">
        <f>((SUM($I$1382:M1382)&lt;0)*1-AND(SUM($I$1382:M1382)&gt;0,SUM($H$1382:L1382)&lt;0)*1*SUM($H$1382:L1382)/M1382)*(M2&gt;0)</f>
        <v>0</v>
      </c>
      <c r="N1386" s="21">
        <f>((SUM($I$1382:N1382)&lt;0)*1-AND(SUM($I$1382:N1382)&gt;0,SUM($H$1382:M1382)&lt;0)*1*SUM($H$1382:M1382)/N1382)*(N2&gt;0)</f>
        <v>0</v>
      </c>
      <c r="O1386" s="21">
        <f>((SUM($I$1382:O1382)&lt;0)*1-AND(SUM($I$1382:O1382)&gt;0,SUM($H$1382:N1382)&lt;0)*1*SUM($H$1382:N1382)/O1382)*(O2&gt;0)</f>
        <v>0</v>
      </c>
      <c r="P1386" s="21">
        <f>((SUM($I$1382:P1382)&lt;0)*1-AND(SUM($I$1382:P1382)&gt;0,SUM($H$1382:O1382)&lt;0)*1*SUM($H$1382:O1382)/P1382)*(P2&gt;0)</f>
        <v>0</v>
      </c>
      <c r="Q1386" s="21">
        <f>((SUM($I$1382:Q1382)&lt;0)*1-AND(SUM($I$1382:Q1382)&gt;0,SUM($H$1382:P1382)&lt;0)*1*SUM($H$1382:P1382)/Q1382)*(Q2&gt;0)</f>
        <v>0</v>
      </c>
      <c r="R1386" s="21">
        <f>((SUM($I$1382:R1382)&lt;0)*1-AND(SUM($I$1382:R1382)&gt;0,SUM($H$1382:Q1382)&lt;0)*1*SUM($H$1382:Q1382)/R1382)*(R2&gt;0)</f>
        <v>0</v>
      </c>
      <c r="S1386" s="21">
        <f>((SUM($I$1382:S1382)&lt;0)*1-AND(SUM($I$1382:S1382)&gt;0,SUM($H$1382:R1382)&lt;0)*1*SUM($H$1382:R1382)/S1382)*(S2&gt;0)</f>
        <v>0</v>
      </c>
      <c r="T1386" s="21">
        <f>((SUM($I$1382:T1382)&lt;0)*1-AND(SUM($I$1382:T1382)&gt;0,SUM($H$1382:S1382)&lt;0)*1*SUM($H$1382:S1382)/T1382)*(T2&gt;0)</f>
        <v>0</v>
      </c>
      <c r="U1386" s="21">
        <f>((SUM($I$1382:U1382)&lt;0)*1-AND(SUM($I$1382:U1382)&gt;0,SUM($H$1382:T1382)&lt;0)*1*SUM($H$1382:T1382)/U1382)*(U2&gt;0)</f>
        <v>1</v>
      </c>
      <c r="V1386" s="21">
        <f>((SUM($I$1382:V1382)&lt;0)*1-AND(SUM($I$1382:V1382)&gt;0,SUM($H$1382:U1382)&lt;0)*1*SUM($H$1382:U1382)/V1382)*(V2&gt;0)</f>
        <v>1</v>
      </c>
      <c r="W1386" s="563"/>
      <c r="X1386" s="563"/>
      <c r="Y1386" s="563"/>
      <c r="Z1386" s="563"/>
      <c r="AA1386" s="563"/>
      <c r="AB1386" s="563"/>
      <c r="AC1386" s="563"/>
      <c r="AD1386" s="563"/>
      <c r="AE1386" s="563"/>
    </row>
    <row r="1387" spans="1:31" outlineLevel="1" x14ac:dyDescent="0.2">
      <c r="A1387" s="5"/>
      <c r="C1387" s="5"/>
      <c r="D1387" s="5"/>
    </row>
    <row r="1388" spans="1:31" outlineLevel="1" x14ac:dyDescent="0.2">
      <c r="A1388" s="5"/>
      <c r="C1388" s="20"/>
      <c r="D1388" s="20"/>
      <c r="G1388" s="69"/>
      <c r="H1388" s="69"/>
    </row>
    <row r="1389" spans="1:31" outlineLevel="1" x14ac:dyDescent="0.2">
      <c r="C1389" s="5" t="s">
        <v>180</v>
      </c>
      <c r="D1389" s="5"/>
      <c r="E1389" s="98">
        <v>5</v>
      </c>
      <c r="G1389" s="21"/>
      <c r="H1389" s="21"/>
      <c r="I1389" s="21">
        <f t="shared" ref="I1389:V1389" si="854">($E$1389=I2)*1</f>
        <v>0</v>
      </c>
      <c r="J1389" s="21">
        <f t="shared" si="854"/>
        <v>0</v>
      </c>
      <c r="K1389" s="21">
        <f t="shared" si="854"/>
        <v>0</v>
      </c>
      <c r="L1389" s="21">
        <f t="shared" si="854"/>
        <v>0</v>
      </c>
      <c r="M1389" s="21">
        <f t="shared" si="854"/>
        <v>0</v>
      </c>
      <c r="N1389" s="21">
        <f t="shared" si="854"/>
        <v>0</v>
      </c>
      <c r="O1389" s="21">
        <f t="shared" si="854"/>
        <v>0</v>
      </c>
      <c r="P1389" s="21">
        <f t="shared" si="854"/>
        <v>0</v>
      </c>
      <c r="Q1389" s="21">
        <f t="shared" si="854"/>
        <v>0</v>
      </c>
      <c r="R1389" s="21">
        <f t="shared" si="854"/>
        <v>0</v>
      </c>
      <c r="S1389" s="21">
        <f t="shared" si="854"/>
        <v>0</v>
      </c>
      <c r="T1389" s="21">
        <f t="shared" si="854"/>
        <v>0</v>
      </c>
      <c r="U1389" s="21">
        <f t="shared" si="854"/>
        <v>0</v>
      </c>
      <c r="V1389" s="21">
        <f t="shared" si="854"/>
        <v>0</v>
      </c>
      <c r="W1389" s="563"/>
      <c r="X1389" s="563"/>
      <c r="Y1389" s="563"/>
      <c r="Z1389" s="563"/>
      <c r="AA1389" s="563"/>
      <c r="AB1389" s="563"/>
      <c r="AC1389" s="563"/>
      <c r="AD1389" s="563"/>
      <c r="AE1389" s="563"/>
    </row>
    <row r="1390" spans="1:31" outlineLevel="1" x14ac:dyDescent="0.2">
      <c r="C1390" s="5" t="s">
        <v>181</v>
      </c>
      <c r="D1390" s="5"/>
      <c r="E1390" s="108">
        <v>8</v>
      </c>
      <c r="G1390" s="21"/>
      <c r="H1390" s="21"/>
      <c r="I1390" s="21">
        <f t="shared" ref="I1390:V1390" si="855">$E$1390*I1389*(I1376+I1377+I1378)</f>
        <v>0</v>
      </c>
      <c r="J1390" s="21">
        <f t="shared" si="855"/>
        <v>0</v>
      </c>
      <c r="K1390" s="21">
        <f t="shared" si="855"/>
        <v>0</v>
      </c>
      <c r="L1390" s="21">
        <f t="shared" si="855"/>
        <v>0</v>
      </c>
      <c r="M1390" s="21">
        <f t="shared" si="855"/>
        <v>0</v>
      </c>
      <c r="N1390" s="21">
        <f t="shared" si="855"/>
        <v>0</v>
      </c>
      <c r="O1390" s="21">
        <f t="shared" si="855"/>
        <v>0</v>
      </c>
      <c r="P1390" s="21">
        <f t="shared" si="855"/>
        <v>0</v>
      </c>
      <c r="Q1390" s="21">
        <f t="shared" si="855"/>
        <v>0</v>
      </c>
      <c r="R1390" s="21">
        <f t="shared" si="855"/>
        <v>0</v>
      </c>
      <c r="S1390" s="21">
        <f t="shared" si="855"/>
        <v>0</v>
      </c>
      <c r="T1390" s="21">
        <f t="shared" si="855"/>
        <v>0</v>
      </c>
      <c r="U1390" s="21">
        <f t="shared" si="855"/>
        <v>0</v>
      </c>
      <c r="V1390" s="21">
        <f t="shared" si="855"/>
        <v>0</v>
      </c>
      <c r="W1390" s="563"/>
      <c r="X1390" s="563"/>
      <c r="Y1390" s="563"/>
      <c r="Z1390" s="563"/>
      <c r="AA1390" s="563"/>
      <c r="AB1390" s="563"/>
      <c r="AC1390" s="563"/>
      <c r="AD1390" s="563"/>
      <c r="AE1390" s="563"/>
    </row>
    <row r="1391" spans="1:31" outlineLevel="1" x14ac:dyDescent="0.2">
      <c r="C1391" s="5" t="s">
        <v>179</v>
      </c>
      <c r="D1391" s="5"/>
      <c r="E1391" s="75"/>
      <c r="G1391" s="21"/>
      <c r="H1391" s="21"/>
      <c r="I1391" s="21">
        <f>OR((SUM($I$1389:I1389)=0),I1389=1)*1</f>
        <v>1</v>
      </c>
      <c r="J1391" s="21">
        <f>OR((SUM($I$1389:J1389)=0),J1389=1)*1</f>
        <v>1</v>
      </c>
      <c r="K1391" s="21">
        <f>OR((SUM($I$1389:K1389)=0),K1389=1)*1</f>
        <v>1</v>
      </c>
      <c r="L1391" s="21">
        <f>OR((SUM($I$1389:L1389)=0),L1389=1)*1</f>
        <v>1</v>
      </c>
      <c r="M1391" s="21">
        <f>OR((SUM($I$1389:M1389)=0),M1389=1)*1</f>
        <v>1</v>
      </c>
      <c r="N1391" s="21">
        <f>OR((SUM($I$1389:N1389)=0),N1389=1)*1</f>
        <v>1</v>
      </c>
      <c r="O1391" s="21">
        <f>OR((SUM($I$1389:O1389)=0),O1389=1)*1</f>
        <v>1</v>
      </c>
      <c r="P1391" s="21">
        <f>OR((SUM($I$1389:P1389)=0),P1389=1)*1</f>
        <v>1</v>
      </c>
      <c r="Q1391" s="21">
        <f>OR((SUM($I$1389:Q1389)=0),Q1389=1)*1</f>
        <v>1</v>
      </c>
      <c r="R1391" s="21">
        <f>OR((SUM($I$1389:R1389)=0),R1389=1)*1</f>
        <v>1</v>
      </c>
      <c r="S1391" s="21">
        <f>OR((SUM($I$1389:S1389)=0),S1389=1)*1</f>
        <v>1</v>
      </c>
      <c r="T1391" s="21">
        <f>OR((SUM($I$1389:T1389)=0),T1389=1)*1</f>
        <v>1</v>
      </c>
      <c r="U1391" s="21">
        <f>OR((SUM($I$1389:U1389)=0),U1389=1)*1</f>
        <v>1</v>
      </c>
      <c r="V1391" s="21">
        <f>OR((SUM($I$1389:V1389)=0),V1389=1)*1</f>
        <v>1</v>
      </c>
      <c r="W1391" s="563"/>
      <c r="X1391" s="563"/>
      <c r="Y1391" s="563"/>
      <c r="Z1391" s="563"/>
      <c r="AA1391" s="563"/>
      <c r="AB1391" s="563"/>
      <c r="AC1391" s="563"/>
      <c r="AD1391" s="563"/>
      <c r="AE1391" s="563"/>
    </row>
    <row r="1392" spans="1:31" outlineLevel="1" x14ac:dyDescent="0.2">
      <c r="C1392" s="1" t="s">
        <v>178</v>
      </c>
      <c r="G1392" s="21">
        <f>SUM(I1392:AE1392)</f>
        <v>-383.24912326371094</v>
      </c>
      <c r="H1392" s="21"/>
      <c r="I1392" s="21">
        <f t="shared" ref="I1392:V1392" si="856">I1390+I1391*I1382</f>
        <v>-3.00687975</v>
      </c>
      <c r="J1392" s="21">
        <f t="shared" si="856"/>
        <v>-5.9361625</v>
      </c>
      <c r="K1392" s="21">
        <f>K1390+K1391*K1382</f>
        <v>-1.0569</v>
      </c>
      <c r="L1392" s="21">
        <f t="shared" si="856"/>
        <v>-46.557598916478945</v>
      </c>
      <c r="M1392" s="21">
        <f t="shared" si="856"/>
        <v>-58.196998645598669</v>
      </c>
      <c r="N1392" s="21">
        <f t="shared" si="856"/>
        <v>-69.836398374718414</v>
      </c>
      <c r="O1392" s="21">
        <f t="shared" si="856"/>
        <v>-69.836398374718414</v>
      </c>
      <c r="P1392" s="21">
        <f t="shared" si="856"/>
        <v>-69.836398374718414</v>
      </c>
      <c r="Q1392" s="21">
        <f t="shared" si="856"/>
        <v>-69.836398374718414</v>
      </c>
      <c r="R1392" s="21">
        <f t="shared" si="856"/>
        <v>-58.196998645598669</v>
      </c>
      <c r="S1392" s="21">
        <f t="shared" si="856"/>
        <v>-16.45976851810795</v>
      </c>
      <c r="T1392" s="21">
        <f t="shared" si="856"/>
        <v>20.488288847116124</v>
      </c>
      <c r="U1392" s="21">
        <f t="shared" si="856"/>
        <v>29.946735286739781</v>
      </c>
      <c r="V1392" s="21">
        <f t="shared" si="856"/>
        <v>35.072753077091008</v>
      </c>
      <c r="W1392" s="563"/>
      <c r="X1392" s="563"/>
      <c r="Y1392" s="563"/>
      <c r="Z1392" s="563"/>
      <c r="AA1392" s="563"/>
      <c r="AB1392" s="563"/>
      <c r="AC1392" s="563"/>
      <c r="AD1392" s="563"/>
      <c r="AE1392" s="563"/>
    </row>
    <row r="1393" spans="2:31" outlineLevel="1" x14ac:dyDescent="0.2"/>
    <row r="1394" spans="2:31" outlineLevel="1" x14ac:dyDescent="0.2">
      <c r="C1394" s="20" t="s">
        <v>176</v>
      </c>
      <c r="D1394" s="20"/>
      <c r="E1394" s="153">
        <v>8.8800000000000004E-2</v>
      </c>
      <c r="F1394" s="9" t="s">
        <v>55</v>
      </c>
      <c r="G1394" s="68">
        <f>NPV(E1394,I1392:AE1392)</f>
        <v>-231.36182404441922</v>
      </c>
      <c r="H1394" s="68"/>
      <c r="I1394" s="21"/>
    </row>
    <row r="1395" spans="2:31" outlineLevel="1" x14ac:dyDescent="0.2">
      <c r="C1395" s="20" t="s">
        <v>177</v>
      </c>
      <c r="D1395" s="20"/>
      <c r="F1395" s="9" t="s">
        <v>8</v>
      </c>
      <c r="G1395" s="73" t="e">
        <f>IRR(I1392:AE1392)</f>
        <v>#NUM!</v>
      </c>
      <c r="H1395" s="73"/>
      <c r="I1395" s="21"/>
    </row>
    <row r="1396" spans="2:31" outlineLevel="1" x14ac:dyDescent="0.2">
      <c r="C1396" s="20"/>
      <c r="D1396" s="20"/>
    </row>
    <row r="1397" spans="2:31" outlineLevel="1" x14ac:dyDescent="0.2">
      <c r="B1397" s="10">
        <f>B1374+0.1</f>
        <v>13.2</v>
      </c>
      <c r="C1397" s="20" t="s">
        <v>236</v>
      </c>
      <c r="D1397" s="20"/>
      <c r="K1397" s="21"/>
    </row>
    <row r="1398" spans="2:31" outlineLevel="1" x14ac:dyDescent="0.2">
      <c r="C1398" s="20"/>
      <c r="D1398" s="20"/>
    </row>
    <row r="1399" spans="2:31" outlineLevel="1" x14ac:dyDescent="0.2">
      <c r="C1399" s="5" t="s">
        <v>104</v>
      </c>
      <c r="D1399" s="20"/>
      <c r="G1399" s="21">
        <f t="shared" ref="G1399:G1420" si="857">SUM(I1399:AE1399)</f>
        <v>238.19489524999995</v>
      </c>
      <c r="H1399" s="52"/>
      <c r="I1399" s="21">
        <f t="shared" ref="I1399:V1404" si="858">I1376</f>
        <v>0</v>
      </c>
      <c r="J1399" s="21">
        <f t="shared" si="858"/>
        <v>0</v>
      </c>
      <c r="K1399" s="21">
        <f>K1376</f>
        <v>0</v>
      </c>
      <c r="L1399" s="21">
        <f t="shared" si="858"/>
        <v>0</v>
      </c>
      <c r="M1399" s="21">
        <f t="shared" si="858"/>
        <v>0</v>
      </c>
      <c r="N1399" s="21">
        <f t="shared" si="858"/>
        <v>0</v>
      </c>
      <c r="O1399" s="21">
        <f t="shared" si="858"/>
        <v>0</v>
      </c>
      <c r="P1399" s="21">
        <f t="shared" si="858"/>
        <v>0</v>
      </c>
      <c r="Q1399" s="21">
        <f t="shared" si="858"/>
        <v>0</v>
      </c>
      <c r="R1399" s="21">
        <f t="shared" si="858"/>
        <v>0</v>
      </c>
      <c r="S1399" s="21">
        <f t="shared" si="858"/>
        <v>36.645368499999996</v>
      </c>
      <c r="T1399" s="21">
        <f t="shared" si="858"/>
        <v>54.968052749999998</v>
      </c>
      <c r="U1399" s="21">
        <f t="shared" si="858"/>
        <v>73.290736999999993</v>
      </c>
      <c r="V1399" s="21">
        <f t="shared" si="858"/>
        <v>73.290736999999993</v>
      </c>
      <c r="W1399" s="563"/>
      <c r="X1399" s="563"/>
      <c r="Y1399" s="563"/>
      <c r="Z1399" s="563"/>
      <c r="AA1399" s="563"/>
      <c r="AB1399" s="563"/>
      <c r="AC1399" s="563"/>
      <c r="AD1399" s="563"/>
      <c r="AE1399" s="563"/>
    </row>
    <row r="1400" spans="2:31" outlineLevel="1" x14ac:dyDescent="0.2">
      <c r="C1400" s="5" t="s">
        <v>120</v>
      </c>
      <c r="D1400" s="20"/>
      <c r="G1400" s="21">
        <f t="shared" si="857"/>
        <v>-121.24848509713172</v>
      </c>
      <c r="H1400" s="52"/>
      <c r="I1400" s="21">
        <f t="shared" si="858"/>
        <v>0</v>
      </c>
      <c r="J1400" s="21">
        <f t="shared" si="858"/>
        <v>0</v>
      </c>
      <c r="K1400" s="21">
        <f>K1377</f>
        <v>0</v>
      </c>
      <c r="L1400" s="21">
        <f t="shared" si="858"/>
        <v>0</v>
      </c>
      <c r="M1400" s="21">
        <f t="shared" si="858"/>
        <v>0</v>
      </c>
      <c r="N1400" s="21">
        <f t="shared" si="858"/>
        <v>0</v>
      </c>
      <c r="O1400" s="21">
        <f t="shared" si="858"/>
        <v>0</v>
      </c>
      <c r="P1400" s="21">
        <f t="shared" si="858"/>
        <v>0</v>
      </c>
      <c r="Q1400" s="21">
        <f t="shared" si="858"/>
        <v>0</v>
      </c>
      <c r="R1400" s="21">
        <f t="shared" si="858"/>
        <v>0</v>
      </c>
      <c r="S1400" s="21">
        <f t="shared" si="858"/>
        <v>-19.662910695891949</v>
      </c>
      <c r="T1400" s="21">
        <f t="shared" si="858"/>
        <v>-28.189926269632529</v>
      </c>
      <c r="U1400" s="21">
        <f t="shared" si="858"/>
        <v>-36.809878251958011</v>
      </c>
      <c r="V1400" s="21">
        <f t="shared" si="858"/>
        <v>-36.585769879649234</v>
      </c>
      <c r="W1400" s="563"/>
      <c r="X1400" s="563"/>
      <c r="Y1400" s="563"/>
      <c r="Z1400" s="563"/>
      <c r="AA1400" s="563"/>
      <c r="AB1400" s="563"/>
      <c r="AC1400" s="563"/>
      <c r="AD1400" s="563"/>
      <c r="AE1400" s="563"/>
    </row>
    <row r="1401" spans="2:31" outlineLevel="1" x14ac:dyDescent="0.2">
      <c r="C1401" s="5" t="s">
        <v>444</v>
      </c>
      <c r="D1401" s="20"/>
      <c r="G1401" s="21">
        <f t="shared" si="857"/>
        <v>-5.4096175223144218</v>
      </c>
      <c r="H1401" s="52"/>
      <c r="I1401" s="21">
        <f t="shared" si="858"/>
        <v>0</v>
      </c>
      <c r="J1401" s="21">
        <f t="shared" si="858"/>
        <v>0</v>
      </c>
      <c r="K1401" s="21">
        <f t="shared" si="858"/>
        <v>0</v>
      </c>
      <c r="L1401" s="21">
        <f t="shared" si="858"/>
        <v>0</v>
      </c>
      <c r="M1401" s="21">
        <f t="shared" si="858"/>
        <v>0</v>
      </c>
      <c r="N1401" s="21">
        <f t="shared" si="858"/>
        <v>0</v>
      </c>
      <c r="O1401" s="21">
        <f t="shared" si="858"/>
        <v>0</v>
      </c>
      <c r="P1401" s="21">
        <f t="shared" si="858"/>
        <v>0</v>
      </c>
      <c r="Q1401" s="21">
        <f t="shared" si="858"/>
        <v>0</v>
      </c>
      <c r="R1401" s="21">
        <f t="shared" si="858"/>
        <v>0</v>
      </c>
      <c r="S1401" s="21">
        <f t="shared" si="858"/>
        <v>-1.0088540508911055</v>
      </c>
      <c r="T1401" s="21">
        <f t="shared" si="858"/>
        <v>-1.2836943146411057</v>
      </c>
      <c r="U1401" s="21">
        <f t="shared" si="858"/>
        <v>-1.5585345783911055</v>
      </c>
      <c r="V1401" s="21">
        <f t="shared" si="858"/>
        <v>-1.5585345783911055</v>
      </c>
      <c r="W1401" s="563"/>
      <c r="X1401" s="563"/>
      <c r="Y1401" s="563"/>
      <c r="Z1401" s="563"/>
      <c r="AA1401" s="563"/>
      <c r="AB1401" s="563"/>
      <c r="AC1401" s="563"/>
      <c r="AD1401" s="563"/>
      <c r="AE1401" s="563"/>
    </row>
    <row r="1402" spans="2:31" outlineLevel="1" x14ac:dyDescent="0.2">
      <c r="C1402" s="5" t="s">
        <v>135</v>
      </c>
      <c r="D1402" s="20"/>
      <c r="G1402" s="21">
        <f t="shared" si="857"/>
        <v>0</v>
      </c>
      <c r="H1402" s="52"/>
      <c r="I1402" s="21">
        <f t="shared" si="858"/>
        <v>0</v>
      </c>
      <c r="J1402" s="21">
        <f t="shared" si="858"/>
        <v>0</v>
      </c>
      <c r="K1402" s="21">
        <f>K1379</f>
        <v>0</v>
      </c>
      <c r="L1402" s="21">
        <f t="shared" si="858"/>
        <v>0</v>
      </c>
      <c r="M1402" s="21">
        <f t="shared" si="858"/>
        <v>0</v>
      </c>
      <c r="N1402" s="21">
        <f t="shared" si="858"/>
        <v>0</v>
      </c>
      <c r="O1402" s="21">
        <f t="shared" si="858"/>
        <v>0</v>
      </c>
      <c r="P1402" s="21">
        <f t="shared" si="858"/>
        <v>0</v>
      </c>
      <c r="Q1402" s="21">
        <f t="shared" si="858"/>
        <v>0</v>
      </c>
      <c r="R1402" s="21">
        <f t="shared" si="858"/>
        <v>0</v>
      </c>
      <c r="S1402" s="21">
        <f t="shared" si="858"/>
        <v>0</v>
      </c>
      <c r="T1402" s="21">
        <f t="shared" si="858"/>
        <v>0</v>
      </c>
      <c r="U1402" s="21">
        <f t="shared" si="858"/>
        <v>0</v>
      </c>
      <c r="V1402" s="21">
        <f t="shared" si="858"/>
        <v>0</v>
      </c>
      <c r="W1402" s="563"/>
      <c r="X1402" s="563"/>
      <c r="Y1402" s="563"/>
      <c r="Z1402" s="563"/>
      <c r="AA1402" s="563"/>
      <c r="AB1402" s="563"/>
      <c r="AC1402" s="563"/>
      <c r="AD1402" s="563"/>
      <c r="AE1402" s="563"/>
    </row>
    <row r="1403" spans="2:31" outlineLevel="1" x14ac:dyDescent="0.2">
      <c r="C1403" s="5" t="s">
        <v>111</v>
      </c>
      <c r="D1403" s="20"/>
      <c r="G1403" s="21">
        <f t="shared" si="857"/>
        <v>-475.57593141478941</v>
      </c>
      <c r="H1403" s="52"/>
      <c r="I1403" s="21">
        <f t="shared" si="858"/>
        <v>-3.00687975</v>
      </c>
      <c r="J1403" s="21">
        <f t="shared" si="858"/>
        <v>-5.9361625</v>
      </c>
      <c r="K1403" s="21">
        <f>K1380</f>
        <v>-1.0569</v>
      </c>
      <c r="L1403" s="21">
        <f t="shared" si="858"/>
        <v>-46.557598916478945</v>
      </c>
      <c r="M1403" s="21">
        <f t="shared" si="858"/>
        <v>-58.196998645598669</v>
      </c>
      <c r="N1403" s="21">
        <f t="shared" si="858"/>
        <v>-69.836398374718414</v>
      </c>
      <c r="O1403" s="21">
        <f t="shared" si="858"/>
        <v>-69.836398374718414</v>
      </c>
      <c r="P1403" s="21">
        <f t="shared" si="858"/>
        <v>-69.836398374718414</v>
      </c>
      <c r="Q1403" s="21">
        <f t="shared" si="858"/>
        <v>-69.836398374718414</v>
      </c>
      <c r="R1403" s="21">
        <f t="shared" si="858"/>
        <v>-58.196998645598669</v>
      </c>
      <c r="S1403" s="21">
        <f t="shared" si="858"/>
        <v>-23.278799458239472</v>
      </c>
      <c r="T1403" s="21">
        <f t="shared" si="858"/>
        <v>0</v>
      </c>
      <c r="U1403" s="21">
        <f t="shared" si="858"/>
        <v>0</v>
      </c>
      <c r="V1403" s="21">
        <f t="shared" si="858"/>
        <v>0</v>
      </c>
      <c r="W1403" s="563"/>
      <c r="X1403" s="563"/>
      <c r="Y1403" s="563"/>
      <c r="Z1403" s="563"/>
      <c r="AA1403" s="563"/>
      <c r="AB1403" s="563"/>
      <c r="AC1403" s="563"/>
      <c r="AD1403" s="563"/>
      <c r="AE1403" s="563"/>
    </row>
    <row r="1404" spans="2:31" outlineLevel="1" x14ac:dyDescent="0.2">
      <c r="C1404" s="5" t="s">
        <v>134</v>
      </c>
      <c r="D1404" s="20"/>
      <c r="G1404" s="21">
        <f t="shared" si="857"/>
        <v>-19.209984479475402</v>
      </c>
      <c r="H1404" s="52"/>
      <c r="I1404" s="21">
        <f t="shared" si="858"/>
        <v>0</v>
      </c>
      <c r="J1404" s="21">
        <f t="shared" si="858"/>
        <v>0</v>
      </c>
      <c r="K1404" s="21">
        <f>K1381</f>
        <v>0</v>
      </c>
      <c r="L1404" s="21">
        <f t="shared" si="858"/>
        <v>0</v>
      </c>
      <c r="M1404" s="21">
        <f t="shared" si="858"/>
        <v>0</v>
      </c>
      <c r="N1404" s="21">
        <f t="shared" si="858"/>
        <v>0</v>
      </c>
      <c r="O1404" s="21">
        <f t="shared" si="858"/>
        <v>0</v>
      </c>
      <c r="P1404" s="21">
        <f t="shared" si="858"/>
        <v>0</v>
      </c>
      <c r="Q1404" s="21">
        <f t="shared" si="858"/>
        <v>0</v>
      </c>
      <c r="R1404" s="21">
        <f t="shared" si="858"/>
        <v>0</v>
      </c>
      <c r="S1404" s="21">
        <f t="shared" si="858"/>
        <v>-9.1545728130854211</v>
      </c>
      <c r="T1404" s="21">
        <f t="shared" si="858"/>
        <v>-5.0061433186102402</v>
      </c>
      <c r="U1404" s="21">
        <f t="shared" si="858"/>
        <v>-4.9755888829110972</v>
      </c>
      <c r="V1404" s="21">
        <f t="shared" si="858"/>
        <v>-7.3679464868643407E-2</v>
      </c>
      <c r="W1404" s="563"/>
      <c r="X1404" s="563"/>
      <c r="Y1404" s="563"/>
      <c r="Z1404" s="563"/>
      <c r="AA1404" s="563"/>
      <c r="AB1404" s="563"/>
      <c r="AC1404" s="563"/>
      <c r="AD1404" s="563"/>
      <c r="AE1404" s="563"/>
    </row>
    <row r="1405" spans="2:31" outlineLevel="1" x14ac:dyDescent="0.2">
      <c r="C1405" s="1" t="s">
        <v>956</v>
      </c>
      <c r="D1405" s="20"/>
      <c r="G1405" s="21">
        <f t="shared" si="857"/>
        <v>9.9999422500000001</v>
      </c>
      <c r="H1405" s="52"/>
      <c r="I1405" s="21">
        <f>I1234</f>
        <v>3.00687975</v>
      </c>
      <c r="J1405" s="21">
        <f t="shared" ref="J1405:V1405" si="859">J1234</f>
        <v>5.9361625</v>
      </c>
      <c r="K1405" s="21">
        <f t="shared" si="859"/>
        <v>1.0569</v>
      </c>
      <c r="L1405" s="21">
        <f t="shared" si="859"/>
        <v>0</v>
      </c>
      <c r="M1405" s="21">
        <f t="shared" si="859"/>
        <v>0</v>
      </c>
      <c r="N1405" s="21">
        <f t="shared" si="859"/>
        <v>0</v>
      </c>
      <c r="O1405" s="21">
        <f t="shared" si="859"/>
        <v>0</v>
      </c>
      <c r="P1405" s="21">
        <f t="shared" si="859"/>
        <v>0</v>
      </c>
      <c r="Q1405" s="21">
        <f t="shared" si="859"/>
        <v>0</v>
      </c>
      <c r="R1405" s="21">
        <f t="shared" si="859"/>
        <v>0</v>
      </c>
      <c r="S1405" s="21">
        <f t="shared" si="859"/>
        <v>0</v>
      </c>
      <c r="T1405" s="21">
        <f t="shared" si="859"/>
        <v>0</v>
      </c>
      <c r="U1405" s="21">
        <f t="shared" si="859"/>
        <v>0</v>
      </c>
      <c r="V1405" s="21">
        <f t="shared" si="859"/>
        <v>0</v>
      </c>
      <c r="W1405" s="563"/>
      <c r="X1405" s="563"/>
      <c r="Y1405" s="563"/>
      <c r="Z1405" s="563"/>
      <c r="AA1405" s="563"/>
      <c r="AB1405" s="563"/>
      <c r="AC1405" s="563"/>
      <c r="AD1405" s="563"/>
      <c r="AE1405" s="563"/>
    </row>
    <row r="1406" spans="2:31" outlineLevel="1" x14ac:dyDescent="0.2">
      <c r="C1406" s="1" t="s">
        <v>957</v>
      </c>
      <c r="D1406" s="20"/>
      <c r="G1406" s="21">
        <f t="shared" si="857"/>
        <v>0</v>
      </c>
      <c r="H1406" s="52"/>
      <c r="I1406" s="21">
        <f t="shared" ref="I1406:V1406" si="860">I1235</f>
        <v>0</v>
      </c>
      <c r="J1406" s="21">
        <f t="shared" si="860"/>
        <v>0</v>
      </c>
      <c r="K1406" s="21">
        <f t="shared" si="860"/>
        <v>0</v>
      </c>
      <c r="L1406" s="21">
        <f t="shared" si="860"/>
        <v>0</v>
      </c>
      <c r="M1406" s="21">
        <f t="shared" si="860"/>
        <v>0</v>
      </c>
      <c r="N1406" s="21">
        <f t="shared" si="860"/>
        <v>0</v>
      </c>
      <c r="O1406" s="21">
        <f t="shared" si="860"/>
        <v>0</v>
      </c>
      <c r="P1406" s="21">
        <f t="shared" si="860"/>
        <v>0</v>
      </c>
      <c r="Q1406" s="21">
        <f t="shared" si="860"/>
        <v>0</v>
      </c>
      <c r="R1406" s="21">
        <f t="shared" si="860"/>
        <v>0</v>
      </c>
      <c r="S1406" s="21">
        <f t="shared" si="860"/>
        <v>0</v>
      </c>
      <c r="T1406" s="21">
        <f t="shared" si="860"/>
        <v>0</v>
      </c>
      <c r="U1406" s="21">
        <f t="shared" si="860"/>
        <v>0</v>
      </c>
      <c r="V1406" s="21">
        <f t="shared" si="860"/>
        <v>0</v>
      </c>
      <c r="W1406" s="563"/>
      <c r="X1406" s="563"/>
      <c r="Y1406" s="563"/>
      <c r="Z1406" s="563"/>
      <c r="AA1406" s="563"/>
      <c r="AB1406" s="563"/>
      <c r="AC1406" s="563"/>
      <c r="AD1406" s="563"/>
      <c r="AE1406" s="563"/>
    </row>
    <row r="1407" spans="2:31" outlineLevel="1" x14ac:dyDescent="0.2">
      <c r="C1407" s="1" t="s">
        <v>958</v>
      </c>
      <c r="D1407" s="20"/>
      <c r="G1407" s="21">
        <f t="shared" si="857"/>
        <v>-4.1711625334943765</v>
      </c>
      <c r="H1407" s="52"/>
      <c r="I1407" s="21">
        <f t="shared" ref="I1407:V1407" si="861">I1236</f>
        <v>-9.5053106797031259E-2</v>
      </c>
      <c r="J1407" s="21">
        <f t="shared" si="861"/>
        <v>-0.28270633372671877</v>
      </c>
      <c r="K1407" s="21">
        <f t="shared" si="861"/>
        <v>-0.31611692441421879</v>
      </c>
      <c r="L1407" s="21">
        <f t="shared" si="861"/>
        <v>-0.31611692441421879</v>
      </c>
      <c r="M1407" s="21">
        <f t="shared" si="861"/>
        <v>-0.31611692441421879</v>
      </c>
      <c r="N1407" s="21">
        <f t="shared" si="861"/>
        <v>-0.31611692441421879</v>
      </c>
      <c r="O1407" s="21">
        <f t="shared" si="861"/>
        <v>-0.31611692441421879</v>
      </c>
      <c r="P1407" s="21">
        <f t="shared" si="861"/>
        <v>-0.31611692441421879</v>
      </c>
      <c r="Q1407" s="21">
        <f t="shared" si="861"/>
        <v>-0.31611692441421879</v>
      </c>
      <c r="R1407" s="21">
        <f t="shared" si="861"/>
        <v>-0.31611692441421879</v>
      </c>
      <c r="S1407" s="21">
        <f t="shared" si="861"/>
        <v>-0.31611692441421879</v>
      </c>
      <c r="T1407" s="21">
        <f t="shared" si="861"/>
        <v>-0.31611692441421879</v>
      </c>
      <c r="U1407" s="21">
        <f t="shared" si="861"/>
        <v>-0.31611692441421879</v>
      </c>
      <c r="V1407" s="21">
        <f t="shared" si="861"/>
        <v>-0.31611692441421879</v>
      </c>
      <c r="W1407" s="563"/>
      <c r="X1407" s="563"/>
      <c r="Y1407" s="563"/>
      <c r="Z1407" s="563"/>
      <c r="AA1407" s="563"/>
      <c r="AB1407" s="563"/>
      <c r="AC1407" s="563"/>
      <c r="AD1407" s="563"/>
      <c r="AE1407" s="563"/>
    </row>
    <row r="1408" spans="2:31" outlineLevel="1" x14ac:dyDescent="0.2">
      <c r="C1408" s="1" t="s">
        <v>959</v>
      </c>
      <c r="D1408" s="20"/>
      <c r="G1408" s="21">
        <f t="shared" si="857"/>
        <v>-0.35</v>
      </c>
      <c r="H1408" s="52"/>
      <c r="I1408" s="21">
        <f t="shared" ref="I1408:V1408" si="862">I1237</f>
        <v>-0.15</v>
      </c>
      <c r="J1408" s="21">
        <f t="shared" si="862"/>
        <v>-9.9999999999999992E-2</v>
      </c>
      <c r="K1408" s="21">
        <f t="shared" si="862"/>
        <v>-9.9999999999999992E-2</v>
      </c>
      <c r="L1408" s="21">
        <f t="shared" si="862"/>
        <v>0</v>
      </c>
      <c r="M1408" s="21">
        <f t="shared" si="862"/>
        <v>0</v>
      </c>
      <c r="N1408" s="21">
        <f t="shared" si="862"/>
        <v>0</v>
      </c>
      <c r="O1408" s="21">
        <f t="shared" si="862"/>
        <v>0</v>
      </c>
      <c r="P1408" s="21">
        <f t="shared" si="862"/>
        <v>0</v>
      </c>
      <c r="Q1408" s="21">
        <f t="shared" si="862"/>
        <v>0</v>
      </c>
      <c r="R1408" s="21">
        <f t="shared" si="862"/>
        <v>0</v>
      </c>
      <c r="S1408" s="21">
        <f t="shared" si="862"/>
        <v>0</v>
      </c>
      <c r="T1408" s="21">
        <f t="shared" si="862"/>
        <v>0</v>
      </c>
      <c r="U1408" s="21">
        <f t="shared" si="862"/>
        <v>0</v>
      </c>
      <c r="V1408" s="21">
        <f t="shared" si="862"/>
        <v>0</v>
      </c>
      <c r="W1408" s="563"/>
      <c r="X1408" s="563"/>
      <c r="Y1408" s="563"/>
      <c r="Z1408" s="563"/>
      <c r="AA1408" s="563"/>
      <c r="AB1408" s="563"/>
      <c r="AC1408" s="563"/>
      <c r="AD1408" s="563"/>
      <c r="AE1408" s="563"/>
    </row>
    <row r="1409" spans="3:31" outlineLevel="1" x14ac:dyDescent="0.2">
      <c r="C1409" s="5" t="s">
        <v>463</v>
      </c>
      <c r="D1409" s="20"/>
      <c r="G1409" s="21">
        <f t="shared" si="857"/>
        <v>330</v>
      </c>
      <c r="H1409" s="52"/>
      <c r="I1409" s="21">
        <f>I1556</f>
        <v>0</v>
      </c>
      <c r="J1409" s="21">
        <f t="shared" ref="J1409:V1410" si="863">J1556</f>
        <v>0</v>
      </c>
      <c r="K1409" s="21">
        <f>K1556</f>
        <v>0</v>
      </c>
      <c r="L1409" s="21">
        <f>L1556</f>
        <v>33</v>
      </c>
      <c r="M1409" s="21">
        <f t="shared" si="863"/>
        <v>41.25</v>
      </c>
      <c r="N1409" s="21">
        <f t="shared" si="863"/>
        <v>49.5</v>
      </c>
      <c r="O1409" s="21">
        <f t="shared" si="863"/>
        <v>49.5</v>
      </c>
      <c r="P1409" s="21">
        <f t="shared" si="863"/>
        <v>49.5</v>
      </c>
      <c r="Q1409" s="21">
        <f t="shared" si="863"/>
        <v>49.5</v>
      </c>
      <c r="R1409" s="21">
        <f t="shared" si="863"/>
        <v>41.25</v>
      </c>
      <c r="S1409" s="21">
        <f t="shared" si="863"/>
        <v>16.5</v>
      </c>
      <c r="T1409" s="21">
        <f t="shared" si="863"/>
        <v>0</v>
      </c>
      <c r="U1409" s="21">
        <f t="shared" si="863"/>
        <v>0</v>
      </c>
      <c r="V1409" s="21">
        <f t="shared" si="863"/>
        <v>0</v>
      </c>
      <c r="W1409" s="563"/>
      <c r="X1409" s="563"/>
      <c r="Y1409" s="563"/>
      <c r="Z1409" s="563"/>
      <c r="AA1409" s="563"/>
      <c r="AB1409" s="563"/>
      <c r="AC1409" s="563"/>
      <c r="AD1409" s="563"/>
      <c r="AE1409" s="563"/>
    </row>
    <row r="1410" spans="3:31" outlineLevel="1" x14ac:dyDescent="0.2">
      <c r="C1410" s="1" t="s">
        <v>464</v>
      </c>
      <c r="D1410" s="20"/>
      <c r="G1410" s="21">
        <f t="shared" si="857"/>
        <v>-34.736842105263158</v>
      </c>
      <c r="H1410" s="52"/>
      <c r="I1410" s="21">
        <f>I1557</f>
        <v>0</v>
      </c>
      <c r="J1410" s="21">
        <f t="shared" si="863"/>
        <v>0</v>
      </c>
      <c r="K1410" s="21">
        <f>K1557</f>
        <v>0</v>
      </c>
      <c r="L1410" s="21">
        <f t="shared" si="863"/>
        <v>0</v>
      </c>
      <c r="M1410" s="21">
        <f t="shared" si="863"/>
        <v>0</v>
      </c>
      <c r="N1410" s="21">
        <f t="shared" si="863"/>
        <v>0</v>
      </c>
      <c r="O1410" s="21">
        <f t="shared" si="863"/>
        <v>0</v>
      </c>
      <c r="P1410" s="21">
        <f t="shared" si="863"/>
        <v>0</v>
      </c>
      <c r="Q1410" s="21">
        <f t="shared" si="863"/>
        <v>0</v>
      </c>
      <c r="R1410" s="21">
        <f t="shared" si="863"/>
        <v>0</v>
      </c>
      <c r="S1410" s="21">
        <f t="shared" si="863"/>
        <v>-8.6842105263157894</v>
      </c>
      <c r="T1410" s="21">
        <f t="shared" si="863"/>
        <v>-8.6842105263157894</v>
      </c>
      <c r="U1410" s="21">
        <f t="shared" si="863"/>
        <v>-8.6842105263157894</v>
      </c>
      <c r="V1410" s="21">
        <f t="shared" si="863"/>
        <v>-8.6842105263157894</v>
      </c>
      <c r="W1410" s="563"/>
      <c r="X1410" s="563"/>
      <c r="Y1410" s="563"/>
      <c r="Z1410" s="563"/>
      <c r="AA1410" s="563"/>
      <c r="AB1410" s="563"/>
      <c r="AC1410" s="563"/>
      <c r="AD1410" s="563"/>
      <c r="AE1410" s="563"/>
    </row>
    <row r="1411" spans="3:31" outlineLevel="1" x14ac:dyDescent="0.2">
      <c r="C1411" s="1" t="s">
        <v>474</v>
      </c>
      <c r="D1411" s="20"/>
      <c r="G1411" s="21">
        <f t="shared" si="857"/>
        <v>0</v>
      </c>
      <c r="H1411" s="52"/>
      <c r="I1411" s="21">
        <f>-I1560</f>
        <v>0</v>
      </c>
      <c r="J1411" s="21">
        <f t="shared" ref="J1411:V1411" si="864">-J1560</f>
        <v>0</v>
      </c>
      <c r="K1411" s="21">
        <f>-K1560</f>
        <v>0</v>
      </c>
      <c r="L1411" s="21">
        <f t="shared" si="864"/>
        <v>0</v>
      </c>
      <c r="M1411" s="21">
        <f t="shared" si="864"/>
        <v>0</v>
      </c>
      <c r="N1411" s="21">
        <f t="shared" si="864"/>
        <v>0</v>
      </c>
      <c r="O1411" s="21">
        <f t="shared" si="864"/>
        <v>0</v>
      </c>
      <c r="P1411" s="21">
        <f t="shared" si="864"/>
        <v>0</v>
      </c>
      <c r="Q1411" s="21">
        <f t="shared" si="864"/>
        <v>0</v>
      </c>
      <c r="R1411" s="21">
        <f t="shared" si="864"/>
        <v>0</v>
      </c>
      <c r="S1411" s="21">
        <f t="shared" si="864"/>
        <v>0</v>
      </c>
      <c r="T1411" s="21">
        <f t="shared" si="864"/>
        <v>0</v>
      </c>
      <c r="U1411" s="21">
        <f t="shared" si="864"/>
        <v>0</v>
      </c>
      <c r="V1411" s="21">
        <f t="shared" si="864"/>
        <v>0</v>
      </c>
      <c r="W1411" s="563"/>
      <c r="X1411" s="563"/>
      <c r="Y1411" s="563"/>
      <c r="Z1411" s="563"/>
      <c r="AA1411" s="563"/>
      <c r="AB1411" s="563"/>
      <c r="AC1411" s="563"/>
      <c r="AD1411" s="563"/>
      <c r="AE1411" s="563"/>
    </row>
    <row r="1412" spans="3:31" outlineLevel="1" x14ac:dyDescent="0.2">
      <c r="C1412" s="1" t="s">
        <v>475</v>
      </c>
      <c r="D1412" s="20"/>
      <c r="G1412" s="21">
        <f t="shared" si="857"/>
        <v>-12.168536276993445</v>
      </c>
      <c r="H1412" s="52"/>
      <c r="I1412" s="21">
        <f>-I1571</f>
        <v>-0.82192417372596971</v>
      </c>
      <c r="J1412" s="21">
        <f t="shared" ref="J1412:V1412" si="865">-J1571</f>
        <v>-0.82192417372596971</v>
      </c>
      <c r="K1412" s="21">
        <f>-K1571</f>
        <v>-0.82192417372596971</v>
      </c>
      <c r="L1412" s="21">
        <f t="shared" si="865"/>
        <v>-7.3808279650396713</v>
      </c>
      <c r="M1412" s="21">
        <f t="shared" si="865"/>
        <v>-0.68836149549549963</v>
      </c>
      <c r="N1412" s="21">
        <f t="shared" si="865"/>
        <v>-0.5753469216081788</v>
      </c>
      <c r="O1412" s="21">
        <f t="shared" si="865"/>
        <v>-0.45205829554928334</v>
      </c>
      <c r="P1412" s="21">
        <f t="shared" si="865"/>
        <v>-0.32876966949038788</v>
      </c>
      <c r="Q1412" s="21">
        <f t="shared" si="865"/>
        <v>-0.20548104343149243</v>
      </c>
      <c r="R1412" s="21">
        <f t="shared" si="865"/>
        <v>-9.2466469544171592E-2</v>
      </c>
      <c r="S1412" s="21">
        <f t="shared" si="865"/>
        <v>2.0548104343149243E-2</v>
      </c>
      <c r="T1412" s="21">
        <f t="shared" si="865"/>
        <v>0</v>
      </c>
      <c r="U1412" s="21">
        <f t="shared" si="865"/>
        <v>0</v>
      </c>
      <c r="V1412" s="21">
        <f t="shared" si="865"/>
        <v>0</v>
      </c>
      <c r="W1412" s="563"/>
      <c r="X1412" s="563"/>
      <c r="Y1412" s="563"/>
      <c r="Z1412" s="563"/>
      <c r="AA1412" s="563"/>
      <c r="AB1412" s="563"/>
      <c r="AC1412" s="563"/>
      <c r="AD1412" s="563"/>
      <c r="AE1412" s="563"/>
    </row>
    <row r="1413" spans="3:31" outlineLevel="1" x14ac:dyDescent="0.2">
      <c r="C1413" s="1" t="s">
        <v>476</v>
      </c>
      <c r="D1413" s="20"/>
      <c r="G1413" s="21">
        <f t="shared" si="857"/>
        <v>23.428637097054299</v>
      </c>
      <c r="H1413" s="52"/>
      <c r="I1413" s="21">
        <f t="shared" ref="I1413:V1413" si="866">I947</f>
        <v>0</v>
      </c>
      <c r="J1413" s="21">
        <f t="shared" si="866"/>
        <v>0</v>
      </c>
      <c r="K1413" s="21">
        <f t="shared" si="866"/>
        <v>0</v>
      </c>
      <c r="L1413" s="21">
        <f t="shared" si="866"/>
        <v>0</v>
      </c>
      <c r="M1413" s="21">
        <f t="shared" si="866"/>
        <v>0</v>
      </c>
      <c r="N1413" s="21">
        <f t="shared" si="866"/>
        <v>0</v>
      </c>
      <c r="O1413" s="21">
        <f t="shared" si="866"/>
        <v>0</v>
      </c>
      <c r="P1413" s="21">
        <f t="shared" si="866"/>
        <v>0</v>
      </c>
      <c r="Q1413" s="21">
        <f t="shared" si="866"/>
        <v>0</v>
      </c>
      <c r="R1413" s="21">
        <f t="shared" si="866"/>
        <v>0</v>
      </c>
      <c r="S1413" s="21">
        <f t="shared" si="866"/>
        <v>11.714318548527149</v>
      </c>
      <c r="T1413" s="21">
        <f t="shared" si="866"/>
        <v>5.8571592742635801</v>
      </c>
      <c r="U1413" s="21">
        <f t="shared" si="866"/>
        <v>5.8571592742635694</v>
      </c>
      <c r="V1413" s="21">
        <f t="shared" si="866"/>
        <v>0</v>
      </c>
      <c r="W1413" s="563"/>
      <c r="X1413" s="563"/>
      <c r="Y1413" s="563"/>
      <c r="Z1413" s="563"/>
      <c r="AA1413" s="563"/>
      <c r="AB1413" s="563"/>
      <c r="AC1413" s="563"/>
      <c r="AD1413" s="563"/>
      <c r="AE1413" s="563"/>
    </row>
    <row r="1414" spans="3:31" outlineLevel="1" x14ac:dyDescent="0.2">
      <c r="C1414" s="1" t="s">
        <v>477</v>
      </c>
      <c r="D1414" s="20"/>
      <c r="G1414" s="21">
        <f t="shared" si="857"/>
        <v>0</v>
      </c>
      <c r="H1414" s="52"/>
      <c r="I1414" s="21">
        <f t="shared" ref="I1414:V1414" si="867">I948</f>
        <v>0</v>
      </c>
      <c r="J1414" s="21">
        <f t="shared" si="867"/>
        <v>0</v>
      </c>
      <c r="K1414" s="21">
        <f t="shared" si="867"/>
        <v>0</v>
      </c>
      <c r="L1414" s="21">
        <f t="shared" si="867"/>
        <v>0</v>
      </c>
      <c r="M1414" s="21">
        <f t="shared" si="867"/>
        <v>0</v>
      </c>
      <c r="N1414" s="21">
        <f t="shared" si="867"/>
        <v>0</v>
      </c>
      <c r="O1414" s="21">
        <f t="shared" si="867"/>
        <v>0</v>
      </c>
      <c r="P1414" s="21">
        <f t="shared" si="867"/>
        <v>0</v>
      </c>
      <c r="Q1414" s="21">
        <f t="shared" si="867"/>
        <v>0</v>
      </c>
      <c r="R1414" s="21">
        <f t="shared" si="867"/>
        <v>0</v>
      </c>
      <c r="S1414" s="21">
        <f t="shared" si="867"/>
        <v>0</v>
      </c>
      <c r="T1414" s="21">
        <f t="shared" si="867"/>
        <v>0</v>
      </c>
      <c r="U1414" s="21">
        <f t="shared" si="867"/>
        <v>0</v>
      </c>
      <c r="V1414" s="21">
        <f t="shared" si="867"/>
        <v>0</v>
      </c>
      <c r="W1414" s="563"/>
      <c r="X1414" s="563"/>
      <c r="Y1414" s="563"/>
      <c r="Z1414" s="563"/>
      <c r="AA1414" s="563"/>
      <c r="AB1414" s="563"/>
      <c r="AC1414" s="563"/>
      <c r="AD1414" s="563"/>
      <c r="AE1414" s="563"/>
    </row>
    <row r="1415" spans="3:31" outlineLevel="1" x14ac:dyDescent="0.2">
      <c r="C1415" s="1" t="s">
        <v>478</v>
      </c>
      <c r="D1415" s="20"/>
      <c r="G1415" s="21">
        <f t="shared" si="857"/>
        <v>-1.2516281732978158</v>
      </c>
      <c r="H1415" s="52"/>
      <c r="I1415" s="21">
        <f t="shared" ref="I1415:V1415" si="868">-I951</f>
        <v>0</v>
      </c>
      <c r="J1415" s="21">
        <f t="shared" si="868"/>
        <v>0</v>
      </c>
      <c r="K1415" s="21">
        <f t="shared" si="868"/>
        <v>0</v>
      </c>
      <c r="L1415" s="21">
        <f t="shared" si="868"/>
        <v>0</v>
      </c>
      <c r="M1415" s="21">
        <f t="shared" si="868"/>
        <v>0</v>
      </c>
      <c r="N1415" s="21">
        <f t="shared" si="868"/>
        <v>0</v>
      </c>
      <c r="O1415" s="21">
        <f t="shared" si="868"/>
        <v>0</v>
      </c>
      <c r="P1415" s="21">
        <f t="shared" si="868"/>
        <v>0</v>
      </c>
      <c r="Q1415" s="21">
        <f t="shared" si="868"/>
        <v>0</v>
      </c>
      <c r="R1415" s="21">
        <f t="shared" si="868"/>
        <v>0</v>
      </c>
      <c r="S1415" s="21">
        <f t="shared" si="868"/>
        <v>-0.11378437939071051</v>
      </c>
      <c r="T1415" s="21">
        <f t="shared" si="868"/>
        <v>-0.28446094847677633</v>
      </c>
      <c r="U1415" s="21">
        <f t="shared" si="868"/>
        <v>-0.3982453278674869</v>
      </c>
      <c r="V1415" s="21">
        <f t="shared" si="868"/>
        <v>-0.45513751756284204</v>
      </c>
      <c r="W1415" s="563"/>
      <c r="X1415" s="563"/>
      <c r="Y1415" s="563"/>
      <c r="Z1415" s="563"/>
      <c r="AA1415" s="563"/>
      <c r="AB1415" s="563"/>
      <c r="AC1415" s="563"/>
      <c r="AD1415" s="563"/>
      <c r="AE1415" s="563"/>
    </row>
    <row r="1416" spans="3:31" outlineLevel="1" x14ac:dyDescent="0.2">
      <c r="C1416" s="1" t="s">
        <v>769</v>
      </c>
      <c r="D1416" s="20"/>
      <c r="G1416" s="21">
        <f t="shared" si="857"/>
        <v>0</v>
      </c>
      <c r="H1416" s="52"/>
      <c r="I1416" s="21">
        <f>I1639</f>
        <v>0</v>
      </c>
      <c r="J1416" s="21">
        <f t="shared" ref="J1416:V1417" si="869">J1639</f>
        <v>0</v>
      </c>
      <c r="K1416" s="21">
        <f t="shared" si="869"/>
        <v>0</v>
      </c>
      <c r="L1416" s="21">
        <f t="shared" si="869"/>
        <v>0</v>
      </c>
      <c r="M1416" s="21">
        <f t="shared" si="869"/>
        <v>0</v>
      </c>
      <c r="N1416" s="21">
        <f t="shared" si="869"/>
        <v>0</v>
      </c>
      <c r="O1416" s="21">
        <f t="shared" si="869"/>
        <v>0</v>
      </c>
      <c r="P1416" s="21">
        <f t="shared" si="869"/>
        <v>0</v>
      </c>
      <c r="Q1416" s="21">
        <f t="shared" si="869"/>
        <v>0</v>
      </c>
      <c r="R1416" s="21">
        <f t="shared" si="869"/>
        <v>0</v>
      </c>
      <c r="S1416" s="21">
        <f t="shared" si="869"/>
        <v>0</v>
      </c>
      <c r="T1416" s="21">
        <f t="shared" si="869"/>
        <v>0</v>
      </c>
      <c r="U1416" s="21">
        <f t="shared" si="869"/>
        <v>0</v>
      </c>
      <c r="V1416" s="21">
        <f t="shared" si="869"/>
        <v>0</v>
      </c>
      <c r="W1416" s="563"/>
      <c r="X1416" s="563"/>
      <c r="Y1416" s="563"/>
      <c r="Z1416" s="563"/>
      <c r="AA1416" s="563"/>
      <c r="AB1416" s="563"/>
      <c r="AC1416" s="563"/>
      <c r="AD1416" s="563"/>
      <c r="AE1416" s="563"/>
    </row>
    <row r="1417" spans="3:31" outlineLevel="1" x14ac:dyDescent="0.2">
      <c r="C1417" s="1" t="s">
        <v>770</v>
      </c>
      <c r="D1417" s="20"/>
      <c r="G1417" s="21">
        <f t="shared" si="857"/>
        <v>0</v>
      </c>
      <c r="H1417" s="52"/>
      <c r="I1417" s="21">
        <f>I1640</f>
        <v>0</v>
      </c>
      <c r="J1417" s="21">
        <f t="shared" si="869"/>
        <v>0</v>
      </c>
      <c r="K1417" s="21">
        <f t="shared" si="869"/>
        <v>0</v>
      </c>
      <c r="L1417" s="21">
        <f t="shared" si="869"/>
        <v>0</v>
      </c>
      <c r="M1417" s="21">
        <f t="shared" si="869"/>
        <v>0</v>
      </c>
      <c r="N1417" s="21">
        <f t="shared" si="869"/>
        <v>0</v>
      </c>
      <c r="O1417" s="21">
        <f t="shared" si="869"/>
        <v>0</v>
      </c>
      <c r="P1417" s="21">
        <f t="shared" si="869"/>
        <v>0</v>
      </c>
      <c r="Q1417" s="21">
        <f t="shared" si="869"/>
        <v>0</v>
      </c>
      <c r="R1417" s="21">
        <f t="shared" si="869"/>
        <v>0</v>
      </c>
      <c r="S1417" s="21">
        <f t="shared" si="869"/>
        <v>0</v>
      </c>
      <c r="T1417" s="21">
        <f t="shared" si="869"/>
        <v>0</v>
      </c>
      <c r="U1417" s="21">
        <f t="shared" si="869"/>
        <v>0</v>
      </c>
      <c r="V1417" s="21">
        <f t="shared" si="869"/>
        <v>0</v>
      </c>
      <c r="W1417" s="563"/>
      <c r="X1417" s="563"/>
      <c r="Y1417" s="563"/>
      <c r="Z1417" s="563"/>
      <c r="AA1417" s="563"/>
      <c r="AB1417" s="563"/>
      <c r="AC1417" s="563"/>
      <c r="AD1417" s="563"/>
      <c r="AE1417" s="563"/>
    </row>
    <row r="1418" spans="3:31" outlineLevel="1" x14ac:dyDescent="0.2">
      <c r="C1418" s="1" t="s">
        <v>771</v>
      </c>
      <c r="D1418" s="20"/>
      <c r="G1418" s="21">
        <f t="shared" si="857"/>
        <v>0</v>
      </c>
      <c r="H1418" s="52"/>
      <c r="I1418" s="21">
        <f>-I1643</f>
        <v>0</v>
      </c>
      <c r="J1418" s="21">
        <f t="shared" ref="J1418:V1418" si="870">-J1643</f>
        <v>0</v>
      </c>
      <c r="K1418" s="21">
        <f t="shared" si="870"/>
        <v>0</v>
      </c>
      <c r="L1418" s="21">
        <f t="shared" si="870"/>
        <v>0</v>
      </c>
      <c r="M1418" s="21">
        <f t="shared" si="870"/>
        <v>0</v>
      </c>
      <c r="N1418" s="21">
        <f t="shared" si="870"/>
        <v>0</v>
      </c>
      <c r="O1418" s="21">
        <f t="shared" si="870"/>
        <v>0</v>
      </c>
      <c r="P1418" s="21">
        <f t="shared" si="870"/>
        <v>0</v>
      </c>
      <c r="Q1418" s="21">
        <f t="shared" si="870"/>
        <v>0</v>
      </c>
      <c r="R1418" s="21">
        <f t="shared" si="870"/>
        <v>0</v>
      </c>
      <c r="S1418" s="21">
        <f t="shared" si="870"/>
        <v>0</v>
      </c>
      <c r="T1418" s="21">
        <f t="shared" si="870"/>
        <v>0</v>
      </c>
      <c r="U1418" s="21">
        <f t="shared" si="870"/>
        <v>0</v>
      </c>
      <c r="V1418" s="21">
        <f t="shared" si="870"/>
        <v>0</v>
      </c>
      <c r="W1418" s="563"/>
      <c r="X1418" s="563"/>
      <c r="Y1418" s="563"/>
      <c r="Z1418" s="563"/>
      <c r="AA1418" s="563"/>
      <c r="AB1418" s="563"/>
      <c r="AC1418" s="563"/>
      <c r="AD1418" s="563"/>
      <c r="AE1418" s="563"/>
    </row>
    <row r="1419" spans="3:31" outlineLevel="1" x14ac:dyDescent="0.2">
      <c r="C1419" s="1" t="s">
        <v>772</v>
      </c>
      <c r="D1419" s="20"/>
      <c r="G1419" s="21">
        <f t="shared" si="857"/>
        <v>-0.57980024272866759</v>
      </c>
      <c r="H1419" s="52"/>
      <c r="I1419" s="21">
        <f>-I1654</f>
        <v>-5.7980024272866755E-2</v>
      </c>
      <c r="J1419" s="21">
        <f t="shared" ref="J1419:V1419" si="871">-J1654</f>
        <v>-5.7980024272866755E-2</v>
      </c>
      <c r="K1419" s="21">
        <f t="shared" si="871"/>
        <v>-5.7980024272866755E-2</v>
      </c>
      <c r="L1419" s="21">
        <f t="shared" si="871"/>
        <v>-5.7980024272866755E-2</v>
      </c>
      <c r="M1419" s="21">
        <f t="shared" si="871"/>
        <v>-5.7980024272866755E-2</v>
      </c>
      <c r="N1419" s="21">
        <f t="shared" si="871"/>
        <v>-5.7980024272866755E-2</v>
      </c>
      <c r="O1419" s="21">
        <f t="shared" si="871"/>
        <v>-5.7980024272866755E-2</v>
      </c>
      <c r="P1419" s="21">
        <f t="shared" si="871"/>
        <v>-5.7980024272866755E-2</v>
      </c>
      <c r="Q1419" s="21">
        <f t="shared" si="871"/>
        <v>-5.7980024272866755E-2</v>
      </c>
      <c r="R1419" s="21">
        <f t="shared" si="871"/>
        <v>-5.7980024272866755E-2</v>
      </c>
      <c r="S1419" s="21">
        <f t="shared" si="871"/>
        <v>0</v>
      </c>
      <c r="T1419" s="21">
        <f t="shared" si="871"/>
        <v>0</v>
      </c>
      <c r="U1419" s="21">
        <f t="shared" si="871"/>
        <v>0</v>
      </c>
      <c r="V1419" s="21">
        <f t="shared" si="871"/>
        <v>0</v>
      </c>
      <c r="W1419" s="563"/>
      <c r="X1419" s="563"/>
      <c r="Y1419" s="563"/>
      <c r="Z1419" s="563"/>
      <c r="AA1419" s="563"/>
      <c r="AB1419" s="563"/>
      <c r="AC1419" s="563"/>
      <c r="AD1419" s="563"/>
      <c r="AE1419" s="563"/>
    </row>
    <row r="1420" spans="3:31" outlineLevel="1" x14ac:dyDescent="0.2">
      <c r="C1420" s="9" t="s">
        <v>237</v>
      </c>
      <c r="D1420" s="20"/>
      <c r="E1420" s="9"/>
      <c r="F1420" s="9"/>
      <c r="G1420" s="44">
        <f t="shared" si="857"/>
        <v>-73.078513248434106</v>
      </c>
      <c r="H1420" s="53"/>
      <c r="I1420" s="44">
        <f>SUM(I1399:I1419)</f>
        <v>-1.1249573047958676</v>
      </c>
      <c r="J1420" s="44">
        <f t="shared" ref="J1420:V1420" si="872">SUM(J1399:J1419)</f>
        <v>-1.2626105317255552</v>
      </c>
      <c r="K1420" s="44">
        <f t="shared" si="872"/>
        <v>-1.2960211224130551</v>
      </c>
      <c r="L1420" s="44">
        <f t="shared" si="872"/>
        <v>-21.312523830205699</v>
      </c>
      <c r="M1420" s="44">
        <f t="shared" si="872"/>
        <v>-18.00945708978125</v>
      </c>
      <c r="N1420" s="44">
        <f t="shared" si="872"/>
        <v>-21.285842245013676</v>
      </c>
      <c r="O1420" s="44">
        <f t="shared" si="872"/>
        <v>-21.162553618954778</v>
      </c>
      <c r="P1420" s="44">
        <f t="shared" si="872"/>
        <v>-21.039264992895884</v>
      </c>
      <c r="Q1420" s="44">
        <f t="shared" si="872"/>
        <v>-20.91597636683699</v>
      </c>
      <c r="R1420" s="44">
        <f t="shared" si="872"/>
        <v>-17.413562063829922</v>
      </c>
      <c r="S1420" s="44">
        <f t="shared" si="872"/>
        <v>2.6609863046416313</v>
      </c>
      <c r="T1420" s="44">
        <f t="shared" si="872"/>
        <v>17.060659722172922</v>
      </c>
      <c r="U1420" s="44">
        <f t="shared" si="872"/>
        <v>26.40532178240586</v>
      </c>
      <c r="V1420" s="44">
        <f t="shared" si="872"/>
        <v>25.61728810879816</v>
      </c>
      <c r="W1420" s="580"/>
      <c r="X1420" s="580"/>
      <c r="Y1420" s="580"/>
      <c r="Z1420" s="580"/>
      <c r="AA1420" s="580"/>
      <c r="AB1420" s="580"/>
      <c r="AC1420" s="580"/>
      <c r="AD1420" s="580"/>
      <c r="AE1420" s="580"/>
    </row>
    <row r="1421" spans="3:31" outlineLevel="1" x14ac:dyDescent="0.2">
      <c r="C1421" s="20"/>
      <c r="D1421" s="20"/>
      <c r="H1421" s="5"/>
      <c r="I1421" s="53"/>
      <c r="J1421" s="53"/>
      <c r="K1421" s="53"/>
      <c r="L1421" s="53"/>
      <c r="M1421" s="53"/>
      <c r="N1421" s="53"/>
      <c r="O1421" s="53"/>
      <c r="P1421" s="53"/>
      <c r="Q1421" s="53"/>
      <c r="R1421" s="53"/>
      <c r="S1421" s="53"/>
      <c r="T1421" s="53"/>
      <c r="U1421" s="53"/>
      <c r="V1421" s="53"/>
      <c r="W1421" s="580"/>
      <c r="X1421" s="580"/>
      <c r="Y1421" s="580"/>
      <c r="Z1421" s="580"/>
      <c r="AA1421" s="580"/>
      <c r="AB1421" s="580"/>
      <c r="AC1421" s="580"/>
      <c r="AD1421" s="580"/>
      <c r="AE1421" s="580"/>
    </row>
    <row r="1422" spans="3:31" outlineLevel="1" x14ac:dyDescent="0.2">
      <c r="C1422" s="20" t="s">
        <v>176</v>
      </c>
      <c r="D1422" s="20"/>
      <c r="E1422" s="153">
        <v>8.8800000000000004E-2</v>
      </c>
      <c r="F1422" s="9" t="s">
        <v>55</v>
      </c>
      <c r="G1422" s="68">
        <f>NPV(E1422,I1420:AE1420)</f>
        <v>-58.582864726843766</v>
      </c>
      <c r="H1422" s="503"/>
      <c r="I1422" s="21"/>
      <c r="J1422" s="21"/>
    </row>
    <row r="1423" spans="3:31" outlineLevel="1" x14ac:dyDescent="0.2">
      <c r="C1423" s="20" t="s">
        <v>177</v>
      </c>
      <c r="D1423" s="20"/>
      <c r="F1423" s="9" t="s">
        <v>8</v>
      </c>
      <c r="G1423" s="73">
        <f>IRR(I1420:AE1420)</f>
        <v>-0.11039820109180731</v>
      </c>
      <c r="H1423" s="504"/>
    </row>
    <row r="1424" spans="3:31" outlineLevel="1" x14ac:dyDescent="0.2">
      <c r="C1424" s="20" t="s">
        <v>308</v>
      </c>
      <c r="D1424" s="20"/>
      <c r="F1424" s="9" t="s">
        <v>116</v>
      </c>
      <c r="G1424" s="53">
        <f>SUM(I1424:AE1424)</f>
        <v>2</v>
      </c>
      <c r="H1424" s="53"/>
      <c r="I1424" s="21">
        <f>((SUM($I$1420:I1420)&lt;0)*1-AND(SUM($I$1420:I1420)&gt;0,SUM($H$1420:H1420)&lt;0)*1*SUM($H$1420:H1420)/I1420)*(I2&gt;0)</f>
        <v>0</v>
      </c>
      <c r="J1424" s="52">
        <f>((SUM($I$1420:J1420)&lt;0)*1-AND(SUM($I$1420:J1420)&gt;0,SUM($H$1420:I1420)&lt;0)*1*SUM($H$1420:I1420)/J1420)*(J2&gt;0)</f>
        <v>0</v>
      </c>
      <c r="K1424" s="21">
        <f>((SUM($I$1420:K1420)&lt;0)*1-AND(SUM($I$1420:K1420)&gt;0,SUM($H$1420:J1420)&lt;0)*1*SUM($H$1420:J1420)/K1420)*(K2&gt;0)</f>
        <v>0</v>
      </c>
      <c r="L1424" s="21">
        <f>((SUM($I$1420:L1420)&lt;0)*1-AND(SUM($I$1420:L1420)&gt;0,SUM($H$1420:K1420)&lt;0)*1*SUM($H$1420:K1420)/L1420)*(L2&gt;0)</f>
        <v>0</v>
      </c>
      <c r="M1424" s="21">
        <f>((SUM($I$1420:M1420)&lt;0)*1-AND(SUM($I$1420:M1420)&gt;0,SUM($H$1420:L1420)&lt;0)*1*SUM($H$1420:L1420)/M1420)*(M2&gt;0)</f>
        <v>0</v>
      </c>
      <c r="N1424" s="21">
        <f>((SUM($I$1420:N1420)&lt;0)*1-AND(SUM($I$1420:N1420)&gt;0,SUM($H$1420:M1420)&lt;0)*1*SUM($H$1420:M1420)/N1420)*(N2&gt;0)</f>
        <v>0</v>
      </c>
      <c r="O1424" s="21">
        <f>((SUM($I$1420:O1420)&lt;0)*1-AND(SUM($I$1420:O1420)&gt;0,SUM($H$1420:N1420)&lt;0)*1*SUM($H$1420:N1420)/O1420)*(O2&gt;0)</f>
        <v>0</v>
      </c>
      <c r="P1424" s="21">
        <f>((SUM($I$1420:P1420)&lt;0)*1-AND(SUM($I$1420:P1420)&gt;0,SUM($H$1420:O1420)&lt;0)*1*SUM($H$1420:O1420)/P1420)*(P2&gt;0)</f>
        <v>0</v>
      </c>
      <c r="Q1424" s="21">
        <f>((SUM($I$1420:Q1420)&lt;0)*1-AND(SUM($I$1420:Q1420)&gt;0,SUM($H$1420:P1420)&lt;0)*1*SUM($H$1420:P1420)/Q1420)*(Q2&gt;0)</f>
        <v>0</v>
      </c>
      <c r="R1424" s="21">
        <f>((SUM($I$1420:R1420)&lt;0)*1-AND(SUM($I$1420:R1420)&gt;0,SUM($H$1420:Q1420)&lt;0)*1*SUM($H$1420:Q1420)/R1420)*(R2&gt;0)</f>
        <v>0</v>
      </c>
      <c r="S1424" s="21">
        <f>((SUM($I$1420:S1420)&lt;0)*1-AND(SUM($I$1420:S1420)&gt;0,SUM($H$1420:R1420)&lt;0)*1*SUM($H$1420:R1420)/S1420)*(S2&gt;0)</f>
        <v>0</v>
      </c>
      <c r="T1424" s="21">
        <f>((SUM($I$1420:T1420)&lt;0)*1-AND(SUM($I$1420:T1420)&gt;0,SUM($H$1420:S1420)&lt;0)*1*SUM($H$1420:S1420)/T1420)*(T2&gt;0)</f>
        <v>0</v>
      </c>
      <c r="U1424" s="21">
        <f>((SUM($I$1420:U1420)&lt;0)*1-AND(SUM($I$1420:U1420)&gt;0,SUM($H$1420:T1420)&lt;0)*1*SUM($H$1420:T1420)/U1420)*(U2&gt;0)</f>
        <v>1</v>
      </c>
      <c r="V1424" s="21">
        <f>((SUM($I$1420:V1420)&lt;0)*1-AND(SUM($I$1420:V1420)&gt;0,SUM($H$1420:U1420)&lt;0)*1*SUM($H$1420:U1420)/V1420)*(V2&gt;0)</f>
        <v>1</v>
      </c>
      <c r="W1424" s="563"/>
      <c r="X1424" s="563"/>
      <c r="Y1424" s="563"/>
      <c r="Z1424" s="563"/>
      <c r="AA1424" s="563"/>
      <c r="AB1424" s="563"/>
      <c r="AC1424" s="563"/>
      <c r="AD1424" s="563"/>
      <c r="AE1424" s="563"/>
    </row>
    <row r="1425" spans="1:37" outlineLevel="1" x14ac:dyDescent="0.2">
      <c r="A1425" s="5"/>
      <c r="C1425" s="20"/>
      <c r="D1425" s="20"/>
      <c r="H1425" s="5"/>
    </row>
    <row r="1426" spans="1:37" outlineLevel="1" x14ac:dyDescent="0.2">
      <c r="C1426" s="20"/>
      <c r="D1426" s="20"/>
      <c r="H1426" s="5"/>
    </row>
    <row r="1427" spans="1:37" outlineLevel="1" x14ac:dyDescent="0.2">
      <c r="C1427" s="5" t="s">
        <v>180</v>
      </c>
      <c r="D1427" s="20"/>
      <c r="E1427" s="92">
        <f>E1389</f>
        <v>5</v>
      </c>
      <c r="H1427" s="5"/>
      <c r="I1427" s="21">
        <f t="shared" ref="I1427:V1427" si="873">I1389</f>
        <v>0</v>
      </c>
      <c r="J1427" s="21">
        <f t="shared" si="873"/>
        <v>0</v>
      </c>
      <c r="K1427" s="21">
        <f t="shared" si="873"/>
        <v>0</v>
      </c>
      <c r="L1427" s="21">
        <f t="shared" si="873"/>
        <v>0</v>
      </c>
      <c r="M1427" s="21">
        <f t="shared" si="873"/>
        <v>0</v>
      </c>
      <c r="N1427" s="21">
        <f t="shared" si="873"/>
        <v>0</v>
      </c>
      <c r="O1427" s="21">
        <f t="shared" si="873"/>
        <v>0</v>
      </c>
      <c r="P1427" s="21">
        <f t="shared" si="873"/>
        <v>0</v>
      </c>
      <c r="Q1427" s="21">
        <f t="shared" si="873"/>
        <v>0</v>
      </c>
      <c r="R1427" s="21">
        <f t="shared" si="873"/>
        <v>0</v>
      </c>
      <c r="S1427" s="21">
        <f t="shared" si="873"/>
        <v>0</v>
      </c>
      <c r="T1427" s="21">
        <f t="shared" si="873"/>
        <v>0</v>
      </c>
      <c r="U1427" s="21">
        <f t="shared" si="873"/>
        <v>0</v>
      </c>
      <c r="V1427" s="21">
        <f t="shared" si="873"/>
        <v>0</v>
      </c>
      <c r="W1427" s="563"/>
      <c r="X1427" s="563"/>
      <c r="Y1427" s="563"/>
      <c r="Z1427" s="563"/>
      <c r="AA1427" s="563"/>
      <c r="AB1427" s="563"/>
      <c r="AC1427" s="563"/>
      <c r="AD1427" s="563"/>
      <c r="AE1427" s="563"/>
    </row>
    <row r="1428" spans="1:37" outlineLevel="1" x14ac:dyDescent="0.2">
      <c r="C1428" s="5" t="s">
        <v>238</v>
      </c>
      <c r="D1428" s="20"/>
      <c r="E1428" s="93">
        <f>E1390</f>
        <v>8</v>
      </c>
      <c r="H1428" s="5"/>
      <c r="I1428" s="21">
        <f t="shared" ref="I1428:V1428" si="874">I1390</f>
        <v>0</v>
      </c>
      <c r="J1428" s="21">
        <f t="shared" si="874"/>
        <v>0</v>
      </c>
      <c r="K1428" s="21">
        <f t="shared" si="874"/>
        <v>0</v>
      </c>
      <c r="L1428" s="21">
        <f t="shared" si="874"/>
        <v>0</v>
      </c>
      <c r="M1428" s="21">
        <f t="shared" si="874"/>
        <v>0</v>
      </c>
      <c r="N1428" s="21">
        <f t="shared" si="874"/>
        <v>0</v>
      </c>
      <c r="O1428" s="21">
        <f t="shared" si="874"/>
        <v>0</v>
      </c>
      <c r="P1428" s="21">
        <f t="shared" si="874"/>
        <v>0</v>
      </c>
      <c r="Q1428" s="21">
        <f t="shared" si="874"/>
        <v>0</v>
      </c>
      <c r="R1428" s="21">
        <f t="shared" si="874"/>
        <v>0</v>
      </c>
      <c r="S1428" s="21">
        <f t="shared" si="874"/>
        <v>0</v>
      </c>
      <c r="T1428" s="21">
        <f t="shared" si="874"/>
        <v>0</v>
      </c>
      <c r="U1428" s="21">
        <f t="shared" si="874"/>
        <v>0</v>
      </c>
      <c r="V1428" s="21">
        <f t="shared" si="874"/>
        <v>0</v>
      </c>
      <c r="W1428" s="563"/>
      <c r="X1428" s="563"/>
      <c r="Y1428" s="563"/>
      <c r="Z1428" s="563"/>
      <c r="AA1428" s="563"/>
      <c r="AB1428" s="563"/>
      <c r="AC1428" s="563"/>
      <c r="AD1428" s="563"/>
      <c r="AE1428" s="563"/>
    </row>
    <row r="1429" spans="1:37" outlineLevel="1" x14ac:dyDescent="0.2">
      <c r="C1429" s="5" t="s">
        <v>239</v>
      </c>
      <c r="D1429" s="20"/>
      <c r="E1429" s="93"/>
      <c r="H1429" s="5"/>
      <c r="I1429" s="21">
        <f t="shared" ref="I1429:V1429" si="875">-I1427*I1558</f>
        <v>0</v>
      </c>
      <c r="J1429" s="21">
        <f t="shared" si="875"/>
        <v>0</v>
      </c>
      <c r="K1429" s="21">
        <f t="shared" si="875"/>
        <v>0</v>
      </c>
      <c r="L1429" s="21">
        <f t="shared" si="875"/>
        <v>0</v>
      </c>
      <c r="M1429" s="21">
        <f t="shared" si="875"/>
        <v>0</v>
      </c>
      <c r="N1429" s="21">
        <f t="shared" si="875"/>
        <v>0</v>
      </c>
      <c r="O1429" s="21">
        <f t="shared" si="875"/>
        <v>0</v>
      </c>
      <c r="P1429" s="21">
        <f t="shared" si="875"/>
        <v>0</v>
      </c>
      <c r="Q1429" s="21">
        <f t="shared" si="875"/>
        <v>0</v>
      </c>
      <c r="R1429" s="21">
        <f t="shared" si="875"/>
        <v>0</v>
      </c>
      <c r="S1429" s="21">
        <f t="shared" si="875"/>
        <v>0</v>
      </c>
      <c r="T1429" s="21">
        <f t="shared" si="875"/>
        <v>0</v>
      </c>
      <c r="U1429" s="21">
        <f t="shared" si="875"/>
        <v>0</v>
      </c>
      <c r="V1429" s="21">
        <f t="shared" si="875"/>
        <v>0</v>
      </c>
      <c r="W1429" s="563"/>
      <c r="X1429" s="563"/>
      <c r="Y1429" s="563"/>
      <c r="Z1429" s="563"/>
      <c r="AA1429" s="563"/>
      <c r="AB1429" s="563"/>
      <c r="AC1429" s="563"/>
      <c r="AD1429" s="563"/>
      <c r="AE1429" s="563"/>
    </row>
    <row r="1430" spans="1:37" outlineLevel="1" x14ac:dyDescent="0.2">
      <c r="C1430" s="5" t="s">
        <v>240</v>
      </c>
      <c r="D1430" s="20"/>
      <c r="E1430" s="93"/>
      <c r="H1430" s="5"/>
      <c r="I1430" s="21">
        <f>I1428+I1429</f>
        <v>0</v>
      </c>
      <c r="J1430" s="21">
        <f t="shared" ref="J1430:V1430" si="876">J1428+J1429</f>
        <v>0</v>
      </c>
      <c r="K1430" s="21">
        <f>K1428+K1429</f>
        <v>0</v>
      </c>
      <c r="L1430" s="21">
        <f t="shared" si="876"/>
        <v>0</v>
      </c>
      <c r="M1430" s="21">
        <f t="shared" si="876"/>
        <v>0</v>
      </c>
      <c r="N1430" s="21">
        <f t="shared" si="876"/>
        <v>0</v>
      </c>
      <c r="O1430" s="21">
        <f t="shared" si="876"/>
        <v>0</v>
      </c>
      <c r="P1430" s="21">
        <f t="shared" si="876"/>
        <v>0</v>
      </c>
      <c r="Q1430" s="21">
        <f t="shared" si="876"/>
        <v>0</v>
      </c>
      <c r="R1430" s="21">
        <f t="shared" si="876"/>
        <v>0</v>
      </c>
      <c r="S1430" s="21">
        <f t="shared" si="876"/>
        <v>0</v>
      </c>
      <c r="T1430" s="21">
        <f t="shared" si="876"/>
        <v>0</v>
      </c>
      <c r="U1430" s="21">
        <f t="shared" si="876"/>
        <v>0</v>
      </c>
      <c r="V1430" s="21">
        <f t="shared" si="876"/>
        <v>0</v>
      </c>
      <c r="W1430" s="563"/>
      <c r="X1430" s="563"/>
      <c r="Y1430" s="563"/>
      <c r="Z1430" s="563"/>
      <c r="AA1430" s="563"/>
      <c r="AB1430" s="563"/>
      <c r="AC1430" s="563"/>
      <c r="AD1430" s="563"/>
      <c r="AE1430" s="563"/>
    </row>
    <row r="1431" spans="1:37" outlineLevel="1" x14ac:dyDescent="0.2">
      <c r="C1431" s="5"/>
      <c r="D1431" s="20"/>
      <c r="E1431" s="93"/>
      <c r="H1431" s="5"/>
      <c r="I1431" s="21"/>
      <c r="J1431" s="21"/>
      <c r="K1431" s="21"/>
      <c r="L1431" s="21"/>
      <c r="M1431" s="21"/>
      <c r="N1431" s="21"/>
      <c r="O1431" s="21"/>
      <c r="P1431" s="21"/>
      <c r="Q1431" s="21"/>
      <c r="R1431" s="21"/>
      <c r="S1431" s="21"/>
      <c r="T1431" s="21"/>
      <c r="U1431" s="21"/>
      <c r="V1431" s="21"/>
      <c r="W1431" s="563"/>
      <c r="X1431" s="563"/>
      <c r="Y1431" s="563"/>
      <c r="Z1431" s="563"/>
      <c r="AA1431" s="563"/>
      <c r="AB1431" s="563"/>
      <c r="AC1431" s="563"/>
      <c r="AD1431" s="563"/>
      <c r="AE1431" s="563"/>
    </row>
    <row r="1432" spans="1:37" outlineLevel="1" x14ac:dyDescent="0.2">
      <c r="C1432" s="5" t="s">
        <v>179</v>
      </c>
      <c r="D1432" s="20"/>
      <c r="H1432" s="5"/>
      <c r="I1432" s="21">
        <f t="shared" ref="I1432:V1432" si="877">I1391</f>
        <v>1</v>
      </c>
      <c r="J1432" s="21">
        <f t="shared" si="877"/>
        <v>1</v>
      </c>
      <c r="K1432" s="21">
        <f t="shared" si="877"/>
        <v>1</v>
      </c>
      <c r="L1432" s="21">
        <f t="shared" si="877"/>
        <v>1</v>
      </c>
      <c r="M1432" s="21">
        <f t="shared" si="877"/>
        <v>1</v>
      </c>
      <c r="N1432" s="21">
        <f t="shared" si="877"/>
        <v>1</v>
      </c>
      <c r="O1432" s="21">
        <f t="shared" si="877"/>
        <v>1</v>
      </c>
      <c r="P1432" s="21">
        <f t="shared" si="877"/>
        <v>1</v>
      </c>
      <c r="Q1432" s="21">
        <f t="shared" si="877"/>
        <v>1</v>
      </c>
      <c r="R1432" s="21">
        <f t="shared" si="877"/>
        <v>1</v>
      </c>
      <c r="S1432" s="21">
        <f t="shared" si="877"/>
        <v>1</v>
      </c>
      <c r="T1432" s="21">
        <f t="shared" si="877"/>
        <v>1</v>
      </c>
      <c r="U1432" s="21">
        <f t="shared" si="877"/>
        <v>1</v>
      </c>
      <c r="V1432" s="21">
        <f t="shared" si="877"/>
        <v>1</v>
      </c>
      <c r="W1432" s="563"/>
      <c r="X1432" s="563"/>
      <c r="Y1432" s="563"/>
      <c r="Z1432" s="563"/>
      <c r="AA1432" s="563"/>
      <c r="AB1432" s="563"/>
      <c r="AC1432" s="563"/>
      <c r="AD1432" s="563"/>
      <c r="AE1432" s="563"/>
    </row>
    <row r="1433" spans="1:37" outlineLevel="1" x14ac:dyDescent="0.2">
      <c r="C1433" s="1" t="s">
        <v>178</v>
      </c>
      <c r="D1433" s="20"/>
      <c r="G1433" s="21">
        <f>SUM(I1433:AE1433)</f>
        <v>-73.078513248434106</v>
      </c>
      <c r="H1433" s="52"/>
      <c r="I1433" s="21">
        <f>I1430+I1432*I1420</f>
        <v>-1.1249573047958676</v>
      </c>
      <c r="J1433" s="21">
        <f t="shared" ref="J1433:V1433" si="878">J1430+J1432*J1420</f>
        <v>-1.2626105317255552</v>
      </c>
      <c r="K1433" s="21">
        <f>K1430+K1432*K1420</f>
        <v>-1.2960211224130551</v>
      </c>
      <c r="L1433" s="21">
        <f t="shared" si="878"/>
        <v>-21.312523830205699</v>
      </c>
      <c r="M1433" s="21">
        <f t="shared" si="878"/>
        <v>-18.00945708978125</v>
      </c>
      <c r="N1433" s="21">
        <f t="shared" si="878"/>
        <v>-21.285842245013676</v>
      </c>
      <c r="O1433" s="21">
        <f t="shared" si="878"/>
        <v>-21.162553618954778</v>
      </c>
      <c r="P1433" s="21">
        <f t="shared" si="878"/>
        <v>-21.039264992895884</v>
      </c>
      <c r="Q1433" s="21">
        <f t="shared" si="878"/>
        <v>-20.91597636683699</v>
      </c>
      <c r="R1433" s="21">
        <f t="shared" si="878"/>
        <v>-17.413562063829922</v>
      </c>
      <c r="S1433" s="21">
        <f t="shared" si="878"/>
        <v>2.6609863046416313</v>
      </c>
      <c r="T1433" s="21">
        <f t="shared" si="878"/>
        <v>17.060659722172922</v>
      </c>
      <c r="U1433" s="21">
        <f t="shared" si="878"/>
        <v>26.40532178240586</v>
      </c>
      <c r="V1433" s="21">
        <f t="shared" si="878"/>
        <v>25.61728810879816</v>
      </c>
      <c r="W1433" s="563"/>
      <c r="X1433" s="563"/>
      <c r="Y1433" s="563"/>
      <c r="Z1433" s="563"/>
      <c r="AA1433" s="563"/>
      <c r="AB1433" s="563"/>
      <c r="AC1433" s="563"/>
      <c r="AD1433" s="563"/>
      <c r="AE1433" s="563"/>
    </row>
    <row r="1434" spans="1:37" outlineLevel="1" x14ac:dyDescent="0.2">
      <c r="C1434" s="20"/>
      <c r="D1434" s="20"/>
      <c r="H1434" s="5"/>
    </row>
    <row r="1435" spans="1:37" outlineLevel="1" x14ac:dyDescent="0.2">
      <c r="C1435" s="20" t="s">
        <v>176</v>
      </c>
      <c r="D1435" s="20"/>
      <c r="E1435" s="94">
        <f>E1422</f>
        <v>8.8800000000000004E-2</v>
      </c>
      <c r="F1435" s="9" t="s">
        <v>55</v>
      </c>
      <c r="G1435" s="68">
        <f>NPV(E1435,I1433:AE1433)</f>
        <v>-58.582864726843766</v>
      </c>
      <c r="H1435" s="503"/>
      <c r="I1435" s="21"/>
    </row>
    <row r="1436" spans="1:37" outlineLevel="1" x14ac:dyDescent="0.2">
      <c r="C1436" s="20" t="s">
        <v>177</v>
      </c>
      <c r="D1436" s="20"/>
      <c r="F1436" s="9" t="s">
        <v>8</v>
      </c>
      <c r="G1436" s="73">
        <f>IRR(I1433:AE1433)</f>
        <v>-0.11039820109180731</v>
      </c>
      <c r="H1436" s="504"/>
      <c r="I1436" s="21"/>
    </row>
    <row r="1437" spans="1:37" outlineLevel="1" x14ac:dyDescent="0.2">
      <c r="C1437" s="20"/>
      <c r="D1437" s="20"/>
    </row>
    <row r="1438" spans="1:37" x14ac:dyDescent="0.2">
      <c r="B1438" s="6"/>
      <c r="C1438" s="6"/>
      <c r="D1438" s="6"/>
      <c r="E1438" s="7"/>
      <c r="F1438" s="6"/>
      <c r="G1438" s="6"/>
      <c r="H1438" s="6"/>
      <c r="I1438" s="6"/>
      <c r="J1438" s="6"/>
      <c r="K1438" s="6"/>
      <c r="L1438" s="6"/>
      <c r="M1438" s="6"/>
      <c r="N1438" s="6"/>
      <c r="O1438" s="6"/>
      <c r="P1438" s="6"/>
      <c r="Q1438" s="6"/>
      <c r="R1438" s="6"/>
      <c r="S1438" s="6"/>
      <c r="T1438" s="6"/>
      <c r="U1438" s="6"/>
      <c r="V1438" s="6"/>
    </row>
    <row r="1439" spans="1:37" x14ac:dyDescent="0.2">
      <c r="G1439" s="69"/>
      <c r="AK1439" s="5"/>
    </row>
    <row r="1440" spans="1:37" x14ac:dyDescent="0.2">
      <c r="B1440" s="8">
        <f>B1372+1</f>
        <v>14</v>
      </c>
      <c r="C1440" s="9" t="s">
        <v>182</v>
      </c>
      <c r="D1440" s="9"/>
      <c r="G1440" s="69"/>
      <c r="I1440" s="69"/>
    </row>
    <row r="1441" spans="2:36" x14ac:dyDescent="0.2">
      <c r="I1441" s="35"/>
    </row>
    <row r="1442" spans="2:36" x14ac:dyDescent="0.2">
      <c r="C1442" s="1" t="s">
        <v>234</v>
      </c>
      <c r="F1442" s="19">
        <v>0</v>
      </c>
      <c r="I1442" s="35"/>
    </row>
    <row r="1443" spans="2:36" x14ac:dyDescent="0.2">
      <c r="I1443" s="35"/>
    </row>
    <row r="1444" spans="2:36" x14ac:dyDescent="0.2">
      <c r="B1444" s="10">
        <f>B1440+0.1</f>
        <v>14.1</v>
      </c>
      <c r="C1444" s="9" t="s">
        <v>183</v>
      </c>
      <c r="D1444" s="9"/>
      <c r="I1444" s="77"/>
      <c r="J1444" s="77"/>
      <c r="K1444" s="77"/>
      <c r="L1444" s="77"/>
      <c r="M1444" s="77"/>
      <c r="N1444" s="77"/>
      <c r="O1444" s="77"/>
      <c r="P1444" s="77"/>
      <c r="Q1444" s="77"/>
      <c r="R1444" s="77"/>
      <c r="S1444" s="77"/>
      <c r="T1444" s="77"/>
      <c r="U1444" s="77"/>
      <c r="V1444" s="77"/>
      <c r="W1444" s="591"/>
      <c r="X1444" s="591"/>
      <c r="Y1444" s="591"/>
      <c r="Z1444" s="591"/>
      <c r="AA1444" s="591"/>
      <c r="AB1444" s="591"/>
      <c r="AC1444" s="591"/>
      <c r="AD1444" s="591"/>
      <c r="AE1444" s="591"/>
      <c r="AF1444" s="591"/>
      <c r="AG1444" s="591"/>
      <c r="AH1444" s="591"/>
      <c r="AI1444" s="591"/>
      <c r="AJ1444" s="591"/>
    </row>
    <row r="1445" spans="2:36" x14ac:dyDescent="0.2">
      <c r="G1445" s="68"/>
      <c r="J1445" s="69"/>
      <c r="K1445" s="69"/>
      <c r="L1445" s="69"/>
    </row>
    <row r="1446" spans="2:36" x14ac:dyDescent="0.2">
      <c r="C1446" s="5" t="s">
        <v>104</v>
      </c>
      <c r="F1446" s="1" t="s">
        <v>55</v>
      </c>
      <c r="G1446" s="21">
        <f t="shared" ref="G1446:G1456" si="879">SUMPRODUCT(I1446:V1446,$I$1459:$V$1459)</f>
        <v>36.645368499999996</v>
      </c>
      <c r="I1446" s="21">
        <f>I1399</f>
        <v>0</v>
      </c>
      <c r="J1446" s="21">
        <f t="shared" ref="J1446:V1446" si="880">J1399</f>
        <v>0</v>
      </c>
      <c r="K1446" s="21">
        <f t="shared" si="880"/>
        <v>0</v>
      </c>
      <c r="L1446" s="21">
        <f t="shared" si="880"/>
        <v>0</v>
      </c>
      <c r="M1446" s="21">
        <f t="shared" si="880"/>
        <v>0</v>
      </c>
      <c r="N1446" s="21">
        <f t="shared" si="880"/>
        <v>0</v>
      </c>
      <c r="O1446" s="21">
        <f t="shared" si="880"/>
        <v>0</v>
      </c>
      <c r="P1446" s="21">
        <f t="shared" si="880"/>
        <v>0</v>
      </c>
      <c r="Q1446" s="21">
        <f t="shared" si="880"/>
        <v>0</v>
      </c>
      <c r="R1446" s="21">
        <f t="shared" si="880"/>
        <v>0</v>
      </c>
      <c r="S1446" s="21">
        <f t="shared" si="880"/>
        <v>36.645368499999996</v>
      </c>
      <c r="T1446" s="21">
        <f t="shared" si="880"/>
        <v>54.968052749999998</v>
      </c>
      <c r="U1446" s="21">
        <f t="shared" si="880"/>
        <v>73.290736999999993</v>
      </c>
      <c r="V1446" s="21">
        <f t="shared" si="880"/>
        <v>73.290736999999993</v>
      </c>
    </row>
    <row r="1447" spans="2:36" x14ac:dyDescent="0.2">
      <c r="C1447" s="5" t="s">
        <v>120</v>
      </c>
      <c r="F1447" s="1" t="s">
        <v>55</v>
      </c>
      <c r="G1447" s="21">
        <f t="shared" si="879"/>
        <v>-19.662910695891949</v>
      </c>
      <c r="I1447" s="21">
        <f t="shared" ref="I1447:V1447" si="881">I1400</f>
        <v>0</v>
      </c>
      <c r="J1447" s="21">
        <f t="shared" si="881"/>
        <v>0</v>
      </c>
      <c r="K1447" s="21">
        <f t="shared" si="881"/>
        <v>0</v>
      </c>
      <c r="L1447" s="21">
        <f t="shared" si="881"/>
        <v>0</v>
      </c>
      <c r="M1447" s="21">
        <f t="shared" si="881"/>
        <v>0</v>
      </c>
      <c r="N1447" s="21">
        <f t="shared" si="881"/>
        <v>0</v>
      </c>
      <c r="O1447" s="21">
        <f t="shared" si="881"/>
        <v>0</v>
      </c>
      <c r="P1447" s="21">
        <f t="shared" si="881"/>
        <v>0</v>
      </c>
      <c r="Q1447" s="21">
        <f t="shared" si="881"/>
        <v>0</v>
      </c>
      <c r="R1447" s="21">
        <f t="shared" si="881"/>
        <v>0</v>
      </c>
      <c r="S1447" s="21">
        <f t="shared" si="881"/>
        <v>-19.662910695891949</v>
      </c>
      <c r="T1447" s="21">
        <f t="shared" si="881"/>
        <v>-28.189926269632529</v>
      </c>
      <c r="U1447" s="21">
        <f t="shared" si="881"/>
        <v>-36.809878251958011</v>
      </c>
      <c r="V1447" s="21">
        <f t="shared" si="881"/>
        <v>-36.585769879649234</v>
      </c>
    </row>
    <row r="1448" spans="2:36" x14ac:dyDescent="0.2">
      <c r="C1448" s="5" t="s">
        <v>444</v>
      </c>
      <c r="F1448" s="1" t="s">
        <v>55</v>
      </c>
      <c r="G1448" s="21">
        <f t="shared" si="879"/>
        <v>-1.0088540508911055</v>
      </c>
      <c r="I1448" s="21">
        <f t="shared" ref="I1448:V1448" si="882">I1401</f>
        <v>0</v>
      </c>
      <c r="J1448" s="21">
        <f t="shared" si="882"/>
        <v>0</v>
      </c>
      <c r="K1448" s="21">
        <f t="shared" si="882"/>
        <v>0</v>
      </c>
      <c r="L1448" s="21">
        <f t="shared" si="882"/>
        <v>0</v>
      </c>
      <c r="M1448" s="21">
        <f t="shared" si="882"/>
        <v>0</v>
      </c>
      <c r="N1448" s="21">
        <f t="shared" si="882"/>
        <v>0</v>
      </c>
      <c r="O1448" s="21">
        <f t="shared" si="882"/>
        <v>0</v>
      </c>
      <c r="P1448" s="21">
        <f t="shared" si="882"/>
        <v>0</v>
      </c>
      <c r="Q1448" s="21">
        <f t="shared" si="882"/>
        <v>0</v>
      </c>
      <c r="R1448" s="21">
        <f t="shared" si="882"/>
        <v>0</v>
      </c>
      <c r="S1448" s="21">
        <f t="shared" si="882"/>
        <v>-1.0088540508911055</v>
      </c>
      <c r="T1448" s="21">
        <f t="shared" si="882"/>
        <v>-1.2836943146411057</v>
      </c>
      <c r="U1448" s="21">
        <f t="shared" si="882"/>
        <v>-1.5585345783911055</v>
      </c>
      <c r="V1448" s="21">
        <f t="shared" si="882"/>
        <v>-1.5585345783911055</v>
      </c>
    </row>
    <row r="1449" spans="2:36" x14ac:dyDescent="0.2">
      <c r="C1449" s="5" t="s">
        <v>135</v>
      </c>
      <c r="F1449" s="1" t="s">
        <v>55</v>
      </c>
      <c r="G1449" s="21">
        <f t="shared" si="879"/>
        <v>0</v>
      </c>
      <c r="I1449" s="21">
        <f t="shared" ref="I1449:V1449" si="883">I1402</f>
        <v>0</v>
      </c>
      <c r="J1449" s="21">
        <f t="shared" si="883"/>
        <v>0</v>
      </c>
      <c r="K1449" s="21">
        <f t="shared" si="883"/>
        <v>0</v>
      </c>
      <c r="L1449" s="21">
        <f t="shared" si="883"/>
        <v>0</v>
      </c>
      <c r="M1449" s="21">
        <f t="shared" si="883"/>
        <v>0</v>
      </c>
      <c r="N1449" s="21">
        <f t="shared" si="883"/>
        <v>0</v>
      </c>
      <c r="O1449" s="21">
        <f t="shared" si="883"/>
        <v>0</v>
      </c>
      <c r="P1449" s="21">
        <f t="shared" si="883"/>
        <v>0</v>
      </c>
      <c r="Q1449" s="21">
        <f t="shared" si="883"/>
        <v>0</v>
      </c>
      <c r="R1449" s="21">
        <f t="shared" si="883"/>
        <v>0</v>
      </c>
      <c r="S1449" s="21">
        <f t="shared" si="883"/>
        <v>0</v>
      </c>
      <c r="T1449" s="21">
        <f t="shared" si="883"/>
        <v>0</v>
      </c>
      <c r="U1449" s="21">
        <f t="shared" si="883"/>
        <v>0</v>
      </c>
      <c r="V1449" s="21">
        <f t="shared" si="883"/>
        <v>0</v>
      </c>
    </row>
    <row r="1450" spans="2:36" x14ac:dyDescent="0.2">
      <c r="C1450" s="1" t="s">
        <v>111</v>
      </c>
      <c r="E1450" s="509"/>
      <c r="F1450" s="1" t="s">
        <v>55</v>
      </c>
      <c r="G1450" s="21">
        <f t="shared" si="879"/>
        <v>-475.57593141478941</v>
      </c>
      <c r="I1450" s="21">
        <f t="shared" ref="I1450:V1450" si="884">-I1616-I828</f>
        <v>-3.00687975</v>
      </c>
      <c r="J1450" s="21">
        <f t="shared" si="884"/>
        <v>-5.9361625</v>
      </c>
      <c r="K1450" s="21">
        <f t="shared" si="884"/>
        <v>-1.0569</v>
      </c>
      <c r="L1450" s="21">
        <f t="shared" si="884"/>
        <v>-46.557598916478945</v>
      </c>
      <c r="M1450" s="21">
        <f t="shared" si="884"/>
        <v>-58.196998645598669</v>
      </c>
      <c r="N1450" s="21">
        <f t="shared" si="884"/>
        <v>-69.836398374718414</v>
      </c>
      <c r="O1450" s="21">
        <f t="shared" si="884"/>
        <v>-69.836398374718414</v>
      </c>
      <c r="P1450" s="21">
        <f t="shared" si="884"/>
        <v>-69.836398374718414</v>
      </c>
      <c r="Q1450" s="21">
        <f t="shared" si="884"/>
        <v>-69.836398374718414</v>
      </c>
      <c r="R1450" s="21">
        <f t="shared" si="884"/>
        <v>-58.196998645598669</v>
      </c>
      <c r="S1450" s="21">
        <f t="shared" si="884"/>
        <v>-23.278799458239472</v>
      </c>
      <c r="T1450" s="21">
        <f t="shared" si="884"/>
        <v>0</v>
      </c>
      <c r="U1450" s="21">
        <f t="shared" si="884"/>
        <v>0</v>
      </c>
      <c r="V1450" s="21">
        <f t="shared" si="884"/>
        <v>0</v>
      </c>
      <c r="W1450" s="563"/>
      <c r="X1450" s="563"/>
      <c r="Y1450" s="563"/>
      <c r="Z1450" s="563"/>
      <c r="AA1450" s="563"/>
      <c r="AB1450" s="563"/>
      <c r="AC1450" s="563"/>
      <c r="AD1450" s="563"/>
      <c r="AE1450" s="563"/>
      <c r="AF1450" s="563"/>
      <c r="AG1450" s="563"/>
      <c r="AH1450" s="563"/>
      <c r="AI1450" s="563"/>
      <c r="AJ1450" s="563"/>
    </row>
    <row r="1451" spans="2:36" x14ac:dyDescent="0.2">
      <c r="C1451" s="1" t="s">
        <v>919</v>
      </c>
      <c r="E1451" s="509"/>
      <c r="F1451" s="1" t="s">
        <v>55</v>
      </c>
      <c r="G1451" s="21">
        <f t="shared" si="879"/>
        <v>0</v>
      </c>
      <c r="I1451" s="21">
        <f>-I1618</f>
        <v>0</v>
      </c>
      <c r="J1451" s="21">
        <f t="shared" ref="J1451:V1451" si="885">-J1618</f>
        <v>0</v>
      </c>
      <c r="K1451" s="21">
        <f t="shared" si="885"/>
        <v>0</v>
      </c>
      <c r="L1451" s="21">
        <f t="shared" si="885"/>
        <v>0</v>
      </c>
      <c r="M1451" s="21">
        <f t="shared" si="885"/>
        <v>0</v>
      </c>
      <c r="N1451" s="21">
        <f t="shared" si="885"/>
        <v>0</v>
      </c>
      <c r="O1451" s="21">
        <f t="shared" si="885"/>
        <v>0</v>
      </c>
      <c r="P1451" s="21">
        <f t="shared" si="885"/>
        <v>0</v>
      </c>
      <c r="Q1451" s="21">
        <f t="shared" si="885"/>
        <v>0</v>
      </c>
      <c r="R1451" s="21">
        <f t="shared" si="885"/>
        <v>0</v>
      </c>
      <c r="S1451" s="21">
        <f t="shared" si="885"/>
        <v>0</v>
      </c>
      <c r="T1451" s="21">
        <f t="shared" si="885"/>
        <v>0</v>
      </c>
      <c r="U1451" s="21">
        <f t="shared" si="885"/>
        <v>0</v>
      </c>
      <c r="V1451" s="21">
        <f t="shared" si="885"/>
        <v>0</v>
      </c>
      <c r="W1451" s="563"/>
      <c r="X1451" s="563"/>
      <c r="Y1451" s="563"/>
      <c r="Z1451" s="563"/>
      <c r="AA1451" s="563"/>
      <c r="AB1451" s="563"/>
      <c r="AC1451" s="563"/>
      <c r="AD1451" s="563"/>
      <c r="AE1451" s="563"/>
      <c r="AF1451" s="563"/>
      <c r="AG1451" s="563"/>
      <c r="AH1451" s="563"/>
      <c r="AI1451" s="563"/>
      <c r="AJ1451" s="563"/>
    </row>
    <row r="1452" spans="2:36" x14ac:dyDescent="0.2">
      <c r="C1452" s="1" t="s">
        <v>920</v>
      </c>
      <c r="E1452" s="509"/>
      <c r="F1452" s="1" t="s">
        <v>55</v>
      </c>
      <c r="G1452" s="21">
        <f t="shared" si="879"/>
        <v>-9.1545728130854211</v>
      </c>
      <c r="H1452" s="264"/>
      <c r="I1452" s="21">
        <f t="shared" ref="I1452:V1452" si="886">I1381</f>
        <v>0</v>
      </c>
      <c r="J1452" s="21">
        <f t="shared" si="886"/>
        <v>0</v>
      </c>
      <c r="K1452" s="21">
        <f t="shared" si="886"/>
        <v>0</v>
      </c>
      <c r="L1452" s="21">
        <f t="shared" si="886"/>
        <v>0</v>
      </c>
      <c r="M1452" s="21">
        <f t="shared" si="886"/>
        <v>0</v>
      </c>
      <c r="N1452" s="21">
        <f t="shared" si="886"/>
        <v>0</v>
      </c>
      <c r="O1452" s="21">
        <f t="shared" si="886"/>
        <v>0</v>
      </c>
      <c r="P1452" s="21">
        <f t="shared" si="886"/>
        <v>0</v>
      </c>
      <c r="Q1452" s="21">
        <f t="shared" si="886"/>
        <v>0</v>
      </c>
      <c r="R1452" s="21">
        <f t="shared" si="886"/>
        <v>0</v>
      </c>
      <c r="S1452" s="21">
        <f t="shared" si="886"/>
        <v>-9.1545728130854211</v>
      </c>
      <c r="T1452" s="21">
        <f t="shared" si="886"/>
        <v>-5.0061433186102402</v>
      </c>
      <c r="U1452" s="21">
        <f t="shared" si="886"/>
        <v>-4.9755888829110972</v>
      </c>
      <c r="V1452" s="21">
        <f t="shared" si="886"/>
        <v>-7.3679464868643407E-2</v>
      </c>
      <c r="W1452" s="563"/>
      <c r="X1452" s="563"/>
      <c r="Y1452" s="563"/>
      <c r="Z1452" s="563"/>
      <c r="AA1452" s="563"/>
      <c r="AB1452" s="563"/>
      <c r="AC1452" s="563"/>
      <c r="AD1452" s="563"/>
      <c r="AE1452" s="563"/>
      <c r="AF1452" s="563"/>
      <c r="AG1452" s="563"/>
      <c r="AH1452" s="563"/>
      <c r="AI1452" s="563"/>
      <c r="AJ1452" s="563"/>
    </row>
    <row r="1453" spans="2:36" x14ac:dyDescent="0.2">
      <c r="C1453" s="1" t="s">
        <v>184</v>
      </c>
      <c r="E1453" s="78"/>
      <c r="F1453" s="1" t="s">
        <v>55</v>
      </c>
      <c r="G1453" s="21">
        <f t="shared" si="879"/>
        <v>0</v>
      </c>
      <c r="H1453" s="604">
        <f>-H1561</f>
        <v>0</v>
      </c>
      <c r="I1453" s="21">
        <f t="shared" ref="I1453:V1453" si="887">IF($F$1442=1,-I1561-I1644,0)</f>
        <v>0</v>
      </c>
      <c r="J1453" s="21">
        <f t="shared" si="887"/>
        <v>0</v>
      </c>
      <c r="K1453" s="21">
        <f t="shared" si="887"/>
        <v>0</v>
      </c>
      <c r="L1453" s="21">
        <f t="shared" si="887"/>
        <v>0</v>
      </c>
      <c r="M1453" s="21">
        <f t="shared" si="887"/>
        <v>0</v>
      </c>
      <c r="N1453" s="21">
        <f t="shared" si="887"/>
        <v>0</v>
      </c>
      <c r="O1453" s="21">
        <f t="shared" si="887"/>
        <v>0</v>
      </c>
      <c r="P1453" s="21">
        <f t="shared" si="887"/>
        <v>0</v>
      </c>
      <c r="Q1453" s="21">
        <f t="shared" si="887"/>
        <v>0</v>
      </c>
      <c r="R1453" s="21">
        <f t="shared" si="887"/>
        <v>0</v>
      </c>
      <c r="S1453" s="21">
        <f t="shared" si="887"/>
        <v>0</v>
      </c>
      <c r="T1453" s="21">
        <f t="shared" si="887"/>
        <v>0</v>
      </c>
      <c r="U1453" s="21">
        <f t="shared" si="887"/>
        <v>0</v>
      </c>
      <c r="V1453" s="21">
        <f t="shared" si="887"/>
        <v>0</v>
      </c>
      <c r="W1453" s="563"/>
      <c r="X1453" s="563"/>
      <c r="Y1453" s="563"/>
      <c r="Z1453" s="563"/>
      <c r="AA1453" s="563"/>
      <c r="AB1453" s="563"/>
      <c r="AC1453" s="563"/>
      <c r="AD1453" s="563"/>
      <c r="AE1453" s="563"/>
      <c r="AF1453" s="563"/>
      <c r="AG1453" s="563"/>
      <c r="AH1453" s="563"/>
      <c r="AI1453" s="563"/>
      <c r="AJ1453" s="563"/>
    </row>
    <row r="1454" spans="2:36" x14ac:dyDescent="0.2">
      <c r="C1454" s="1" t="s">
        <v>185</v>
      </c>
      <c r="F1454" s="1" t="s">
        <v>55</v>
      </c>
      <c r="G1454" s="21">
        <f t="shared" si="879"/>
        <v>0</v>
      </c>
      <c r="H1454" s="604">
        <f>-H1563-H1569</f>
        <v>0</v>
      </c>
      <c r="I1454" s="21">
        <f t="shared" ref="I1454:V1454" si="888">IF($F$1442=1,-I1563-I1569-I1654,0)</f>
        <v>0</v>
      </c>
      <c r="J1454" s="21">
        <f t="shared" si="888"/>
        <v>0</v>
      </c>
      <c r="K1454" s="21">
        <f t="shared" si="888"/>
        <v>0</v>
      </c>
      <c r="L1454" s="21">
        <f t="shared" si="888"/>
        <v>0</v>
      </c>
      <c r="M1454" s="21">
        <f t="shared" si="888"/>
        <v>0</v>
      </c>
      <c r="N1454" s="21">
        <f t="shared" si="888"/>
        <v>0</v>
      </c>
      <c r="O1454" s="21">
        <f t="shared" si="888"/>
        <v>0</v>
      </c>
      <c r="P1454" s="21">
        <f t="shared" si="888"/>
        <v>0</v>
      </c>
      <c r="Q1454" s="21">
        <f t="shared" si="888"/>
        <v>0</v>
      </c>
      <c r="R1454" s="21">
        <f t="shared" si="888"/>
        <v>0</v>
      </c>
      <c r="S1454" s="21">
        <f t="shared" si="888"/>
        <v>0</v>
      </c>
      <c r="T1454" s="21">
        <f t="shared" si="888"/>
        <v>0</v>
      </c>
      <c r="U1454" s="21">
        <f t="shared" si="888"/>
        <v>0</v>
      </c>
      <c r="V1454" s="21">
        <f t="shared" si="888"/>
        <v>0</v>
      </c>
      <c r="W1454" s="563"/>
      <c r="X1454" s="563"/>
      <c r="Y1454" s="563"/>
      <c r="Z1454" s="563"/>
      <c r="AA1454" s="563"/>
      <c r="AB1454" s="563"/>
      <c r="AC1454" s="563"/>
      <c r="AD1454" s="563"/>
      <c r="AE1454" s="563"/>
      <c r="AF1454" s="563"/>
      <c r="AG1454" s="563"/>
      <c r="AH1454" s="563"/>
      <c r="AI1454" s="563"/>
      <c r="AJ1454" s="563"/>
    </row>
    <row r="1455" spans="2:36" x14ac:dyDescent="0.2">
      <c r="C1455" s="1" t="s">
        <v>954</v>
      </c>
      <c r="F1455" s="1" t="s">
        <v>55</v>
      </c>
      <c r="G1455" s="21">
        <f t="shared" si="879"/>
        <v>-0.35</v>
      </c>
      <c r="H1455" s="604"/>
      <c r="I1455" s="21">
        <f>-I1722-I1723</f>
        <v>-0.15</v>
      </c>
      <c r="J1455" s="21">
        <f t="shared" ref="J1455:V1455" si="889">-J1722-J1723</f>
        <v>-9.9999999999999992E-2</v>
      </c>
      <c r="K1455" s="21">
        <f t="shared" si="889"/>
        <v>-9.9999999999999992E-2</v>
      </c>
      <c r="L1455" s="21">
        <f t="shared" si="889"/>
        <v>0</v>
      </c>
      <c r="M1455" s="21">
        <f t="shared" si="889"/>
        <v>0</v>
      </c>
      <c r="N1455" s="21">
        <f t="shared" si="889"/>
        <v>0</v>
      </c>
      <c r="O1455" s="21">
        <f t="shared" si="889"/>
        <v>0</v>
      </c>
      <c r="P1455" s="21">
        <f t="shared" si="889"/>
        <v>0</v>
      </c>
      <c r="Q1455" s="21">
        <f t="shared" si="889"/>
        <v>0</v>
      </c>
      <c r="R1455" s="21">
        <f t="shared" si="889"/>
        <v>0</v>
      </c>
      <c r="S1455" s="21">
        <f t="shared" si="889"/>
        <v>0</v>
      </c>
      <c r="T1455" s="21">
        <f t="shared" si="889"/>
        <v>0</v>
      </c>
      <c r="U1455" s="21">
        <f t="shared" si="889"/>
        <v>0</v>
      </c>
      <c r="V1455" s="21">
        <f t="shared" si="889"/>
        <v>0</v>
      </c>
      <c r="W1455" s="563"/>
      <c r="X1455" s="563"/>
      <c r="Y1455" s="563"/>
      <c r="Z1455" s="563"/>
      <c r="AA1455" s="563"/>
      <c r="AB1455" s="563"/>
      <c r="AC1455" s="563"/>
      <c r="AD1455" s="563"/>
      <c r="AE1455" s="563"/>
      <c r="AF1455" s="563"/>
      <c r="AG1455" s="563"/>
      <c r="AH1455" s="563"/>
      <c r="AI1455" s="563"/>
      <c r="AJ1455" s="563"/>
    </row>
    <row r="1456" spans="2:36" x14ac:dyDescent="0.2">
      <c r="C1456" s="1" t="s">
        <v>955</v>
      </c>
      <c r="F1456" s="1" t="s">
        <v>55</v>
      </c>
      <c r="G1456" s="21">
        <f t="shared" si="879"/>
        <v>-3.2228117602517194</v>
      </c>
      <c r="H1456" s="604"/>
      <c r="I1456" s="21">
        <f>-I1720</f>
        <v>-9.5053106797031259E-2</v>
      </c>
      <c r="J1456" s="21">
        <f t="shared" ref="J1456:V1456" si="890">-J1720</f>
        <v>-0.28270633372671877</v>
      </c>
      <c r="K1456" s="21">
        <f t="shared" si="890"/>
        <v>-0.31611692441421879</v>
      </c>
      <c r="L1456" s="21">
        <f t="shared" si="890"/>
        <v>-0.31611692441421879</v>
      </c>
      <c r="M1456" s="21">
        <f t="shared" si="890"/>
        <v>-0.31611692441421879</v>
      </c>
      <c r="N1456" s="21">
        <f t="shared" si="890"/>
        <v>-0.31611692441421879</v>
      </c>
      <c r="O1456" s="21">
        <f t="shared" si="890"/>
        <v>-0.31611692441421879</v>
      </c>
      <c r="P1456" s="21">
        <f t="shared" si="890"/>
        <v>-0.31611692441421879</v>
      </c>
      <c r="Q1456" s="21">
        <f t="shared" si="890"/>
        <v>-0.31611692441421879</v>
      </c>
      <c r="R1456" s="21">
        <f t="shared" si="890"/>
        <v>-0.31611692441421879</v>
      </c>
      <c r="S1456" s="21">
        <f t="shared" si="890"/>
        <v>-0.31611692441421879</v>
      </c>
      <c r="T1456" s="21">
        <f t="shared" si="890"/>
        <v>-0.31611692441421879</v>
      </c>
      <c r="U1456" s="21">
        <f t="shared" si="890"/>
        <v>-0.31611692441421879</v>
      </c>
      <c r="V1456" s="21">
        <f t="shared" si="890"/>
        <v>-0.31611692441421879</v>
      </c>
      <c r="W1456" s="563"/>
      <c r="X1456" s="563"/>
      <c r="Y1456" s="563"/>
      <c r="Z1456" s="563"/>
      <c r="AA1456" s="563"/>
      <c r="AB1456" s="563"/>
      <c r="AC1456" s="563"/>
      <c r="AD1456" s="563"/>
      <c r="AE1456" s="563"/>
      <c r="AF1456" s="563"/>
      <c r="AG1456" s="563"/>
      <c r="AH1456" s="563"/>
      <c r="AI1456" s="563"/>
      <c r="AJ1456" s="563"/>
    </row>
    <row r="1457" spans="2:36" x14ac:dyDescent="0.2">
      <c r="C1457" s="9" t="s">
        <v>186</v>
      </c>
      <c r="D1457" s="9"/>
      <c r="F1457" s="9" t="s">
        <v>55</v>
      </c>
      <c r="G1457" s="602">
        <f>SUMPRODUCT(I1457:V1457,$I$1459:$V$1459)</f>
        <v>0</v>
      </c>
      <c r="H1457" s="604">
        <f>SUM(H1450:H1454)</f>
        <v>0</v>
      </c>
      <c r="I1457" s="21" t="b">
        <f>IF($F$1442=1,SUM(I1446:I1456))</f>
        <v>0</v>
      </c>
      <c r="J1457" s="21" t="b">
        <f t="shared" ref="J1457:V1457" si="891">IF($F$1442=1,SUM(J1446:J1456))</f>
        <v>0</v>
      </c>
      <c r="K1457" s="21" t="b">
        <f t="shared" si="891"/>
        <v>0</v>
      </c>
      <c r="L1457" s="21" t="b">
        <f t="shared" si="891"/>
        <v>0</v>
      </c>
      <c r="M1457" s="21" t="b">
        <f t="shared" si="891"/>
        <v>0</v>
      </c>
      <c r="N1457" s="21" t="b">
        <f t="shared" si="891"/>
        <v>0</v>
      </c>
      <c r="O1457" s="21" t="b">
        <f t="shared" si="891"/>
        <v>0</v>
      </c>
      <c r="P1457" s="21" t="b">
        <f t="shared" si="891"/>
        <v>0</v>
      </c>
      <c r="Q1457" s="21" t="b">
        <f t="shared" si="891"/>
        <v>0</v>
      </c>
      <c r="R1457" s="21" t="b">
        <f t="shared" si="891"/>
        <v>0</v>
      </c>
      <c r="S1457" s="21" t="b">
        <f t="shared" si="891"/>
        <v>0</v>
      </c>
      <c r="T1457" s="21" t="b">
        <f t="shared" si="891"/>
        <v>0</v>
      </c>
      <c r="U1457" s="21" t="b">
        <f t="shared" si="891"/>
        <v>0</v>
      </c>
      <c r="V1457" s="21" t="b">
        <f t="shared" si="891"/>
        <v>0</v>
      </c>
      <c r="W1457" s="563"/>
      <c r="X1457" s="563"/>
      <c r="Y1457" s="563"/>
      <c r="Z1457" s="563"/>
      <c r="AA1457" s="563"/>
      <c r="AB1457" s="563"/>
      <c r="AC1457" s="563"/>
      <c r="AD1457" s="563"/>
      <c r="AE1457" s="563"/>
      <c r="AF1457" s="563"/>
      <c r="AG1457" s="563"/>
      <c r="AH1457" s="563"/>
      <c r="AI1457" s="563"/>
      <c r="AJ1457" s="563"/>
    </row>
    <row r="1458" spans="2:36" x14ac:dyDescent="0.2">
      <c r="H1458" s="264"/>
    </row>
    <row r="1459" spans="2:36" x14ac:dyDescent="0.2">
      <c r="C1459" s="1" t="s">
        <v>926</v>
      </c>
      <c r="I1459" s="21">
        <f>(I1450&lt;0)*1</f>
        <v>1</v>
      </c>
      <c r="J1459" s="21">
        <f t="shared" ref="J1459:V1459" si="892">(J1450&lt;0)*1</f>
        <v>1</v>
      </c>
      <c r="K1459" s="21">
        <f t="shared" si="892"/>
        <v>1</v>
      </c>
      <c r="L1459" s="21">
        <f t="shared" si="892"/>
        <v>1</v>
      </c>
      <c r="M1459" s="21">
        <f t="shared" si="892"/>
        <v>1</v>
      </c>
      <c r="N1459" s="21">
        <f t="shared" si="892"/>
        <v>1</v>
      </c>
      <c r="O1459" s="21">
        <f t="shared" si="892"/>
        <v>1</v>
      </c>
      <c r="P1459" s="21">
        <f t="shared" si="892"/>
        <v>1</v>
      </c>
      <c r="Q1459" s="21">
        <f t="shared" si="892"/>
        <v>1</v>
      </c>
      <c r="R1459" s="21">
        <f t="shared" si="892"/>
        <v>1</v>
      </c>
      <c r="S1459" s="21">
        <f t="shared" si="892"/>
        <v>1</v>
      </c>
      <c r="T1459" s="21">
        <f t="shared" si="892"/>
        <v>0</v>
      </c>
      <c r="U1459" s="21">
        <f t="shared" si="892"/>
        <v>0</v>
      </c>
      <c r="V1459" s="21">
        <f t="shared" si="892"/>
        <v>0</v>
      </c>
    </row>
    <row r="1461" spans="2:36" x14ac:dyDescent="0.2">
      <c r="C1461" s="79"/>
      <c r="D1461" s="79"/>
      <c r="E1461" s="79"/>
      <c r="F1461" s="79"/>
      <c r="G1461" s="80"/>
      <c r="H1461" s="79"/>
      <c r="I1461" s="80"/>
      <c r="J1461" s="80"/>
      <c r="K1461" s="80"/>
      <c r="L1461" s="80"/>
      <c r="M1461" s="80"/>
      <c r="N1461" s="80"/>
      <c r="O1461" s="80"/>
      <c r="P1461" s="80"/>
      <c r="Q1461" s="80"/>
      <c r="R1461" s="80"/>
      <c r="S1461" s="80"/>
      <c r="T1461" s="80"/>
      <c r="U1461" s="80"/>
      <c r="V1461" s="80"/>
      <c r="W1461" s="568"/>
      <c r="X1461" s="568"/>
      <c r="Y1461" s="568"/>
      <c r="Z1461" s="568"/>
      <c r="AA1461" s="568"/>
      <c r="AB1461" s="568"/>
      <c r="AC1461" s="568"/>
      <c r="AD1461" s="568"/>
      <c r="AE1461" s="568"/>
      <c r="AF1461" s="568"/>
      <c r="AG1461" s="568"/>
      <c r="AH1461" s="568"/>
      <c r="AI1461" s="568"/>
      <c r="AJ1461" s="568"/>
    </row>
    <row r="1462" spans="2:36" x14ac:dyDescent="0.2">
      <c r="C1462" s="5"/>
      <c r="D1462" s="5"/>
      <c r="G1462" s="21"/>
      <c r="I1462" s="21"/>
      <c r="J1462" s="21"/>
      <c r="K1462" s="21"/>
      <c r="L1462" s="21"/>
      <c r="M1462" s="21"/>
      <c r="N1462" s="21"/>
      <c r="O1462" s="21"/>
      <c r="P1462" s="21"/>
      <c r="Q1462" s="21"/>
      <c r="R1462" s="21"/>
      <c r="S1462" s="21"/>
      <c r="T1462" s="21"/>
      <c r="U1462" s="21"/>
      <c r="V1462" s="21"/>
      <c r="W1462" s="563"/>
      <c r="X1462" s="563"/>
      <c r="Y1462" s="563"/>
      <c r="Z1462" s="563"/>
      <c r="AA1462" s="563"/>
      <c r="AB1462" s="563"/>
      <c r="AC1462" s="563"/>
      <c r="AD1462" s="563"/>
      <c r="AE1462" s="563"/>
      <c r="AF1462" s="563"/>
      <c r="AG1462" s="563"/>
      <c r="AH1462" s="563"/>
      <c r="AI1462" s="563"/>
      <c r="AJ1462" s="563"/>
    </row>
    <row r="1463" spans="2:36" x14ac:dyDescent="0.2">
      <c r="B1463" s="10">
        <f>B1444+0.1</f>
        <v>14.2</v>
      </c>
      <c r="C1463" s="20" t="s">
        <v>187</v>
      </c>
      <c r="D1463" s="20"/>
      <c r="G1463" s="21"/>
      <c r="H1463" s="69"/>
      <c r="I1463" s="21"/>
      <c r="J1463" s="21"/>
      <c r="K1463" s="21"/>
      <c r="L1463" s="21"/>
      <c r="M1463" s="21"/>
      <c r="N1463" s="21"/>
      <c r="O1463" s="21"/>
      <c r="P1463" s="21"/>
      <c r="Q1463" s="21"/>
      <c r="R1463" s="21"/>
      <c r="S1463" s="21"/>
      <c r="T1463" s="21"/>
      <c r="U1463" s="21"/>
      <c r="V1463" s="21"/>
      <c r="W1463" s="563"/>
      <c r="X1463" s="563"/>
      <c r="Y1463" s="563"/>
      <c r="Z1463" s="563"/>
      <c r="AA1463" s="563"/>
      <c r="AB1463" s="563"/>
      <c r="AC1463" s="563"/>
      <c r="AD1463" s="563"/>
      <c r="AE1463" s="563"/>
      <c r="AF1463" s="563"/>
      <c r="AG1463" s="563"/>
      <c r="AH1463" s="563"/>
      <c r="AI1463" s="563"/>
      <c r="AJ1463" s="563"/>
    </row>
    <row r="1464" spans="2:36" x14ac:dyDescent="0.2">
      <c r="C1464" s="5"/>
      <c r="D1464" s="5"/>
      <c r="G1464" s="21"/>
      <c r="I1464" s="21"/>
      <c r="J1464" s="21"/>
      <c r="K1464" s="21"/>
      <c r="L1464" s="21"/>
      <c r="M1464" s="21"/>
      <c r="N1464" s="21"/>
      <c r="O1464" s="21"/>
      <c r="P1464" s="21"/>
      <c r="Q1464" s="21"/>
      <c r="R1464" s="21"/>
      <c r="S1464" s="21"/>
      <c r="T1464" s="21"/>
      <c r="U1464" s="21"/>
      <c r="V1464" s="21"/>
      <c r="W1464" s="563"/>
      <c r="X1464" s="563"/>
      <c r="Y1464" s="563"/>
      <c r="Z1464" s="563"/>
      <c r="AA1464" s="563"/>
      <c r="AB1464" s="563"/>
      <c r="AC1464" s="563"/>
      <c r="AD1464" s="563"/>
      <c r="AE1464" s="563"/>
      <c r="AF1464" s="563"/>
      <c r="AG1464" s="563"/>
      <c r="AH1464" s="563"/>
      <c r="AI1464" s="563"/>
      <c r="AJ1464" s="563"/>
    </row>
    <row r="1465" spans="2:36" x14ac:dyDescent="0.2">
      <c r="B1465" s="24"/>
      <c r="C1465" s="20" t="s">
        <v>188</v>
      </c>
      <c r="D1465" s="20"/>
      <c r="G1465" s="21"/>
      <c r="I1465" s="21"/>
      <c r="J1465" s="21"/>
      <c r="K1465" s="21"/>
      <c r="L1465" s="21"/>
      <c r="M1465" s="21"/>
      <c r="N1465" s="21"/>
      <c r="O1465" s="21"/>
      <c r="P1465" s="21"/>
      <c r="Q1465" s="21"/>
      <c r="R1465" s="21"/>
      <c r="S1465" s="21"/>
      <c r="T1465" s="21"/>
      <c r="U1465" s="21"/>
      <c r="V1465" s="21"/>
      <c r="W1465" s="563"/>
      <c r="X1465" s="563"/>
      <c r="Y1465" s="563"/>
      <c r="Z1465" s="563"/>
      <c r="AA1465" s="563"/>
      <c r="AB1465" s="563"/>
      <c r="AC1465" s="563"/>
      <c r="AD1465" s="563"/>
      <c r="AE1465" s="563"/>
      <c r="AF1465" s="563"/>
      <c r="AG1465" s="563"/>
      <c r="AH1465" s="563"/>
      <c r="AI1465" s="563"/>
      <c r="AJ1465" s="563"/>
    </row>
    <row r="1466" spans="2:36" x14ac:dyDescent="0.2">
      <c r="B1466" s="24"/>
      <c r="C1466" s="20"/>
      <c r="D1466" s="20"/>
      <c r="G1466" s="21"/>
      <c r="I1466" s="21"/>
      <c r="J1466" s="21"/>
      <c r="K1466" s="21"/>
      <c r="L1466" s="21"/>
      <c r="M1466" s="21"/>
      <c r="N1466" s="21"/>
      <c r="O1466" s="21"/>
      <c r="P1466" s="21"/>
      <c r="Q1466" s="21"/>
      <c r="R1466" s="21"/>
      <c r="S1466" s="21"/>
      <c r="T1466" s="21"/>
      <c r="U1466" s="21"/>
      <c r="V1466" s="21"/>
      <c r="W1466" s="563"/>
      <c r="X1466" s="563"/>
      <c r="Y1466" s="563"/>
      <c r="Z1466" s="563"/>
      <c r="AA1466" s="563"/>
      <c r="AB1466" s="563"/>
      <c r="AC1466" s="563"/>
      <c r="AD1466" s="563"/>
      <c r="AE1466" s="563"/>
      <c r="AF1466" s="563"/>
      <c r="AG1466" s="563"/>
      <c r="AH1466" s="563"/>
      <c r="AI1466" s="563"/>
      <c r="AJ1466" s="563"/>
    </row>
    <row r="1467" spans="2:36" x14ac:dyDescent="0.2">
      <c r="B1467" s="24"/>
      <c r="C1467" s="5" t="s">
        <v>928</v>
      </c>
      <c r="D1467" s="20"/>
      <c r="E1467" s="515">
        <f>SUMPRODUCT(I1467:V1467,I3:V3)</f>
        <v>44926</v>
      </c>
      <c r="G1467" s="21"/>
      <c r="I1467" s="21">
        <f t="shared" ref="I1467:V1467" si="893">(I830&gt;0)*(H830=0)</f>
        <v>0</v>
      </c>
      <c r="J1467" s="21">
        <f t="shared" si="893"/>
        <v>0</v>
      </c>
      <c r="K1467" s="21">
        <f t="shared" si="893"/>
        <v>0</v>
      </c>
      <c r="L1467" s="21">
        <f t="shared" si="893"/>
        <v>1</v>
      </c>
      <c r="M1467" s="21">
        <f t="shared" si="893"/>
        <v>0</v>
      </c>
      <c r="N1467" s="21">
        <f t="shared" si="893"/>
        <v>0</v>
      </c>
      <c r="O1467" s="21">
        <f t="shared" si="893"/>
        <v>0</v>
      </c>
      <c r="P1467" s="21">
        <f t="shared" si="893"/>
        <v>0</v>
      </c>
      <c r="Q1467" s="21">
        <f t="shared" si="893"/>
        <v>0</v>
      </c>
      <c r="R1467" s="21">
        <f t="shared" si="893"/>
        <v>0</v>
      </c>
      <c r="S1467" s="21">
        <f t="shared" si="893"/>
        <v>0</v>
      </c>
      <c r="T1467" s="21">
        <f t="shared" si="893"/>
        <v>0</v>
      </c>
      <c r="U1467" s="21">
        <f t="shared" si="893"/>
        <v>0</v>
      </c>
      <c r="V1467" s="21">
        <f t="shared" si="893"/>
        <v>0</v>
      </c>
      <c r="W1467" s="563"/>
      <c r="X1467" s="563"/>
      <c r="Y1467" s="563"/>
      <c r="Z1467" s="563"/>
      <c r="AA1467" s="563"/>
      <c r="AB1467" s="563"/>
      <c r="AC1467" s="563"/>
      <c r="AD1467" s="563"/>
      <c r="AE1467" s="563"/>
      <c r="AF1467" s="563"/>
      <c r="AG1467" s="563"/>
      <c r="AH1467" s="563"/>
      <c r="AI1467" s="563"/>
      <c r="AJ1467" s="563"/>
    </row>
    <row r="1468" spans="2:36" x14ac:dyDescent="0.2">
      <c r="B1468" s="24"/>
      <c r="C1468" s="5" t="s">
        <v>921</v>
      </c>
      <c r="D1468" s="5"/>
      <c r="E1468" s="512">
        <v>45565</v>
      </c>
      <c r="G1468" s="21"/>
      <c r="I1468" s="21"/>
      <c r="J1468" s="21"/>
      <c r="K1468" s="21"/>
      <c r="L1468" s="21"/>
      <c r="M1468" s="21"/>
      <c r="N1468" s="21"/>
      <c r="O1468" s="21"/>
      <c r="P1468" s="21"/>
      <c r="Q1468" s="21"/>
      <c r="R1468" s="21"/>
      <c r="S1468" s="21"/>
      <c r="T1468" s="21"/>
      <c r="U1468" s="21"/>
      <c r="V1468" s="21"/>
      <c r="W1468" s="563"/>
      <c r="X1468" s="563"/>
      <c r="Y1468" s="563"/>
      <c r="Z1468" s="563"/>
      <c r="AA1468" s="563"/>
      <c r="AB1468" s="563"/>
      <c r="AC1468" s="563"/>
      <c r="AD1468" s="563"/>
      <c r="AE1468" s="563"/>
      <c r="AF1468" s="563"/>
      <c r="AG1468" s="563"/>
      <c r="AH1468" s="563"/>
      <c r="AI1468" s="563"/>
      <c r="AJ1468" s="563"/>
    </row>
    <row r="1469" spans="2:36" x14ac:dyDescent="0.2">
      <c r="B1469" s="24"/>
      <c r="C1469" s="20"/>
      <c r="D1469" s="20"/>
      <c r="G1469" s="21"/>
      <c r="I1469" s="21"/>
      <c r="J1469" s="21"/>
      <c r="K1469" s="21"/>
      <c r="L1469" s="21"/>
      <c r="M1469" s="21"/>
      <c r="N1469" s="21"/>
      <c r="O1469" s="21"/>
      <c r="P1469" s="21"/>
      <c r="Q1469" s="21"/>
      <c r="R1469" s="21"/>
      <c r="S1469" s="21"/>
      <c r="T1469" s="21"/>
      <c r="U1469" s="21"/>
      <c r="V1469" s="21"/>
      <c r="W1469" s="563"/>
      <c r="X1469" s="563"/>
      <c r="Y1469" s="563"/>
      <c r="Z1469" s="563"/>
      <c r="AA1469" s="563"/>
      <c r="AB1469" s="563"/>
      <c r="AC1469" s="563"/>
      <c r="AD1469" s="563"/>
      <c r="AE1469" s="563"/>
      <c r="AF1469" s="563"/>
      <c r="AG1469" s="563"/>
      <c r="AH1469" s="563"/>
      <c r="AI1469" s="563"/>
      <c r="AJ1469" s="563"/>
    </row>
    <row r="1470" spans="2:36" x14ac:dyDescent="0.2">
      <c r="C1470" s="20"/>
      <c r="D1470" s="20"/>
      <c r="E1470" s="1" t="s">
        <v>191</v>
      </c>
      <c r="G1470" s="21" t="s">
        <v>375</v>
      </c>
      <c r="I1470" s="21"/>
      <c r="J1470" s="21"/>
      <c r="K1470" s="21"/>
      <c r="L1470" s="21"/>
      <c r="M1470" s="21"/>
      <c r="N1470" s="21"/>
      <c r="O1470" s="21"/>
      <c r="P1470" s="21"/>
      <c r="Q1470" s="21"/>
      <c r="R1470" s="21"/>
      <c r="S1470" s="21"/>
      <c r="T1470" s="21"/>
      <c r="U1470" s="21"/>
      <c r="V1470" s="21"/>
      <c r="W1470" s="563"/>
      <c r="X1470" s="563"/>
      <c r="Y1470" s="563"/>
      <c r="Z1470" s="563"/>
      <c r="AA1470" s="563"/>
      <c r="AB1470" s="563"/>
      <c r="AC1470" s="563"/>
      <c r="AD1470" s="563"/>
      <c r="AE1470" s="563"/>
      <c r="AF1470" s="563"/>
      <c r="AG1470" s="563"/>
      <c r="AH1470" s="563"/>
      <c r="AI1470" s="563"/>
      <c r="AJ1470" s="563"/>
    </row>
    <row r="1471" spans="2:36" x14ac:dyDescent="0.2">
      <c r="C1471" s="5" t="str">
        <f>E1471&amp;" year door-to-door tenor"</f>
        <v>36 year door-to-door tenor</v>
      </c>
      <c r="D1471" s="5"/>
      <c r="E1471" s="513">
        <f>'Plant model'!E1471*4</f>
        <v>36</v>
      </c>
      <c r="F1471" s="1" t="s">
        <v>924</v>
      </c>
      <c r="G1471" s="21">
        <f>SUM(I1471:AJ1471)</f>
        <v>4</v>
      </c>
      <c r="I1471" s="21">
        <f t="shared" ref="I1471:V1473" si="894">(I$3&gt;=$E$1468)*1</f>
        <v>0</v>
      </c>
      <c r="J1471" s="21">
        <f t="shared" si="894"/>
        <v>0</v>
      </c>
      <c r="K1471" s="21">
        <f t="shared" si="894"/>
        <v>0</v>
      </c>
      <c r="L1471" s="21">
        <f t="shared" si="894"/>
        <v>0</v>
      </c>
      <c r="M1471" s="21">
        <f t="shared" si="894"/>
        <v>0</v>
      </c>
      <c r="N1471" s="21">
        <f t="shared" si="894"/>
        <v>0</v>
      </c>
      <c r="O1471" s="21">
        <f t="shared" si="894"/>
        <v>0</v>
      </c>
      <c r="P1471" s="21">
        <f t="shared" si="894"/>
        <v>0</v>
      </c>
      <c r="Q1471" s="21">
        <f t="shared" si="894"/>
        <v>0</v>
      </c>
      <c r="R1471" s="21">
        <f t="shared" si="894"/>
        <v>0</v>
      </c>
      <c r="S1471" s="21">
        <f t="shared" si="894"/>
        <v>1</v>
      </c>
      <c r="T1471" s="21">
        <f t="shared" si="894"/>
        <v>1</v>
      </c>
      <c r="U1471" s="21">
        <f t="shared" si="894"/>
        <v>1</v>
      </c>
      <c r="V1471" s="21">
        <f t="shared" si="894"/>
        <v>1</v>
      </c>
      <c r="W1471" s="563"/>
      <c r="X1471" s="563"/>
      <c r="Y1471" s="563"/>
      <c r="Z1471" s="563"/>
      <c r="AA1471" s="563"/>
      <c r="AB1471" s="563"/>
      <c r="AC1471" s="563"/>
      <c r="AD1471" s="563"/>
      <c r="AE1471" s="563"/>
      <c r="AF1471" s="563"/>
      <c r="AG1471" s="563"/>
      <c r="AH1471" s="563"/>
      <c r="AI1471" s="563"/>
      <c r="AJ1471" s="563"/>
    </row>
    <row r="1472" spans="2:36" x14ac:dyDescent="0.2">
      <c r="C1472" s="5" t="str">
        <f>E1472&amp;" year door-to-door tenor"</f>
        <v>40 year door-to-door tenor</v>
      </c>
      <c r="D1472" s="5"/>
      <c r="E1472" s="513">
        <f>'Plant model'!E1472*4</f>
        <v>40</v>
      </c>
      <c r="F1472" s="1" t="s">
        <v>924</v>
      </c>
      <c r="G1472" s="21">
        <f>SUM(I1472:AJ1472)</f>
        <v>4</v>
      </c>
      <c r="I1472" s="21">
        <f t="shared" si="894"/>
        <v>0</v>
      </c>
      <c r="J1472" s="21">
        <f t="shared" si="894"/>
        <v>0</v>
      </c>
      <c r="K1472" s="21">
        <f t="shared" si="894"/>
        <v>0</v>
      </c>
      <c r="L1472" s="21">
        <f t="shared" si="894"/>
        <v>0</v>
      </c>
      <c r="M1472" s="21">
        <f t="shared" si="894"/>
        <v>0</v>
      </c>
      <c r="N1472" s="21">
        <f t="shared" si="894"/>
        <v>0</v>
      </c>
      <c r="O1472" s="21">
        <f t="shared" si="894"/>
        <v>0</v>
      </c>
      <c r="P1472" s="21">
        <f t="shared" si="894"/>
        <v>0</v>
      </c>
      <c r="Q1472" s="21">
        <f t="shared" si="894"/>
        <v>0</v>
      </c>
      <c r="R1472" s="21">
        <f t="shared" si="894"/>
        <v>0</v>
      </c>
      <c r="S1472" s="21">
        <f t="shared" si="894"/>
        <v>1</v>
      </c>
      <c r="T1472" s="21">
        <f t="shared" si="894"/>
        <v>1</v>
      </c>
      <c r="U1472" s="21">
        <f t="shared" si="894"/>
        <v>1</v>
      </c>
      <c r="V1472" s="21">
        <f t="shared" si="894"/>
        <v>1</v>
      </c>
      <c r="W1472" s="563"/>
      <c r="X1472" s="563"/>
      <c r="Y1472" s="563"/>
      <c r="Z1472" s="563"/>
      <c r="AA1472" s="563"/>
      <c r="AB1472" s="563"/>
      <c r="AC1472" s="563"/>
      <c r="AD1472" s="563"/>
      <c r="AE1472" s="563"/>
      <c r="AF1472" s="563"/>
      <c r="AG1472" s="563"/>
      <c r="AH1472" s="563"/>
      <c r="AI1472" s="563"/>
      <c r="AJ1472" s="563"/>
    </row>
    <row r="1473" spans="2:36" x14ac:dyDescent="0.2">
      <c r="C1473" s="5" t="str">
        <f>E1473&amp;" year door-to-door tenor"</f>
        <v>44 year door-to-door tenor</v>
      </c>
      <c r="D1473" s="5"/>
      <c r="E1473" s="513">
        <f>'Plant model'!E1473*4</f>
        <v>44</v>
      </c>
      <c r="F1473" s="1" t="s">
        <v>924</v>
      </c>
      <c r="G1473" s="21">
        <f>SUM(I1473:AJ1473)</f>
        <v>4</v>
      </c>
      <c r="I1473" s="21">
        <f t="shared" si="894"/>
        <v>0</v>
      </c>
      <c r="J1473" s="21">
        <f t="shared" si="894"/>
        <v>0</v>
      </c>
      <c r="K1473" s="21">
        <f t="shared" si="894"/>
        <v>0</v>
      </c>
      <c r="L1473" s="21">
        <f t="shared" si="894"/>
        <v>0</v>
      </c>
      <c r="M1473" s="21">
        <f t="shared" si="894"/>
        <v>0</v>
      </c>
      <c r="N1473" s="21">
        <f t="shared" si="894"/>
        <v>0</v>
      </c>
      <c r="O1473" s="21">
        <f t="shared" si="894"/>
        <v>0</v>
      </c>
      <c r="P1473" s="21">
        <f t="shared" si="894"/>
        <v>0</v>
      </c>
      <c r="Q1473" s="21">
        <f t="shared" si="894"/>
        <v>0</v>
      </c>
      <c r="R1473" s="21">
        <f t="shared" si="894"/>
        <v>0</v>
      </c>
      <c r="S1473" s="21">
        <f t="shared" si="894"/>
        <v>1</v>
      </c>
      <c r="T1473" s="21">
        <f t="shared" si="894"/>
        <v>1</v>
      </c>
      <c r="U1473" s="21">
        <f t="shared" si="894"/>
        <v>1</v>
      </c>
      <c r="V1473" s="21">
        <f t="shared" si="894"/>
        <v>1</v>
      </c>
      <c r="W1473" s="563"/>
      <c r="X1473" s="563"/>
      <c r="Y1473" s="563"/>
      <c r="Z1473" s="563"/>
      <c r="AA1473" s="563"/>
      <c r="AB1473" s="563"/>
      <c r="AC1473" s="563"/>
      <c r="AD1473" s="563"/>
      <c r="AE1473" s="563"/>
      <c r="AF1473" s="563"/>
      <c r="AG1473" s="563"/>
      <c r="AH1473" s="563"/>
      <c r="AI1473" s="563"/>
      <c r="AJ1473" s="563"/>
    </row>
    <row r="1475" spans="2:36" x14ac:dyDescent="0.2">
      <c r="B1475" s="24"/>
      <c r="C1475" s="9" t="s">
        <v>193</v>
      </c>
      <c r="D1475" s="9"/>
      <c r="E1475" s="86" t="s">
        <v>176</v>
      </c>
    </row>
    <row r="1476" spans="2:36" x14ac:dyDescent="0.2">
      <c r="C1476" s="1" t="str">
        <f>C1471</f>
        <v>36 year door-to-door tenor</v>
      </c>
      <c r="E1476" s="510">
        <f>'Plant model'!E1476</f>
        <v>558.50412066090587</v>
      </c>
      <c r="F1476" s="1" t="s">
        <v>55</v>
      </c>
      <c r="G1476" s="21">
        <f>SUM(I1476:AJ1476)</f>
        <v>69.048008692838962</v>
      </c>
      <c r="I1476" s="21">
        <f t="shared" ref="I1476:V1476" si="895">I1471*I$1382</f>
        <v>0</v>
      </c>
      <c r="J1476" s="21">
        <f t="shared" si="895"/>
        <v>0</v>
      </c>
      <c r="K1476" s="21">
        <f t="shared" si="895"/>
        <v>0</v>
      </c>
      <c r="L1476" s="21">
        <f t="shared" si="895"/>
        <v>0</v>
      </c>
      <c r="M1476" s="21">
        <f t="shared" si="895"/>
        <v>0</v>
      </c>
      <c r="N1476" s="21">
        <f t="shared" si="895"/>
        <v>0</v>
      </c>
      <c r="O1476" s="21">
        <f t="shared" si="895"/>
        <v>0</v>
      </c>
      <c r="P1476" s="21">
        <f t="shared" si="895"/>
        <v>0</v>
      </c>
      <c r="Q1476" s="21">
        <f t="shared" si="895"/>
        <v>0</v>
      </c>
      <c r="R1476" s="21">
        <f t="shared" si="895"/>
        <v>0</v>
      </c>
      <c r="S1476" s="21">
        <f t="shared" si="895"/>
        <v>-16.45976851810795</v>
      </c>
      <c r="T1476" s="21">
        <f t="shared" si="895"/>
        <v>20.488288847116124</v>
      </c>
      <c r="U1476" s="21">
        <f t="shared" si="895"/>
        <v>29.946735286739781</v>
      </c>
      <c r="V1476" s="21">
        <f t="shared" si="895"/>
        <v>35.072753077091008</v>
      </c>
      <c r="W1476" s="563"/>
      <c r="X1476" s="563"/>
      <c r="Y1476" s="563"/>
      <c r="Z1476" s="563"/>
      <c r="AA1476" s="563"/>
      <c r="AB1476" s="563"/>
      <c r="AC1476" s="563"/>
      <c r="AD1476" s="563"/>
      <c r="AE1476" s="563"/>
      <c r="AF1476" s="563"/>
      <c r="AG1476" s="563"/>
      <c r="AH1476" s="563"/>
      <c r="AI1476" s="563"/>
      <c r="AJ1476" s="563"/>
    </row>
    <row r="1477" spans="2:36" x14ac:dyDescent="0.2">
      <c r="C1477" s="1" t="str">
        <f>C1472</f>
        <v>40 year door-to-door tenor</v>
      </c>
      <c r="E1477" s="510">
        <f>'Plant model'!E1477</f>
        <v>625.88399341409422</v>
      </c>
      <c r="F1477" s="1" t="s">
        <v>55</v>
      </c>
      <c r="G1477" s="21">
        <f>SUM(I1477:AJ1477)</f>
        <v>69.048008692838962</v>
      </c>
      <c r="I1477" s="21">
        <f t="shared" ref="I1477:V1477" si="896">I1472*I$1382</f>
        <v>0</v>
      </c>
      <c r="J1477" s="21">
        <f t="shared" si="896"/>
        <v>0</v>
      </c>
      <c r="K1477" s="21">
        <f t="shared" si="896"/>
        <v>0</v>
      </c>
      <c r="L1477" s="21">
        <f t="shared" si="896"/>
        <v>0</v>
      </c>
      <c r="M1477" s="21">
        <f t="shared" si="896"/>
        <v>0</v>
      </c>
      <c r="N1477" s="21">
        <f t="shared" si="896"/>
        <v>0</v>
      </c>
      <c r="O1477" s="21">
        <f t="shared" si="896"/>
        <v>0</v>
      </c>
      <c r="P1477" s="21">
        <f t="shared" si="896"/>
        <v>0</v>
      </c>
      <c r="Q1477" s="21">
        <f t="shared" si="896"/>
        <v>0</v>
      </c>
      <c r="R1477" s="21">
        <f t="shared" si="896"/>
        <v>0</v>
      </c>
      <c r="S1477" s="21">
        <f t="shared" si="896"/>
        <v>-16.45976851810795</v>
      </c>
      <c r="T1477" s="21">
        <f t="shared" si="896"/>
        <v>20.488288847116124</v>
      </c>
      <c r="U1477" s="21">
        <f t="shared" si="896"/>
        <v>29.946735286739781</v>
      </c>
      <c r="V1477" s="21">
        <f t="shared" si="896"/>
        <v>35.072753077091008</v>
      </c>
      <c r="W1477" s="563"/>
      <c r="X1477" s="563"/>
      <c r="Y1477" s="563"/>
      <c r="Z1477" s="563"/>
      <c r="AA1477" s="563"/>
      <c r="AB1477" s="563"/>
      <c r="AC1477" s="563"/>
      <c r="AD1477" s="563"/>
      <c r="AE1477" s="563"/>
      <c r="AF1477" s="563"/>
      <c r="AG1477" s="563"/>
      <c r="AH1477" s="563"/>
      <c r="AI1477" s="563"/>
      <c r="AJ1477" s="563"/>
    </row>
    <row r="1478" spans="2:36" x14ac:dyDescent="0.2">
      <c r="C1478" s="1" t="str">
        <f>C1473</f>
        <v>44 year door-to-door tenor</v>
      </c>
      <c r="E1478" s="510">
        <f>'Plant model'!E1478</f>
        <v>687.83302017436415</v>
      </c>
      <c r="F1478" s="1" t="s">
        <v>55</v>
      </c>
      <c r="G1478" s="21">
        <f>SUM(I1478:AJ1478)</f>
        <v>69.048008692838962</v>
      </c>
      <c r="I1478" s="21">
        <f t="shared" ref="I1478:V1478" si="897">I1473*I$1382</f>
        <v>0</v>
      </c>
      <c r="J1478" s="21">
        <f t="shared" si="897"/>
        <v>0</v>
      </c>
      <c r="K1478" s="21">
        <f t="shared" si="897"/>
        <v>0</v>
      </c>
      <c r="L1478" s="21">
        <f t="shared" si="897"/>
        <v>0</v>
      </c>
      <c r="M1478" s="21">
        <f t="shared" si="897"/>
        <v>0</v>
      </c>
      <c r="N1478" s="21">
        <f t="shared" si="897"/>
        <v>0</v>
      </c>
      <c r="O1478" s="21">
        <f t="shared" si="897"/>
        <v>0</v>
      </c>
      <c r="P1478" s="21">
        <f t="shared" si="897"/>
        <v>0</v>
      </c>
      <c r="Q1478" s="21">
        <f t="shared" si="897"/>
        <v>0</v>
      </c>
      <c r="R1478" s="21">
        <f t="shared" si="897"/>
        <v>0</v>
      </c>
      <c r="S1478" s="21">
        <f t="shared" si="897"/>
        <v>-16.45976851810795</v>
      </c>
      <c r="T1478" s="21">
        <f t="shared" si="897"/>
        <v>20.488288847116124</v>
      </c>
      <c r="U1478" s="21">
        <f t="shared" si="897"/>
        <v>29.946735286739781</v>
      </c>
      <c r="V1478" s="21">
        <f t="shared" si="897"/>
        <v>35.072753077091008</v>
      </c>
      <c r="W1478" s="563"/>
      <c r="X1478" s="563"/>
      <c r="Y1478" s="563"/>
      <c r="Z1478" s="563"/>
      <c r="AA1478" s="563"/>
      <c r="AB1478" s="563"/>
      <c r="AC1478" s="563"/>
      <c r="AD1478" s="563"/>
      <c r="AE1478" s="563"/>
      <c r="AF1478" s="563"/>
      <c r="AG1478" s="563"/>
      <c r="AH1478" s="563"/>
      <c r="AI1478" s="563"/>
      <c r="AJ1478" s="563"/>
    </row>
    <row r="1479" spans="2:36" x14ac:dyDescent="0.2">
      <c r="E1479" s="69"/>
    </row>
    <row r="1480" spans="2:36" x14ac:dyDescent="0.2">
      <c r="C1480" s="9" t="s">
        <v>187</v>
      </c>
      <c r="D1480" s="9"/>
    </row>
    <row r="1481" spans="2:36" x14ac:dyDescent="0.2">
      <c r="C1481" s="1" t="s">
        <v>194</v>
      </c>
      <c r="E1481" s="511">
        <f>'Plant model'!E1481</f>
        <v>1.5</v>
      </c>
      <c r="F1481" s="1" t="s">
        <v>195</v>
      </c>
    </row>
    <row r="1482" spans="2:36" x14ac:dyDescent="0.2">
      <c r="C1482" s="1" t="s">
        <v>564</v>
      </c>
      <c r="E1482" s="511">
        <f>'Plant model'!E1482</f>
        <v>1.5</v>
      </c>
      <c r="F1482" s="1" t="s">
        <v>195</v>
      </c>
    </row>
    <row r="1483" spans="2:36" x14ac:dyDescent="0.2">
      <c r="C1483" s="1" t="s">
        <v>196</v>
      </c>
      <c r="E1483" s="387">
        <f>(1+'Plant model'!E1483)^(1/4)-1</f>
        <v>1.7058525001811375E-2</v>
      </c>
      <c r="F1483" s="1" t="s">
        <v>8</v>
      </c>
    </row>
    <row r="1485" spans="2:36" x14ac:dyDescent="0.2">
      <c r="C1485" s="1" t="str">
        <f>C1476</f>
        <v>36 year door-to-door tenor</v>
      </c>
      <c r="E1485" s="41">
        <f>'Plant model'!E1485</f>
        <v>372.33608044060389</v>
      </c>
      <c r="F1485" s="1" t="s">
        <v>55</v>
      </c>
    </row>
    <row r="1486" spans="2:36" x14ac:dyDescent="0.2">
      <c r="C1486" s="1" t="str">
        <f>C1477</f>
        <v>40 year door-to-door tenor</v>
      </c>
      <c r="E1486" s="41">
        <f>'Plant model'!E1486</f>
        <v>417.25599560939617</v>
      </c>
      <c r="F1486" s="1" t="s">
        <v>55</v>
      </c>
    </row>
    <row r="1487" spans="2:36" x14ac:dyDescent="0.2">
      <c r="C1487" s="1" t="str">
        <f>C1478</f>
        <v>44 year door-to-door tenor</v>
      </c>
      <c r="E1487" s="41">
        <f>'Plant model'!E1487</f>
        <v>458.55534678290945</v>
      </c>
      <c r="F1487" s="1" t="s">
        <v>55</v>
      </c>
    </row>
    <row r="1488" spans="2:36" x14ac:dyDescent="0.2">
      <c r="E1488" s="21"/>
      <c r="M1488" s="21"/>
    </row>
    <row r="1489" spans="2:36" x14ac:dyDescent="0.2">
      <c r="C1489" s="9" t="s">
        <v>933</v>
      </c>
      <c r="D1489" s="9"/>
      <c r="E1489" s="21"/>
    </row>
    <row r="1490" spans="2:36" x14ac:dyDescent="0.2">
      <c r="C1490" s="1" t="s">
        <v>197</v>
      </c>
      <c r="E1490" s="21"/>
      <c r="F1490" s="1" t="s">
        <v>55</v>
      </c>
      <c r="I1490" s="21">
        <f t="shared" ref="I1490:V1490" si="898">I1528*I1382</f>
        <v>0</v>
      </c>
      <c r="J1490" s="21">
        <f t="shared" si="898"/>
        <v>0</v>
      </c>
      <c r="K1490" s="21">
        <f t="shared" si="898"/>
        <v>0</v>
      </c>
      <c r="L1490" s="21">
        <f t="shared" si="898"/>
        <v>0</v>
      </c>
      <c r="M1490" s="21">
        <f t="shared" si="898"/>
        <v>0</v>
      </c>
      <c r="N1490" s="21">
        <f t="shared" si="898"/>
        <v>0</v>
      </c>
      <c r="O1490" s="21">
        <f t="shared" si="898"/>
        <v>0</v>
      </c>
      <c r="P1490" s="21">
        <f t="shared" si="898"/>
        <v>0</v>
      </c>
      <c r="Q1490" s="21">
        <f t="shared" si="898"/>
        <v>0</v>
      </c>
      <c r="R1490" s="21">
        <f t="shared" si="898"/>
        <v>0</v>
      </c>
      <c r="S1490" s="21">
        <f t="shared" si="898"/>
        <v>-16.45976851810795</v>
      </c>
      <c r="T1490" s="21">
        <f t="shared" si="898"/>
        <v>20.488288847116124</v>
      </c>
      <c r="U1490" s="21">
        <f t="shared" si="898"/>
        <v>29.946735286739781</v>
      </c>
      <c r="V1490" s="21">
        <f t="shared" si="898"/>
        <v>35.072753077091008</v>
      </c>
      <c r="W1490" s="563"/>
      <c r="X1490" s="563"/>
      <c r="Y1490" s="563"/>
      <c r="Z1490" s="563"/>
      <c r="AA1490" s="563"/>
      <c r="AB1490" s="563"/>
      <c r="AC1490" s="563"/>
      <c r="AD1490" s="563"/>
      <c r="AE1490" s="563"/>
      <c r="AF1490" s="563"/>
      <c r="AG1490" s="563"/>
      <c r="AH1490" s="563"/>
      <c r="AI1490" s="563"/>
      <c r="AJ1490" s="563"/>
    </row>
    <row r="1491" spans="2:36" x14ac:dyDescent="0.2">
      <c r="C1491" s="1" t="s">
        <v>198</v>
      </c>
      <c r="E1491" s="21"/>
      <c r="F1491" s="1" t="s">
        <v>55</v>
      </c>
      <c r="I1491" s="21">
        <f t="shared" ref="I1491:V1491" si="899">I1528*(-I1557+I1560)</f>
        <v>0</v>
      </c>
      <c r="J1491" s="21">
        <f t="shared" si="899"/>
        <v>0</v>
      </c>
      <c r="K1491" s="21">
        <f t="shared" si="899"/>
        <v>0</v>
      </c>
      <c r="L1491" s="21">
        <f t="shared" si="899"/>
        <v>0</v>
      </c>
      <c r="M1491" s="21">
        <f t="shared" si="899"/>
        <v>0</v>
      </c>
      <c r="N1491" s="21">
        <f t="shared" si="899"/>
        <v>0</v>
      </c>
      <c r="O1491" s="21">
        <f t="shared" si="899"/>
        <v>0</v>
      </c>
      <c r="P1491" s="21">
        <f t="shared" si="899"/>
        <v>0</v>
      </c>
      <c r="Q1491" s="21">
        <f t="shared" si="899"/>
        <v>0</v>
      </c>
      <c r="R1491" s="21">
        <f t="shared" si="899"/>
        <v>0</v>
      </c>
      <c r="S1491" s="21">
        <f t="shared" si="899"/>
        <v>8.6842105263157894</v>
      </c>
      <c r="T1491" s="21">
        <f t="shared" si="899"/>
        <v>8.6842105263157894</v>
      </c>
      <c r="U1491" s="21">
        <f t="shared" si="899"/>
        <v>8.6842105263157894</v>
      </c>
      <c r="V1491" s="21">
        <f t="shared" si="899"/>
        <v>8.6842105263157894</v>
      </c>
      <c r="W1491" s="563"/>
      <c r="X1491" s="563"/>
      <c r="Y1491" s="563"/>
      <c r="Z1491" s="563"/>
      <c r="AA1491" s="563"/>
      <c r="AB1491" s="563"/>
      <c r="AC1491" s="563"/>
      <c r="AD1491" s="563"/>
      <c r="AE1491" s="563"/>
      <c r="AF1491" s="563"/>
      <c r="AG1491" s="563"/>
      <c r="AH1491" s="563"/>
      <c r="AI1491" s="563"/>
      <c r="AJ1491" s="563"/>
    </row>
    <row r="1492" spans="2:36" x14ac:dyDescent="0.2">
      <c r="C1492" s="1" t="s">
        <v>934</v>
      </c>
      <c r="E1492" s="21"/>
      <c r="F1492" s="1" t="s">
        <v>200</v>
      </c>
      <c r="G1492" s="81">
        <f>MIN(I1492:AJ1492)</f>
        <v>-1.8953672839033398</v>
      </c>
      <c r="I1492" s="82" t="str">
        <f>IFERROR(I1490/I1491,"n.a.")</f>
        <v>n.a.</v>
      </c>
      <c r="J1492" s="82" t="str">
        <f t="shared" ref="J1492:V1492" si="900">IFERROR(J1490/J1491,"n.a.")</f>
        <v>n.a.</v>
      </c>
      <c r="K1492" s="82" t="str">
        <f>IFERROR(K1490/K1491,"n.a.")</f>
        <v>n.a.</v>
      </c>
      <c r="L1492" s="82" t="str">
        <f t="shared" si="900"/>
        <v>n.a.</v>
      </c>
      <c r="M1492" s="82" t="str">
        <f t="shared" si="900"/>
        <v>n.a.</v>
      </c>
      <c r="N1492" s="82" t="str">
        <f t="shared" si="900"/>
        <v>n.a.</v>
      </c>
      <c r="O1492" s="82" t="str">
        <f t="shared" si="900"/>
        <v>n.a.</v>
      </c>
      <c r="P1492" s="82" t="str">
        <f t="shared" si="900"/>
        <v>n.a.</v>
      </c>
      <c r="Q1492" s="82" t="str">
        <f t="shared" si="900"/>
        <v>n.a.</v>
      </c>
      <c r="R1492" s="82" t="str">
        <f t="shared" si="900"/>
        <v>n.a.</v>
      </c>
      <c r="S1492" s="82">
        <f t="shared" si="900"/>
        <v>-1.8953672839033398</v>
      </c>
      <c r="T1492" s="82">
        <f t="shared" si="900"/>
        <v>2.3592575036073113</v>
      </c>
      <c r="U1492" s="82">
        <f t="shared" si="900"/>
        <v>3.4484119421094293</v>
      </c>
      <c r="V1492" s="82">
        <f t="shared" si="900"/>
        <v>4.0386806573619953</v>
      </c>
      <c r="W1492" s="592"/>
      <c r="X1492" s="592"/>
      <c r="Y1492" s="592"/>
      <c r="Z1492" s="592"/>
      <c r="AA1492" s="592"/>
      <c r="AB1492" s="592"/>
      <c r="AC1492" s="592"/>
      <c r="AD1492" s="592"/>
      <c r="AE1492" s="592"/>
      <c r="AF1492" s="592"/>
      <c r="AG1492" s="592"/>
      <c r="AH1492" s="592"/>
      <c r="AI1492" s="592"/>
      <c r="AJ1492" s="592"/>
    </row>
    <row r="1493" spans="2:36" x14ac:dyDescent="0.2">
      <c r="G1493" s="81"/>
    </row>
    <row r="1494" spans="2:36" x14ac:dyDescent="0.2">
      <c r="C1494" s="9" t="s">
        <v>809</v>
      </c>
      <c r="G1494" s="81"/>
    </row>
    <row r="1495" spans="2:36" x14ac:dyDescent="0.2">
      <c r="C1495" s="1" t="s">
        <v>810</v>
      </c>
      <c r="E1495" s="458">
        <f>E1521</f>
        <v>330</v>
      </c>
      <c r="F1495" s="1" t="s">
        <v>55</v>
      </c>
      <c r="G1495" s="81"/>
      <c r="V1495" s="21"/>
    </row>
    <row r="1496" spans="2:36" x14ac:dyDescent="0.2">
      <c r="C1496" s="1" t="s">
        <v>191</v>
      </c>
      <c r="E1496" s="458">
        <f>E1525</f>
        <v>44</v>
      </c>
      <c r="F1496" s="1" t="s">
        <v>924</v>
      </c>
      <c r="G1496" s="81"/>
    </row>
    <row r="1497" spans="2:36" x14ac:dyDescent="0.2">
      <c r="C1497" s="1" t="s">
        <v>176</v>
      </c>
      <c r="E1497" s="69">
        <f>(E1496=E1471)*E1476+(E1496=E1472)*E1477+(E1496=E1473)*E1478</f>
        <v>687.83302017436415</v>
      </c>
      <c r="F1497" s="1" t="s">
        <v>55</v>
      </c>
      <c r="G1497" s="81"/>
    </row>
    <row r="1498" spans="2:36" x14ac:dyDescent="0.2">
      <c r="C1498" s="1" t="s">
        <v>811</v>
      </c>
      <c r="E1498" s="81">
        <f>E1497/E1495</f>
        <v>2.0843424853768608</v>
      </c>
      <c r="F1498" s="1" t="s">
        <v>195</v>
      </c>
      <c r="G1498" s="81"/>
    </row>
    <row r="1499" spans="2:36" x14ac:dyDescent="0.2">
      <c r="G1499" s="81"/>
    </row>
    <row r="1500" spans="2:36" x14ac:dyDescent="0.2">
      <c r="C1500" s="79"/>
      <c r="D1500" s="79"/>
      <c r="E1500" s="79"/>
      <c r="F1500" s="79"/>
      <c r="G1500" s="80"/>
      <c r="H1500" s="79"/>
      <c r="I1500" s="80"/>
      <c r="J1500" s="80"/>
      <c r="K1500" s="80"/>
      <c r="L1500" s="80"/>
      <c r="M1500" s="80"/>
      <c r="N1500" s="80"/>
      <c r="O1500" s="80"/>
      <c r="P1500" s="80"/>
      <c r="Q1500" s="80"/>
      <c r="R1500" s="80"/>
      <c r="S1500" s="80"/>
      <c r="T1500" s="80"/>
      <c r="U1500" s="80"/>
      <c r="V1500" s="80"/>
      <c r="W1500" s="568"/>
      <c r="X1500" s="568"/>
      <c r="Y1500" s="568"/>
      <c r="Z1500" s="568"/>
      <c r="AA1500" s="568"/>
      <c r="AB1500" s="568"/>
      <c r="AC1500" s="568"/>
      <c r="AD1500" s="568"/>
      <c r="AE1500" s="568"/>
      <c r="AF1500" s="568"/>
      <c r="AG1500" s="568"/>
      <c r="AH1500" s="568"/>
      <c r="AI1500" s="568"/>
      <c r="AJ1500" s="568"/>
    </row>
    <row r="1502" spans="2:36" x14ac:dyDescent="0.2">
      <c r="B1502" s="10">
        <f>B1463+0.1</f>
        <v>14.299999999999999</v>
      </c>
      <c r="C1502" s="9" t="s">
        <v>201</v>
      </c>
      <c r="D1502" s="9"/>
    </row>
    <row r="1503" spans="2:36" x14ac:dyDescent="0.2">
      <c r="I1503" s="21"/>
      <c r="J1503" s="21"/>
      <c r="K1503" s="21"/>
      <c r="L1503" s="21"/>
      <c r="M1503" s="21"/>
      <c r="N1503" s="21"/>
      <c r="O1503" s="21"/>
      <c r="P1503" s="21"/>
      <c r="Q1503" s="21"/>
      <c r="R1503" s="21"/>
      <c r="S1503" s="21"/>
      <c r="T1503" s="21"/>
      <c r="U1503" s="21"/>
      <c r="V1503" s="21"/>
    </row>
    <row r="1504" spans="2:36" x14ac:dyDescent="0.2">
      <c r="C1504" s="9" t="s">
        <v>897</v>
      </c>
      <c r="I1504" s="21"/>
    </row>
    <row r="1505" spans="2:36" x14ac:dyDescent="0.2">
      <c r="C1505" s="1" t="s">
        <v>899</v>
      </c>
      <c r="E1505" s="502">
        <f>1-E1533</f>
        <v>0</v>
      </c>
      <c r="F1505" s="36"/>
      <c r="I1505" s="21">
        <f>I1524</f>
        <v>0</v>
      </c>
      <c r="J1505" s="21">
        <f t="shared" ref="J1505:V1505" si="901">J1524</f>
        <v>0</v>
      </c>
      <c r="K1505" s="21">
        <f t="shared" si="901"/>
        <v>0</v>
      </c>
      <c r="L1505" s="21">
        <f t="shared" si="901"/>
        <v>1</v>
      </c>
      <c r="M1505" s="21">
        <f t="shared" si="901"/>
        <v>1</v>
      </c>
      <c r="N1505" s="21">
        <f t="shared" si="901"/>
        <v>1</v>
      </c>
      <c r="O1505" s="21">
        <f t="shared" si="901"/>
        <v>1</v>
      </c>
      <c r="P1505" s="21">
        <f t="shared" si="901"/>
        <v>1</v>
      </c>
      <c r="Q1505" s="21">
        <f t="shared" si="901"/>
        <v>1</v>
      </c>
      <c r="R1505" s="21">
        <f t="shared" si="901"/>
        <v>1</v>
      </c>
      <c r="S1505" s="21">
        <f t="shared" si="901"/>
        <v>1</v>
      </c>
      <c r="T1505" s="21">
        <f t="shared" si="901"/>
        <v>0</v>
      </c>
      <c r="U1505" s="21">
        <f t="shared" si="901"/>
        <v>0</v>
      </c>
      <c r="V1505" s="21">
        <f t="shared" si="901"/>
        <v>0</v>
      </c>
    </row>
    <row r="1506" spans="2:36" x14ac:dyDescent="0.2">
      <c r="C1506" s="1" t="s">
        <v>925</v>
      </c>
      <c r="E1506" s="516"/>
      <c r="I1506" s="21">
        <f>(I1505=0)*1</f>
        <v>1</v>
      </c>
      <c r="J1506" s="21">
        <f t="shared" ref="J1506:V1506" si="902">(J1505=0)*1</f>
        <v>1</v>
      </c>
      <c r="K1506" s="21">
        <f t="shared" si="902"/>
        <v>1</v>
      </c>
      <c r="L1506" s="21">
        <f t="shared" si="902"/>
        <v>0</v>
      </c>
      <c r="M1506" s="21">
        <f t="shared" si="902"/>
        <v>0</v>
      </c>
      <c r="N1506" s="21">
        <f t="shared" si="902"/>
        <v>0</v>
      </c>
      <c r="O1506" s="21">
        <f t="shared" si="902"/>
        <v>0</v>
      </c>
      <c r="P1506" s="21">
        <f t="shared" si="902"/>
        <v>0</v>
      </c>
      <c r="Q1506" s="21">
        <f t="shared" si="902"/>
        <v>0</v>
      </c>
      <c r="R1506" s="21">
        <f t="shared" si="902"/>
        <v>0</v>
      </c>
      <c r="S1506" s="21">
        <f t="shared" si="902"/>
        <v>0</v>
      </c>
      <c r="T1506" s="21">
        <f t="shared" si="902"/>
        <v>1</v>
      </c>
      <c r="U1506" s="21">
        <f t="shared" si="902"/>
        <v>1</v>
      </c>
      <c r="V1506" s="21">
        <f t="shared" si="902"/>
        <v>1</v>
      </c>
    </row>
    <row r="1507" spans="2:36" x14ac:dyDescent="0.2">
      <c r="C1507" s="9"/>
      <c r="H1507" s="21"/>
      <c r="I1507" s="21"/>
    </row>
    <row r="1508" spans="2:36" x14ac:dyDescent="0.2">
      <c r="C1508" s="5" t="s">
        <v>125</v>
      </c>
      <c r="F1508" s="1" t="s">
        <v>55</v>
      </c>
      <c r="G1508" s="21"/>
      <c r="I1508" s="83">
        <f>E1793</f>
        <v>136.58899743959938</v>
      </c>
      <c r="J1508" s="21">
        <f>I1510</f>
        <v>136.58899743959938</v>
      </c>
      <c r="K1508" s="21">
        <f t="shared" ref="K1508:V1508" si="903">J1510</f>
        <v>136.58899743959938</v>
      </c>
      <c r="L1508" s="21">
        <f t="shared" si="903"/>
        <v>136.58899743959938</v>
      </c>
      <c r="M1508" s="21">
        <f t="shared" si="903"/>
        <v>136.58899743959938</v>
      </c>
      <c r="N1508" s="21">
        <f t="shared" si="903"/>
        <v>136.58899743959938</v>
      </c>
      <c r="O1508" s="21">
        <f t="shared" si="903"/>
        <v>136.58899743959938</v>
      </c>
      <c r="P1508" s="21">
        <f t="shared" si="903"/>
        <v>136.58899743959938</v>
      </c>
      <c r="Q1508" s="21">
        <f t="shared" si="903"/>
        <v>136.58899743959938</v>
      </c>
      <c r="R1508" s="21">
        <f t="shared" si="903"/>
        <v>136.58899743959938</v>
      </c>
      <c r="S1508" s="21">
        <f t="shared" si="903"/>
        <v>136.58899743959938</v>
      </c>
      <c r="T1508" s="21">
        <f t="shared" si="903"/>
        <v>136.58899743959938</v>
      </c>
      <c r="U1508" s="21">
        <f t="shared" si="903"/>
        <v>136.58899743959938</v>
      </c>
      <c r="V1508" s="21">
        <f t="shared" si="903"/>
        <v>136.58899743959938</v>
      </c>
      <c r="W1508" s="563"/>
      <c r="X1508" s="563"/>
      <c r="Y1508" s="563"/>
      <c r="Z1508" s="563"/>
      <c r="AA1508" s="563"/>
      <c r="AB1508" s="563"/>
      <c r="AC1508" s="563"/>
      <c r="AD1508" s="563"/>
      <c r="AE1508" s="563"/>
    </row>
    <row r="1509" spans="2:36" x14ac:dyDescent="0.2">
      <c r="C1509" s="5" t="s">
        <v>202</v>
      </c>
      <c r="F1509" s="1" t="s">
        <v>55</v>
      </c>
      <c r="G1509" s="21">
        <f>SUM(I1509:AE1509)</f>
        <v>0</v>
      </c>
      <c r="H1509" s="21">
        <f>-MIN(H1508,(-H1457)*$E$1505)*H1505+MIN(H1506*H1457+H947,0)</f>
        <v>0</v>
      </c>
      <c r="I1509" s="21">
        <f>MIN(I1457-I1535+I1639+I947,0)</f>
        <v>0</v>
      </c>
      <c r="J1509" s="21">
        <f t="shared" ref="J1509:V1509" si="904">MIN(J1457-J1535+J1639+J947,0)</f>
        <v>0</v>
      </c>
      <c r="K1509" s="21">
        <f t="shared" si="904"/>
        <v>0</v>
      </c>
      <c r="L1509" s="21">
        <f t="shared" si="904"/>
        <v>0</v>
      </c>
      <c r="M1509" s="21">
        <f t="shared" si="904"/>
        <v>0</v>
      </c>
      <c r="N1509" s="21">
        <f t="shared" si="904"/>
        <v>0</v>
      </c>
      <c r="O1509" s="21">
        <f t="shared" si="904"/>
        <v>0</v>
      </c>
      <c r="P1509" s="21">
        <f t="shared" si="904"/>
        <v>0</v>
      </c>
      <c r="Q1509" s="21">
        <f t="shared" si="904"/>
        <v>0</v>
      </c>
      <c r="R1509" s="21">
        <f t="shared" si="904"/>
        <v>0</v>
      </c>
      <c r="S1509" s="21">
        <f t="shared" si="904"/>
        <v>0</v>
      </c>
      <c r="T1509" s="21">
        <f t="shared" si="904"/>
        <v>0</v>
      </c>
      <c r="U1509" s="21">
        <f t="shared" si="904"/>
        <v>0</v>
      </c>
      <c r="V1509" s="21">
        <f t="shared" si="904"/>
        <v>0</v>
      </c>
      <c r="W1509" s="563"/>
      <c r="X1509" s="563"/>
      <c r="Y1509" s="563"/>
      <c r="Z1509" s="563"/>
      <c r="AA1509" s="563"/>
      <c r="AB1509" s="563"/>
      <c r="AC1509" s="563"/>
      <c r="AD1509" s="563"/>
      <c r="AE1509" s="563"/>
    </row>
    <row r="1510" spans="2:36" x14ac:dyDescent="0.2">
      <c r="C1510" s="5" t="s">
        <v>127</v>
      </c>
      <c r="F1510" s="1" t="s">
        <v>55</v>
      </c>
      <c r="I1510" s="21">
        <f>SUM(I1508:I1509)</f>
        <v>136.58899743959938</v>
      </c>
      <c r="J1510" s="21">
        <f t="shared" ref="J1510:V1510" si="905">SUM(J1508:J1509)</f>
        <v>136.58899743959938</v>
      </c>
      <c r="K1510" s="21">
        <f t="shared" si="905"/>
        <v>136.58899743959938</v>
      </c>
      <c r="L1510" s="21">
        <f t="shared" si="905"/>
        <v>136.58899743959938</v>
      </c>
      <c r="M1510" s="21">
        <f t="shared" si="905"/>
        <v>136.58899743959938</v>
      </c>
      <c r="N1510" s="21">
        <f t="shared" si="905"/>
        <v>136.58899743959938</v>
      </c>
      <c r="O1510" s="21">
        <f t="shared" si="905"/>
        <v>136.58899743959938</v>
      </c>
      <c r="P1510" s="21">
        <f t="shared" si="905"/>
        <v>136.58899743959938</v>
      </c>
      <c r="Q1510" s="21">
        <f t="shared" si="905"/>
        <v>136.58899743959938</v>
      </c>
      <c r="R1510" s="21">
        <f t="shared" si="905"/>
        <v>136.58899743959938</v>
      </c>
      <c r="S1510" s="21">
        <f t="shared" si="905"/>
        <v>136.58899743959938</v>
      </c>
      <c r="T1510" s="21">
        <f t="shared" si="905"/>
        <v>136.58899743959938</v>
      </c>
      <c r="U1510" s="21">
        <f t="shared" si="905"/>
        <v>136.58899743959938</v>
      </c>
      <c r="V1510" s="21">
        <f t="shared" si="905"/>
        <v>136.58899743959938</v>
      </c>
      <c r="W1510" s="563"/>
      <c r="X1510" s="563"/>
      <c r="Y1510" s="563"/>
      <c r="Z1510" s="563"/>
      <c r="AA1510" s="563"/>
      <c r="AB1510" s="563"/>
      <c r="AC1510" s="563"/>
      <c r="AD1510" s="563"/>
      <c r="AE1510" s="563"/>
    </row>
    <row r="1511" spans="2:36" x14ac:dyDescent="0.2">
      <c r="I1511" s="21"/>
      <c r="U1511" s="1">
        <f>+MIN(U1506*U1457+U947,0)</f>
        <v>0</v>
      </c>
    </row>
    <row r="1512" spans="2:36" x14ac:dyDescent="0.2">
      <c r="C1512" s="9" t="s">
        <v>896</v>
      </c>
      <c r="I1512" s="21"/>
    </row>
    <row r="1513" spans="2:36" x14ac:dyDescent="0.2">
      <c r="C1513" s="5" t="s">
        <v>125</v>
      </c>
      <c r="F1513" s="1" t="s">
        <v>55</v>
      </c>
      <c r="I1513" s="83">
        <f>E1793</f>
        <v>136.58899743959938</v>
      </c>
      <c r="J1513" s="21">
        <f>I1515</f>
        <v>136.58899743959938</v>
      </c>
      <c r="K1513" s="21">
        <f t="shared" ref="K1513:V1513" si="906">J1515</f>
        <v>136.58899743959938</v>
      </c>
      <c r="L1513" s="21">
        <f t="shared" si="906"/>
        <v>136.58899743959938</v>
      </c>
      <c r="M1513" s="21">
        <f t="shared" si="906"/>
        <v>136.58899743959938</v>
      </c>
      <c r="N1513" s="21">
        <f t="shared" si="906"/>
        <v>136.58899743959938</v>
      </c>
      <c r="O1513" s="21">
        <f t="shared" si="906"/>
        <v>136.58899743959938</v>
      </c>
      <c r="P1513" s="21">
        <f t="shared" si="906"/>
        <v>136.58899743959938</v>
      </c>
      <c r="Q1513" s="21">
        <f t="shared" si="906"/>
        <v>136.58899743959938</v>
      </c>
      <c r="R1513" s="21">
        <f t="shared" si="906"/>
        <v>136.58899743959938</v>
      </c>
      <c r="S1513" s="21">
        <f t="shared" si="906"/>
        <v>136.58899743959938</v>
      </c>
      <c r="T1513" s="21">
        <f t="shared" si="906"/>
        <v>136.58899743959938</v>
      </c>
      <c r="U1513" s="21">
        <f t="shared" si="906"/>
        <v>136.58899743959938</v>
      </c>
      <c r="V1513" s="21">
        <f t="shared" si="906"/>
        <v>136.58899743959938</v>
      </c>
      <c r="W1513" s="563"/>
      <c r="X1513" s="563"/>
      <c r="Y1513" s="563"/>
      <c r="Z1513" s="563"/>
      <c r="AA1513" s="563"/>
      <c r="AB1513" s="563"/>
      <c r="AC1513" s="563"/>
      <c r="AD1513" s="563"/>
      <c r="AE1513" s="563"/>
      <c r="AF1513" s="563"/>
      <c r="AG1513" s="563"/>
      <c r="AH1513" s="563"/>
      <c r="AI1513" s="563"/>
      <c r="AJ1513" s="563"/>
    </row>
    <row r="1514" spans="2:36" x14ac:dyDescent="0.2">
      <c r="C1514" s="5" t="s">
        <v>202</v>
      </c>
      <c r="F1514" s="1" t="s">
        <v>55</v>
      </c>
      <c r="G1514" s="21">
        <f>SUM(I1514:AJ1514)</f>
        <v>0</v>
      </c>
      <c r="H1514" s="21"/>
      <c r="I1514" s="21">
        <f t="shared" ref="I1514:V1514" si="907">-MIN(I1513,-I1457)*I1459</f>
        <v>0</v>
      </c>
      <c r="J1514" s="21">
        <f t="shared" si="907"/>
        <v>0</v>
      </c>
      <c r="K1514" s="21">
        <f t="shared" si="907"/>
        <v>0</v>
      </c>
      <c r="L1514" s="21">
        <f t="shared" si="907"/>
        <v>0</v>
      </c>
      <c r="M1514" s="21">
        <f t="shared" si="907"/>
        <v>0</v>
      </c>
      <c r="N1514" s="21">
        <f t="shared" si="907"/>
        <v>0</v>
      </c>
      <c r="O1514" s="21">
        <f t="shared" si="907"/>
        <v>0</v>
      </c>
      <c r="P1514" s="21">
        <f t="shared" si="907"/>
        <v>0</v>
      </c>
      <c r="Q1514" s="21">
        <f t="shared" si="907"/>
        <v>0</v>
      </c>
      <c r="R1514" s="21">
        <f t="shared" si="907"/>
        <v>0</v>
      </c>
      <c r="S1514" s="21">
        <f t="shared" si="907"/>
        <v>0</v>
      </c>
      <c r="T1514" s="21">
        <f t="shared" si="907"/>
        <v>0</v>
      </c>
      <c r="U1514" s="21">
        <f t="shared" si="907"/>
        <v>0</v>
      </c>
      <c r="V1514" s="21">
        <f t="shared" si="907"/>
        <v>0</v>
      </c>
      <c r="W1514" s="563"/>
      <c r="X1514" s="563"/>
      <c r="Y1514" s="563"/>
      <c r="Z1514" s="563"/>
      <c r="AA1514" s="563"/>
      <c r="AB1514" s="563"/>
      <c r="AC1514" s="563"/>
      <c r="AD1514" s="563"/>
      <c r="AE1514" s="563"/>
      <c r="AF1514" s="563"/>
      <c r="AG1514" s="563"/>
      <c r="AH1514" s="563"/>
      <c r="AI1514" s="563"/>
      <c r="AJ1514" s="563"/>
    </row>
    <row r="1515" spans="2:36" x14ac:dyDescent="0.2">
      <c r="C1515" s="5" t="s">
        <v>127</v>
      </c>
      <c r="F1515" s="1" t="s">
        <v>55</v>
      </c>
      <c r="I1515" s="21">
        <f>SUM(I1513:I1514)</f>
        <v>136.58899743959938</v>
      </c>
      <c r="J1515" s="21">
        <f t="shared" ref="J1515:V1515" si="908">SUM(J1513:J1514)</f>
        <v>136.58899743959938</v>
      </c>
      <c r="K1515" s="21">
        <f>SUM(K1513:K1514)</f>
        <v>136.58899743959938</v>
      </c>
      <c r="L1515" s="21">
        <f t="shared" si="908"/>
        <v>136.58899743959938</v>
      </c>
      <c r="M1515" s="21">
        <f t="shared" si="908"/>
        <v>136.58899743959938</v>
      </c>
      <c r="N1515" s="21">
        <f t="shared" si="908"/>
        <v>136.58899743959938</v>
      </c>
      <c r="O1515" s="21">
        <f t="shared" si="908"/>
        <v>136.58899743959938</v>
      </c>
      <c r="P1515" s="21">
        <f t="shared" si="908"/>
        <v>136.58899743959938</v>
      </c>
      <c r="Q1515" s="21">
        <f t="shared" si="908"/>
        <v>136.58899743959938</v>
      </c>
      <c r="R1515" s="21">
        <f t="shared" si="908"/>
        <v>136.58899743959938</v>
      </c>
      <c r="S1515" s="21">
        <f t="shared" si="908"/>
        <v>136.58899743959938</v>
      </c>
      <c r="T1515" s="21">
        <f t="shared" si="908"/>
        <v>136.58899743959938</v>
      </c>
      <c r="U1515" s="21">
        <f t="shared" si="908"/>
        <v>136.58899743959938</v>
      </c>
      <c r="V1515" s="21">
        <f t="shared" si="908"/>
        <v>136.58899743959938</v>
      </c>
      <c r="W1515" s="563"/>
      <c r="X1515" s="563"/>
      <c r="Y1515" s="563"/>
      <c r="Z1515" s="563"/>
      <c r="AA1515" s="563"/>
      <c r="AB1515" s="563"/>
      <c r="AC1515" s="563"/>
      <c r="AD1515" s="563"/>
      <c r="AE1515" s="563"/>
      <c r="AF1515" s="563"/>
      <c r="AG1515" s="563"/>
      <c r="AH1515" s="563"/>
      <c r="AI1515" s="563"/>
      <c r="AJ1515" s="563"/>
    </row>
    <row r="1517" spans="2:36" x14ac:dyDescent="0.2">
      <c r="C1517" s="79"/>
      <c r="D1517" s="79"/>
      <c r="E1517" s="79"/>
      <c r="F1517" s="79"/>
      <c r="G1517" s="80"/>
      <c r="H1517" s="79"/>
      <c r="I1517" s="80"/>
      <c r="J1517" s="80"/>
      <c r="K1517" s="80"/>
      <c r="L1517" s="80"/>
      <c r="M1517" s="80"/>
      <c r="N1517" s="80"/>
      <c r="O1517" s="80"/>
      <c r="P1517" s="80"/>
      <c r="Q1517" s="80"/>
      <c r="R1517" s="80"/>
      <c r="S1517" s="80"/>
      <c r="T1517" s="80"/>
      <c r="U1517" s="80"/>
      <c r="V1517" s="80"/>
      <c r="W1517" s="568"/>
      <c r="X1517" s="568"/>
      <c r="Y1517" s="568"/>
      <c r="Z1517" s="568"/>
      <c r="AA1517" s="568"/>
      <c r="AB1517" s="568"/>
      <c r="AC1517" s="568"/>
      <c r="AD1517" s="568"/>
      <c r="AE1517" s="568"/>
      <c r="AF1517" s="568"/>
      <c r="AG1517" s="568"/>
      <c r="AH1517" s="568"/>
      <c r="AI1517" s="568"/>
      <c r="AJ1517" s="568"/>
    </row>
    <row r="1519" spans="2:36" x14ac:dyDescent="0.2">
      <c r="B1519" s="10">
        <f>B1502+0.1</f>
        <v>14.399999999999999</v>
      </c>
      <c r="C1519" s="9" t="s">
        <v>203</v>
      </c>
      <c r="D1519" s="9"/>
    </row>
    <row r="1521" spans="3:31" x14ac:dyDescent="0.2">
      <c r="C1521" s="1" t="s">
        <v>204</v>
      </c>
      <c r="E1521" s="257">
        <f>'Plant model'!E1521</f>
        <v>330</v>
      </c>
      <c r="F1521" s="1" t="s">
        <v>55</v>
      </c>
    </row>
    <row r="1522" spans="3:31" x14ac:dyDescent="0.2">
      <c r="C1522" s="1" t="s">
        <v>929</v>
      </c>
      <c r="E1522" s="515">
        <f>SUMPRODUCT(I1522:V1522,$I$3:$V$3)</f>
        <v>44926</v>
      </c>
      <c r="F1522" s="1" t="s">
        <v>922</v>
      </c>
      <c r="I1522" s="1">
        <f t="shared" ref="I1522:V1522" si="909">(I830&gt;0)*(H830=0)</f>
        <v>0</v>
      </c>
      <c r="J1522" s="1">
        <f t="shared" si="909"/>
        <v>0</v>
      </c>
      <c r="K1522" s="1">
        <f t="shared" si="909"/>
        <v>0</v>
      </c>
      <c r="L1522" s="1">
        <f t="shared" si="909"/>
        <v>1</v>
      </c>
      <c r="M1522" s="1">
        <f t="shared" si="909"/>
        <v>0</v>
      </c>
      <c r="N1522" s="1">
        <f t="shared" si="909"/>
        <v>0</v>
      </c>
      <c r="O1522" s="1">
        <f t="shared" si="909"/>
        <v>0</v>
      </c>
      <c r="P1522" s="1">
        <f t="shared" si="909"/>
        <v>0</v>
      </c>
      <c r="Q1522" s="1">
        <f t="shared" si="909"/>
        <v>0</v>
      </c>
      <c r="R1522" s="1">
        <f t="shared" si="909"/>
        <v>0</v>
      </c>
      <c r="S1522" s="1">
        <f t="shared" si="909"/>
        <v>0</v>
      </c>
      <c r="T1522" s="1">
        <f t="shared" si="909"/>
        <v>0</v>
      </c>
      <c r="U1522" s="1">
        <f t="shared" si="909"/>
        <v>0</v>
      </c>
      <c r="V1522" s="1">
        <f t="shared" si="909"/>
        <v>0</v>
      </c>
    </row>
    <row r="1523" spans="3:31" x14ac:dyDescent="0.2">
      <c r="C1523" s="1" t="s">
        <v>930</v>
      </c>
      <c r="E1523" s="515">
        <f>SUMPRODUCT(I1523:V1523,$I$3:$V$3)</f>
        <v>45565</v>
      </c>
      <c r="F1523" s="1" t="s">
        <v>922</v>
      </c>
      <c r="I1523" s="1">
        <f t="shared" ref="I1523:V1523" si="910">(I830&gt;0)*(J830=0)</f>
        <v>0</v>
      </c>
      <c r="J1523" s="1">
        <f t="shared" si="910"/>
        <v>0</v>
      </c>
      <c r="K1523" s="1">
        <f t="shared" si="910"/>
        <v>0</v>
      </c>
      <c r="L1523" s="1">
        <f t="shared" si="910"/>
        <v>0</v>
      </c>
      <c r="M1523" s="1">
        <f t="shared" si="910"/>
        <v>0</v>
      </c>
      <c r="N1523" s="1">
        <f t="shared" si="910"/>
        <v>0</v>
      </c>
      <c r="O1523" s="1">
        <f t="shared" si="910"/>
        <v>0</v>
      </c>
      <c r="P1523" s="1">
        <f t="shared" si="910"/>
        <v>0</v>
      </c>
      <c r="Q1523" s="1">
        <f t="shared" si="910"/>
        <v>0</v>
      </c>
      <c r="R1523" s="1">
        <f t="shared" si="910"/>
        <v>0</v>
      </c>
      <c r="S1523" s="1">
        <f t="shared" si="910"/>
        <v>1</v>
      </c>
      <c r="T1523" s="1">
        <f t="shared" si="910"/>
        <v>0</v>
      </c>
      <c r="U1523" s="1">
        <f t="shared" si="910"/>
        <v>0</v>
      </c>
      <c r="V1523" s="1">
        <f t="shared" si="910"/>
        <v>0</v>
      </c>
    </row>
    <row r="1524" spans="3:31" x14ac:dyDescent="0.2">
      <c r="C1524" s="1" t="s">
        <v>923</v>
      </c>
      <c r="E1524" s="515"/>
      <c r="F1524" s="1" t="s">
        <v>571</v>
      </c>
      <c r="I1524" s="1">
        <f t="shared" ref="I1524:V1524" si="911">(I3&gt;=$E$1522)*(I3&lt;=$E$1523)</f>
        <v>0</v>
      </c>
      <c r="J1524" s="1">
        <f t="shared" si="911"/>
        <v>0</v>
      </c>
      <c r="K1524" s="1">
        <f t="shared" si="911"/>
        <v>0</v>
      </c>
      <c r="L1524" s="1">
        <f t="shared" si="911"/>
        <v>1</v>
      </c>
      <c r="M1524" s="1">
        <f t="shared" si="911"/>
        <v>1</v>
      </c>
      <c r="N1524" s="1">
        <f t="shared" si="911"/>
        <v>1</v>
      </c>
      <c r="O1524" s="1">
        <f t="shared" si="911"/>
        <v>1</v>
      </c>
      <c r="P1524" s="1">
        <f t="shared" si="911"/>
        <v>1</v>
      </c>
      <c r="Q1524" s="1">
        <f t="shared" si="911"/>
        <v>1</v>
      </c>
      <c r="R1524" s="1">
        <f t="shared" si="911"/>
        <v>1</v>
      </c>
      <c r="S1524" s="1">
        <f t="shared" si="911"/>
        <v>1</v>
      </c>
      <c r="T1524" s="1">
        <f t="shared" si="911"/>
        <v>0</v>
      </c>
      <c r="U1524" s="1">
        <f t="shared" si="911"/>
        <v>0</v>
      </c>
      <c r="V1524" s="1">
        <f t="shared" si="911"/>
        <v>0</v>
      </c>
    </row>
    <row r="1525" spans="3:31" x14ac:dyDescent="0.2">
      <c r="C1525" s="1" t="s">
        <v>191</v>
      </c>
      <c r="E1525" s="257">
        <f>'Plant model'!E1525*4</f>
        <v>44</v>
      </c>
      <c r="F1525" s="1" t="s">
        <v>924</v>
      </c>
    </row>
    <row r="1526" spans="3:31" x14ac:dyDescent="0.2">
      <c r="C1526" s="1" t="s">
        <v>921</v>
      </c>
      <c r="E1526" s="515">
        <f>E1468</f>
        <v>45565</v>
      </c>
    </row>
    <row r="1527" spans="3:31" x14ac:dyDescent="0.2">
      <c r="C1527" s="1" t="s">
        <v>931</v>
      </c>
      <c r="E1527" s="515">
        <f>DATE(YEAR(E1467)+(E1525/4),MONTH(E1467),DAY(E1467))</f>
        <v>48944</v>
      </c>
      <c r="F1527" s="1" t="s">
        <v>922</v>
      </c>
      <c r="G1527" s="121"/>
    </row>
    <row r="1528" spans="3:31" x14ac:dyDescent="0.2">
      <c r="C1528" s="1" t="s">
        <v>188</v>
      </c>
      <c r="E1528" s="122">
        <f>((YEAR(E1527)-YEAR(E1526))*12+MONTH(E1527)-MONTH(E1526))/3+1</f>
        <v>38</v>
      </c>
      <c r="F1528" s="1" t="s">
        <v>924</v>
      </c>
      <c r="G1528" s="33"/>
      <c r="I1528" s="1">
        <f t="shared" ref="I1528:V1528" si="912">($E$1525=$E$1471)*I1471+($E$1525=$E$1472)*I1472+($E$1525=$E$1473)*I1473</f>
        <v>0</v>
      </c>
      <c r="J1528" s="1">
        <f t="shared" si="912"/>
        <v>0</v>
      </c>
      <c r="K1528" s="1">
        <f t="shared" si="912"/>
        <v>0</v>
      </c>
      <c r="L1528" s="1">
        <f t="shared" si="912"/>
        <v>0</v>
      </c>
      <c r="M1528" s="1">
        <f t="shared" si="912"/>
        <v>0</v>
      </c>
      <c r="N1528" s="1">
        <f t="shared" si="912"/>
        <v>0</v>
      </c>
      <c r="O1528" s="1">
        <f t="shared" si="912"/>
        <v>0</v>
      </c>
      <c r="P1528" s="1">
        <f t="shared" si="912"/>
        <v>0</v>
      </c>
      <c r="Q1528" s="1">
        <f t="shared" si="912"/>
        <v>0</v>
      </c>
      <c r="R1528" s="1">
        <f t="shared" si="912"/>
        <v>0</v>
      </c>
      <c r="S1528" s="1">
        <f t="shared" si="912"/>
        <v>1</v>
      </c>
      <c r="T1528" s="1">
        <f t="shared" si="912"/>
        <v>1</v>
      </c>
      <c r="U1528" s="1">
        <f t="shared" si="912"/>
        <v>1</v>
      </c>
      <c r="V1528" s="1">
        <f t="shared" si="912"/>
        <v>1</v>
      </c>
    </row>
    <row r="1529" spans="3:31" x14ac:dyDescent="0.2">
      <c r="C1529" s="1" t="s">
        <v>902</v>
      </c>
      <c r="D1529" s="49"/>
      <c r="E1529" s="76">
        <v>0</v>
      </c>
      <c r="F1529" s="1" t="s">
        <v>571</v>
      </c>
    </row>
    <row r="1530" spans="3:31" x14ac:dyDescent="0.2">
      <c r="C1530" s="1" t="s">
        <v>570</v>
      </c>
      <c r="E1530" s="76">
        <v>0</v>
      </c>
      <c r="F1530" s="1" t="s">
        <v>571</v>
      </c>
      <c r="L1530" s="21"/>
    </row>
    <row r="1531" spans="3:31" x14ac:dyDescent="0.2">
      <c r="K1531" s="21"/>
      <c r="L1531" s="21"/>
      <c r="M1531" s="21"/>
    </row>
    <row r="1532" spans="3:31" x14ac:dyDescent="0.2">
      <c r="C1532" s="9" t="s">
        <v>898</v>
      </c>
      <c r="L1532" s="21"/>
    </row>
    <row r="1533" spans="3:31" x14ac:dyDescent="0.2">
      <c r="C1533" s="1" t="s">
        <v>900</v>
      </c>
      <c r="D1533" s="36"/>
      <c r="E1533" s="502">
        <f>-E1521/(-E1521+SUMPRODUCT(I1524:V1524,I1509:V1509))</f>
        <v>1</v>
      </c>
    </row>
    <row r="1534" spans="3:31" x14ac:dyDescent="0.2">
      <c r="C1534" s="5" t="s">
        <v>125</v>
      </c>
      <c r="F1534" s="1" t="s">
        <v>55</v>
      </c>
      <c r="I1534" s="83">
        <f>E1521</f>
        <v>330</v>
      </c>
      <c r="J1534" s="21">
        <f>I1536</f>
        <v>330</v>
      </c>
      <c r="K1534" s="21">
        <f t="shared" ref="K1534:V1534" si="913">J1536</f>
        <v>330</v>
      </c>
      <c r="L1534" s="21">
        <f t="shared" si="913"/>
        <v>330</v>
      </c>
      <c r="M1534" s="21">
        <f t="shared" si="913"/>
        <v>297</v>
      </c>
      <c r="N1534" s="21">
        <f t="shared" si="913"/>
        <v>255.75</v>
      </c>
      <c r="O1534" s="21">
        <f t="shared" si="913"/>
        <v>206.25</v>
      </c>
      <c r="P1534" s="21">
        <f t="shared" si="913"/>
        <v>156.75</v>
      </c>
      <c r="Q1534" s="21">
        <f t="shared" si="913"/>
        <v>107.25</v>
      </c>
      <c r="R1534" s="21">
        <f t="shared" si="913"/>
        <v>57.75</v>
      </c>
      <c r="S1534" s="21">
        <f t="shared" si="913"/>
        <v>16.5</v>
      </c>
      <c r="T1534" s="21">
        <f t="shared" si="913"/>
        <v>0</v>
      </c>
      <c r="U1534" s="21">
        <f t="shared" si="913"/>
        <v>0</v>
      </c>
      <c r="V1534" s="21">
        <f t="shared" si="913"/>
        <v>0</v>
      </c>
      <c r="W1534" s="563"/>
      <c r="X1534" s="563"/>
      <c r="Y1534" s="563"/>
      <c r="Z1534" s="563"/>
      <c r="AA1534" s="563"/>
      <c r="AB1534" s="563"/>
      <c r="AC1534" s="563"/>
      <c r="AD1534" s="563"/>
      <c r="AE1534" s="563"/>
    </row>
    <row r="1535" spans="3:31" x14ac:dyDescent="0.2">
      <c r="C1535" s="5" t="s">
        <v>207</v>
      </c>
      <c r="F1535" s="1" t="s">
        <v>55</v>
      </c>
      <c r="G1535" s="21">
        <f>SUM(I1535:AE1535)</f>
        <v>-330</v>
      </c>
      <c r="I1535" s="21">
        <f t="shared" ref="I1535:V1535" si="914">-$E$1521*I830</f>
        <v>0</v>
      </c>
      <c r="J1535" s="21">
        <f t="shared" si="914"/>
        <v>0</v>
      </c>
      <c r="K1535" s="21">
        <f t="shared" si="914"/>
        <v>0</v>
      </c>
      <c r="L1535" s="21">
        <f t="shared" si="914"/>
        <v>-33</v>
      </c>
      <c r="M1535" s="21">
        <f t="shared" si="914"/>
        <v>-41.25</v>
      </c>
      <c r="N1535" s="21">
        <f t="shared" si="914"/>
        <v>-49.5</v>
      </c>
      <c r="O1535" s="21">
        <f t="shared" si="914"/>
        <v>-49.5</v>
      </c>
      <c r="P1535" s="21">
        <f t="shared" si="914"/>
        <v>-49.5</v>
      </c>
      <c r="Q1535" s="21">
        <f t="shared" si="914"/>
        <v>-49.5</v>
      </c>
      <c r="R1535" s="21">
        <f t="shared" si="914"/>
        <v>-41.25</v>
      </c>
      <c r="S1535" s="21">
        <f t="shared" si="914"/>
        <v>-16.5</v>
      </c>
      <c r="T1535" s="21">
        <f t="shared" si="914"/>
        <v>0</v>
      </c>
      <c r="U1535" s="21">
        <f t="shared" si="914"/>
        <v>0</v>
      </c>
      <c r="V1535" s="21">
        <f t="shared" si="914"/>
        <v>0</v>
      </c>
      <c r="W1535" s="563"/>
      <c r="X1535" s="563"/>
      <c r="Y1535" s="563"/>
      <c r="Z1535" s="563"/>
      <c r="AA1535" s="563"/>
      <c r="AB1535" s="563"/>
      <c r="AC1535" s="563"/>
      <c r="AD1535" s="563"/>
      <c r="AE1535" s="563"/>
    </row>
    <row r="1536" spans="3:31" x14ac:dyDescent="0.2">
      <c r="C1536" s="5" t="s">
        <v>127</v>
      </c>
      <c r="F1536" s="1" t="s">
        <v>55</v>
      </c>
      <c r="I1536" s="21">
        <f>SUM(I1534:I1535)</f>
        <v>330</v>
      </c>
      <c r="J1536" s="21">
        <f t="shared" ref="J1536:V1536" si="915">SUM(J1534:J1535)</f>
        <v>330</v>
      </c>
      <c r="K1536" s="21">
        <f t="shared" si="915"/>
        <v>330</v>
      </c>
      <c r="L1536" s="21">
        <f t="shared" si="915"/>
        <v>297</v>
      </c>
      <c r="M1536" s="21">
        <f t="shared" si="915"/>
        <v>255.75</v>
      </c>
      <c r="N1536" s="21">
        <f t="shared" si="915"/>
        <v>206.25</v>
      </c>
      <c r="O1536" s="21">
        <f t="shared" si="915"/>
        <v>156.75</v>
      </c>
      <c r="P1536" s="21">
        <f t="shared" si="915"/>
        <v>107.25</v>
      </c>
      <c r="Q1536" s="21">
        <f t="shared" si="915"/>
        <v>57.75</v>
      </c>
      <c r="R1536" s="21">
        <f t="shared" si="915"/>
        <v>16.5</v>
      </c>
      <c r="S1536" s="21">
        <f t="shared" si="915"/>
        <v>0</v>
      </c>
      <c r="T1536" s="21">
        <f t="shared" si="915"/>
        <v>0</v>
      </c>
      <c r="U1536" s="21">
        <f t="shared" si="915"/>
        <v>0</v>
      </c>
      <c r="V1536" s="21">
        <f t="shared" si="915"/>
        <v>0</v>
      </c>
      <c r="W1536" s="563"/>
      <c r="X1536" s="563"/>
      <c r="Y1536" s="563"/>
      <c r="Z1536" s="563"/>
      <c r="AA1536" s="563"/>
      <c r="AB1536" s="563"/>
      <c r="AC1536" s="563"/>
      <c r="AD1536" s="563"/>
      <c r="AE1536" s="563"/>
    </row>
    <row r="1538" spans="3:31" x14ac:dyDescent="0.2">
      <c r="C1538" s="9" t="s">
        <v>901</v>
      </c>
    </row>
    <row r="1539" spans="3:31" x14ac:dyDescent="0.2">
      <c r="C1539" s="5" t="s">
        <v>125</v>
      </c>
      <c r="F1539" s="1" t="s">
        <v>55</v>
      </c>
      <c r="I1539" s="83">
        <f>E1521</f>
        <v>330</v>
      </c>
      <c r="J1539" s="21">
        <f>I1541</f>
        <v>330</v>
      </c>
      <c r="K1539" s="21">
        <f t="shared" ref="K1539:V1539" si="916">J1541</f>
        <v>330</v>
      </c>
      <c r="L1539" s="21">
        <f t="shared" si="916"/>
        <v>330</v>
      </c>
      <c r="M1539" s="21">
        <f t="shared" si="916"/>
        <v>330</v>
      </c>
      <c r="N1539" s="21">
        <f t="shared" si="916"/>
        <v>330</v>
      </c>
      <c r="O1539" s="21">
        <f t="shared" si="916"/>
        <v>330</v>
      </c>
      <c r="P1539" s="21">
        <f t="shared" si="916"/>
        <v>330</v>
      </c>
      <c r="Q1539" s="21">
        <f t="shared" si="916"/>
        <v>330</v>
      </c>
      <c r="R1539" s="21">
        <f t="shared" si="916"/>
        <v>330</v>
      </c>
      <c r="S1539" s="21">
        <f t="shared" si="916"/>
        <v>330</v>
      </c>
      <c r="T1539" s="21">
        <f t="shared" si="916"/>
        <v>341.71431854852716</v>
      </c>
      <c r="U1539" s="21">
        <f t="shared" si="916"/>
        <v>341.71431854852716</v>
      </c>
      <c r="V1539" s="21">
        <f t="shared" si="916"/>
        <v>341.71431854852716</v>
      </c>
      <c r="W1539" s="563"/>
      <c r="X1539" s="563"/>
      <c r="Y1539" s="563"/>
      <c r="Z1539" s="563"/>
      <c r="AA1539" s="563"/>
      <c r="AB1539" s="563"/>
      <c r="AC1539" s="563"/>
      <c r="AD1539" s="563"/>
      <c r="AE1539" s="563"/>
    </row>
    <row r="1540" spans="3:31" x14ac:dyDescent="0.2">
      <c r="C1540" s="5" t="s">
        <v>207</v>
      </c>
      <c r="F1540" s="1" t="s">
        <v>55</v>
      </c>
      <c r="G1540" s="21">
        <f>SUM(I1540:AE1540)</f>
        <v>11.714318548527149</v>
      </c>
      <c r="H1540" s="21">
        <f>-(H1514-H1457-H947-H1639+H1697)*H1524</f>
        <v>0</v>
      </c>
      <c r="I1540" s="21">
        <f>-MIN(-(I1457-I1514+I947-I1639+I1697),I1539)*I1524</f>
        <v>0</v>
      </c>
      <c r="J1540" s="21">
        <f t="shared" ref="J1540:V1540" si="917">-MIN(-(J1457-J1514+J947-J1639+J1697),J1539)*J1524</f>
        <v>0</v>
      </c>
      <c r="K1540" s="21">
        <f t="shared" si="917"/>
        <v>0</v>
      </c>
      <c r="L1540" s="21">
        <f t="shared" si="917"/>
        <v>0</v>
      </c>
      <c r="M1540" s="21">
        <f t="shared" si="917"/>
        <v>0</v>
      </c>
      <c r="N1540" s="21">
        <f t="shared" si="917"/>
        <v>0</v>
      </c>
      <c r="O1540" s="21">
        <f t="shared" si="917"/>
        <v>0</v>
      </c>
      <c r="P1540" s="21">
        <f t="shared" si="917"/>
        <v>0</v>
      </c>
      <c r="Q1540" s="21">
        <f t="shared" si="917"/>
        <v>0</v>
      </c>
      <c r="R1540" s="21">
        <f t="shared" si="917"/>
        <v>0</v>
      </c>
      <c r="S1540" s="21">
        <f t="shared" si="917"/>
        <v>11.714318548527149</v>
      </c>
      <c r="T1540" s="21">
        <f t="shared" si="917"/>
        <v>0</v>
      </c>
      <c r="U1540" s="21">
        <f t="shared" si="917"/>
        <v>0</v>
      </c>
      <c r="V1540" s="21">
        <f t="shared" si="917"/>
        <v>0</v>
      </c>
      <c r="W1540" s="563"/>
      <c r="X1540" s="563"/>
      <c r="Y1540" s="563"/>
      <c r="Z1540" s="563"/>
      <c r="AA1540" s="563"/>
      <c r="AB1540" s="563"/>
      <c r="AC1540" s="563"/>
      <c r="AD1540" s="563"/>
      <c r="AE1540" s="563"/>
    </row>
    <row r="1541" spans="3:31" x14ac:dyDescent="0.2">
      <c r="C1541" s="5" t="s">
        <v>127</v>
      </c>
      <c r="F1541" s="1" t="s">
        <v>55</v>
      </c>
      <c r="I1541" s="21">
        <f>SUM(I1539:I1540)</f>
        <v>330</v>
      </c>
      <c r="J1541" s="21">
        <f>SUM(J1539:J1540)</f>
        <v>330</v>
      </c>
      <c r="K1541" s="21">
        <f t="shared" ref="K1541:V1541" si="918">SUM(K1539:K1540)</f>
        <v>330</v>
      </c>
      <c r="L1541" s="21">
        <f t="shared" si="918"/>
        <v>330</v>
      </c>
      <c r="M1541" s="21">
        <f t="shared" si="918"/>
        <v>330</v>
      </c>
      <c r="N1541" s="21">
        <f t="shared" si="918"/>
        <v>330</v>
      </c>
      <c r="O1541" s="21">
        <f t="shared" si="918"/>
        <v>330</v>
      </c>
      <c r="P1541" s="21">
        <f t="shared" si="918"/>
        <v>330</v>
      </c>
      <c r="Q1541" s="21">
        <f t="shared" si="918"/>
        <v>330</v>
      </c>
      <c r="R1541" s="21">
        <f t="shared" si="918"/>
        <v>330</v>
      </c>
      <c r="S1541" s="21">
        <f>SUM(S1539:S1540)</f>
        <v>341.71431854852716</v>
      </c>
      <c r="T1541" s="21">
        <f>SUM(T1539:T1540)</f>
        <v>341.71431854852716</v>
      </c>
      <c r="U1541" s="21">
        <f t="shared" si="918"/>
        <v>341.71431854852716</v>
      </c>
      <c r="V1541" s="21">
        <f t="shared" si="918"/>
        <v>341.71431854852716</v>
      </c>
      <c r="W1541" s="563"/>
      <c r="X1541" s="563"/>
      <c r="Y1541" s="563"/>
      <c r="Z1541" s="563"/>
      <c r="AA1541" s="563"/>
      <c r="AB1541" s="563"/>
      <c r="AC1541" s="563"/>
      <c r="AD1541" s="563"/>
      <c r="AE1541" s="563"/>
    </row>
    <row r="1544" spans="3:31" x14ac:dyDescent="0.2">
      <c r="C1544" s="9" t="s">
        <v>568</v>
      </c>
    </row>
    <row r="1545" spans="3:31" x14ac:dyDescent="0.2">
      <c r="C1545" s="1" t="s">
        <v>927</v>
      </c>
      <c r="G1545" s="21">
        <f>SUM(I1545:AE1545)</f>
        <v>34.736842105263158</v>
      </c>
      <c r="I1545" s="21">
        <f t="shared" ref="I1545:V1545" si="919">$E$1521/$E$1528*I1528</f>
        <v>0</v>
      </c>
      <c r="J1545" s="21">
        <f t="shared" si="919"/>
        <v>0</v>
      </c>
      <c r="K1545" s="21">
        <f t="shared" si="919"/>
        <v>0</v>
      </c>
      <c r="L1545" s="21">
        <f t="shared" si="919"/>
        <v>0</v>
      </c>
      <c r="M1545" s="21">
        <f t="shared" si="919"/>
        <v>0</v>
      </c>
      <c r="N1545" s="21">
        <f t="shared" si="919"/>
        <v>0</v>
      </c>
      <c r="O1545" s="21">
        <f t="shared" si="919"/>
        <v>0</v>
      </c>
      <c r="P1545" s="21">
        <f t="shared" si="919"/>
        <v>0</v>
      </c>
      <c r="Q1545" s="21">
        <f t="shared" si="919"/>
        <v>0</v>
      </c>
      <c r="R1545" s="21">
        <f t="shared" si="919"/>
        <v>0</v>
      </c>
      <c r="S1545" s="21">
        <f t="shared" si="919"/>
        <v>8.6842105263157894</v>
      </c>
      <c r="T1545" s="21">
        <f t="shared" si="919"/>
        <v>8.6842105263157894</v>
      </c>
      <c r="U1545" s="21">
        <f t="shared" si="919"/>
        <v>8.6842105263157894</v>
      </c>
      <c r="V1545" s="21">
        <f t="shared" si="919"/>
        <v>8.6842105263157894</v>
      </c>
      <c r="W1545" s="563"/>
      <c r="X1545" s="563"/>
      <c r="Y1545" s="563"/>
      <c r="Z1545" s="563"/>
      <c r="AA1545" s="563"/>
      <c r="AB1545" s="563"/>
      <c r="AC1545" s="563"/>
      <c r="AD1545" s="563"/>
      <c r="AE1545" s="563"/>
    </row>
    <row r="1547" spans="3:31" x14ac:dyDescent="0.2">
      <c r="C1547" s="9" t="s">
        <v>567</v>
      </c>
    </row>
    <row r="1548" spans="3:31" x14ac:dyDescent="0.2">
      <c r="C1548" s="1" t="s">
        <v>197</v>
      </c>
      <c r="I1548" s="21">
        <f t="shared" ref="I1548:V1548" si="920">I1528*I1382</f>
        <v>0</v>
      </c>
      <c r="J1548" s="21">
        <f t="shared" si="920"/>
        <v>0</v>
      </c>
      <c r="K1548" s="21">
        <f t="shared" si="920"/>
        <v>0</v>
      </c>
      <c r="L1548" s="21">
        <f t="shared" si="920"/>
        <v>0</v>
      </c>
      <c r="M1548" s="21">
        <f t="shared" si="920"/>
        <v>0</v>
      </c>
      <c r="N1548" s="21">
        <f t="shared" si="920"/>
        <v>0</v>
      </c>
      <c r="O1548" s="21">
        <f t="shared" si="920"/>
        <v>0</v>
      </c>
      <c r="P1548" s="21">
        <f t="shared" si="920"/>
        <v>0</v>
      </c>
      <c r="Q1548" s="21">
        <f t="shared" si="920"/>
        <v>0</v>
      </c>
      <c r="R1548" s="21">
        <f t="shared" si="920"/>
        <v>0</v>
      </c>
      <c r="S1548" s="21">
        <f t="shared" si="920"/>
        <v>-16.45976851810795</v>
      </c>
      <c r="T1548" s="21">
        <f t="shared" si="920"/>
        <v>20.488288847116124</v>
      </c>
      <c r="U1548" s="21">
        <f t="shared" si="920"/>
        <v>29.946735286739781</v>
      </c>
      <c r="V1548" s="21">
        <f t="shared" si="920"/>
        <v>35.072753077091008</v>
      </c>
      <c r="W1548" s="563"/>
      <c r="X1548" s="563"/>
      <c r="Y1548" s="563"/>
      <c r="Z1548" s="563"/>
      <c r="AA1548" s="563"/>
      <c r="AB1548" s="563"/>
      <c r="AC1548" s="563"/>
      <c r="AD1548" s="563"/>
      <c r="AE1548" s="563"/>
    </row>
    <row r="1549" spans="3:31" x14ac:dyDescent="0.2">
      <c r="C1549" s="1" t="s">
        <v>932</v>
      </c>
      <c r="I1549" s="81">
        <f t="shared" ref="I1549:V1549" si="921">$E$1482</f>
        <v>1.5</v>
      </c>
      <c r="J1549" s="81">
        <f t="shared" si="921"/>
        <v>1.5</v>
      </c>
      <c r="K1549" s="81">
        <f t="shared" si="921"/>
        <v>1.5</v>
      </c>
      <c r="L1549" s="81">
        <f t="shared" si="921"/>
        <v>1.5</v>
      </c>
      <c r="M1549" s="81">
        <f t="shared" si="921"/>
        <v>1.5</v>
      </c>
      <c r="N1549" s="81">
        <f t="shared" si="921"/>
        <v>1.5</v>
      </c>
      <c r="O1549" s="81">
        <f t="shared" si="921"/>
        <v>1.5</v>
      </c>
      <c r="P1549" s="81">
        <f t="shared" si="921"/>
        <v>1.5</v>
      </c>
      <c r="Q1549" s="81">
        <f t="shared" si="921"/>
        <v>1.5</v>
      </c>
      <c r="R1549" s="81">
        <f t="shared" si="921"/>
        <v>1.5</v>
      </c>
      <c r="S1549" s="81">
        <f t="shared" si="921"/>
        <v>1.5</v>
      </c>
      <c r="T1549" s="81">
        <f t="shared" si="921"/>
        <v>1.5</v>
      </c>
      <c r="U1549" s="81">
        <f t="shared" si="921"/>
        <v>1.5</v>
      </c>
      <c r="V1549" s="81">
        <f t="shared" si="921"/>
        <v>1.5</v>
      </c>
      <c r="W1549" s="593"/>
      <c r="X1549" s="593"/>
      <c r="Y1549" s="593"/>
      <c r="Z1549" s="593"/>
      <c r="AA1549" s="593"/>
      <c r="AB1549" s="593"/>
      <c r="AC1549" s="593"/>
      <c r="AD1549" s="593"/>
      <c r="AE1549" s="593"/>
    </row>
    <row r="1550" spans="3:31" x14ac:dyDescent="0.2">
      <c r="C1550" s="1" t="s">
        <v>565</v>
      </c>
      <c r="I1550" s="21">
        <f>I1548/I1549</f>
        <v>0</v>
      </c>
      <c r="J1550" s="21">
        <f t="shared" ref="J1550:V1550" si="922">J1548/J1549</f>
        <v>0</v>
      </c>
      <c r="K1550" s="21">
        <f t="shared" si="922"/>
        <v>0</v>
      </c>
      <c r="L1550" s="21">
        <f t="shared" si="922"/>
        <v>0</v>
      </c>
      <c r="M1550" s="21">
        <f t="shared" si="922"/>
        <v>0</v>
      </c>
      <c r="N1550" s="21">
        <f t="shared" si="922"/>
        <v>0</v>
      </c>
      <c r="O1550" s="21">
        <f t="shared" si="922"/>
        <v>0</v>
      </c>
      <c r="P1550" s="21">
        <f t="shared" si="922"/>
        <v>0</v>
      </c>
      <c r="Q1550" s="21">
        <f t="shared" si="922"/>
        <v>0</v>
      </c>
      <c r="R1550" s="21">
        <f t="shared" si="922"/>
        <v>0</v>
      </c>
      <c r="S1550" s="21">
        <f t="shared" si="922"/>
        <v>-10.973179012071967</v>
      </c>
      <c r="T1550" s="21">
        <f t="shared" si="922"/>
        <v>13.65885923141075</v>
      </c>
      <c r="U1550" s="21">
        <f t="shared" si="922"/>
        <v>19.964490191159854</v>
      </c>
      <c r="V1550" s="21">
        <f t="shared" si="922"/>
        <v>23.381835384727339</v>
      </c>
      <c r="W1550" s="563"/>
      <c r="X1550" s="563"/>
      <c r="Y1550" s="563"/>
      <c r="Z1550" s="563"/>
      <c r="AA1550" s="563"/>
      <c r="AB1550" s="563"/>
      <c r="AC1550" s="563"/>
      <c r="AD1550" s="563"/>
      <c r="AE1550" s="563"/>
    </row>
    <row r="1551" spans="3:31" x14ac:dyDescent="0.2">
      <c r="C1551" s="1" t="s">
        <v>566</v>
      </c>
      <c r="G1551" s="21">
        <f>SUM(I1551:AE1551)</f>
        <v>34.736842105263158</v>
      </c>
      <c r="I1551" s="21">
        <f t="shared" ref="I1551:V1551" si="923">I1491</f>
        <v>0</v>
      </c>
      <c r="J1551" s="21">
        <f t="shared" si="923"/>
        <v>0</v>
      </c>
      <c r="K1551" s="21">
        <f t="shared" si="923"/>
        <v>0</v>
      </c>
      <c r="L1551" s="21">
        <f t="shared" si="923"/>
        <v>0</v>
      </c>
      <c r="M1551" s="21">
        <f t="shared" si="923"/>
        <v>0</v>
      </c>
      <c r="N1551" s="21">
        <f t="shared" si="923"/>
        <v>0</v>
      </c>
      <c r="O1551" s="21">
        <f t="shared" si="923"/>
        <v>0</v>
      </c>
      <c r="P1551" s="21">
        <f t="shared" si="923"/>
        <v>0</v>
      </c>
      <c r="Q1551" s="21">
        <f t="shared" si="923"/>
        <v>0</v>
      </c>
      <c r="R1551" s="21">
        <f t="shared" si="923"/>
        <v>0</v>
      </c>
      <c r="S1551" s="21">
        <f t="shared" si="923"/>
        <v>8.6842105263157894</v>
      </c>
      <c r="T1551" s="21">
        <f t="shared" si="923"/>
        <v>8.6842105263157894</v>
      </c>
      <c r="U1551" s="21">
        <f t="shared" si="923"/>
        <v>8.6842105263157894</v>
      </c>
      <c r="V1551" s="21">
        <f t="shared" si="923"/>
        <v>8.6842105263157894</v>
      </c>
      <c r="W1551" s="563"/>
      <c r="X1551" s="563"/>
      <c r="Y1551" s="563"/>
      <c r="Z1551" s="563"/>
      <c r="AA1551" s="563"/>
      <c r="AB1551" s="563"/>
      <c r="AC1551" s="563"/>
      <c r="AD1551" s="563"/>
      <c r="AE1551" s="563"/>
    </row>
    <row r="1552" spans="3:31" x14ac:dyDescent="0.2">
      <c r="I1552" s="21"/>
      <c r="J1552" s="21"/>
      <c r="K1552" s="21"/>
      <c r="L1552" s="21"/>
      <c r="M1552" s="21"/>
      <c r="N1552" s="21"/>
      <c r="O1552" s="21"/>
      <c r="P1552" s="21"/>
      <c r="Q1552" s="21"/>
      <c r="R1552" s="21"/>
      <c r="S1552" s="21"/>
      <c r="T1552" s="21"/>
      <c r="U1552" s="21"/>
      <c r="V1552" s="21"/>
      <c r="W1552" s="563"/>
      <c r="X1552" s="563"/>
      <c r="Y1552" s="563"/>
      <c r="Z1552" s="563"/>
      <c r="AA1552" s="563"/>
      <c r="AB1552" s="563"/>
      <c r="AC1552" s="563"/>
      <c r="AD1552" s="563"/>
      <c r="AE1552" s="563"/>
    </row>
    <row r="1554" spans="3:36" x14ac:dyDescent="0.2">
      <c r="C1554" s="9" t="s">
        <v>206</v>
      </c>
      <c r="D1554" s="9"/>
    </row>
    <row r="1555" spans="3:36" x14ac:dyDescent="0.2">
      <c r="C1555" s="1" t="s">
        <v>125</v>
      </c>
      <c r="F1555" s="1" t="s">
        <v>55</v>
      </c>
      <c r="H1555" s="50"/>
      <c r="I1555" s="106">
        <v>0</v>
      </c>
      <c r="J1555" s="21">
        <f>I1558</f>
        <v>0</v>
      </c>
      <c r="K1555" s="21">
        <f t="shared" ref="K1555:V1555" si="924">J1558</f>
        <v>0</v>
      </c>
      <c r="L1555" s="21">
        <f t="shared" si="924"/>
        <v>0</v>
      </c>
      <c r="M1555" s="21">
        <f t="shared" si="924"/>
        <v>33</v>
      </c>
      <c r="N1555" s="21">
        <f t="shared" si="924"/>
        <v>74.25</v>
      </c>
      <c r="O1555" s="21">
        <f t="shared" si="924"/>
        <v>123.75</v>
      </c>
      <c r="P1555" s="21">
        <f t="shared" si="924"/>
        <v>173.25</v>
      </c>
      <c r="Q1555" s="21">
        <f t="shared" si="924"/>
        <v>222.75</v>
      </c>
      <c r="R1555" s="21">
        <f t="shared" si="924"/>
        <v>272.25</v>
      </c>
      <c r="S1555" s="21">
        <f t="shared" si="924"/>
        <v>313.5</v>
      </c>
      <c r="T1555" s="21">
        <f t="shared" si="924"/>
        <v>321.31578947368422</v>
      </c>
      <c r="U1555" s="21">
        <f t="shared" si="924"/>
        <v>312.63157894736844</v>
      </c>
      <c r="V1555" s="21">
        <f t="shared" si="924"/>
        <v>303.94736842105266</v>
      </c>
      <c r="W1555" s="563"/>
      <c r="X1555" s="563"/>
      <c r="Y1555" s="563"/>
      <c r="Z1555" s="563"/>
      <c r="AA1555" s="563"/>
      <c r="AB1555" s="563"/>
      <c r="AC1555" s="563"/>
      <c r="AD1555" s="563"/>
      <c r="AE1555" s="563"/>
      <c r="AF1555" s="563"/>
      <c r="AG1555" s="563"/>
      <c r="AH1555" s="563"/>
      <c r="AI1555" s="563"/>
      <c r="AJ1555" s="563"/>
    </row>
    <row r="1556" spans="3:36" x14ac:dyDescent="0.2">
      <c r="C1556" s="1" t="s">
        <v>207</v>
      </c>
      <c r="F1556" s="1" t="s">
        <v>55</v>
      </c>
      <c r="G1556" s="21">
        <f>SUM(I1556:AE1556)</f>
        <v>330</v>
      </c>
      <c r="H1556" s="21"/>
      <c r="I1556" s="21">
        <f t="shared" ref="I1556:V1556" si="925">($E$1529=0)*-I1535+($E$1529=1)*-I1540</f>
        <v>0</v>
      </c>
      <c r="J1556" s="21">
        <f t="shared" si="925"/>
        <v>0</v>
      </c>
      <c r="K1556" s="21">
        <f t="shared" si="925"/>
        <v>0</v>
      </c>
      <c r="L1556" s="21">
        <f t="shared" si="925"/>
        <v>33</v>
      </c>
      <c r="M1556" s="21">
        <f t="shared" si="925"/>
        <v>41.25</v>
      </c>
      <c r="N1556" s="21">
        <f t="shared" si="925"/>
        <v>49.5</v>
      </c>
      <c r="O1556" s="21">
        <f t="shared" si="925"/>
        <v>49.5</v>
      </c>
      <c r="P1556" s="21">
        <f t="shared" si="925"/>
        <v>49.5</v>
      </c>
      <c r="Q1556" s="21">
        <f t="shared" si="925"/>
        <v>49.5</v>
      </c>
      <c r="R1556" s="21">
        <f t="shared" si="925"/>
        <v>41.25</v>
      </c>
      <c r="S1556" s="21">
        <f t="shared" si="925"/>
        <v>16.5</v>
      </c>
      <c r="T1556" s="21">
        <f t="shared" si="925"/>
        <v>0</v>
      </c>
      <c r="U1556" s="21">
        <f t="shared" si="925"/>
        <v>0</v>
      </c>
      <c r="V1556" s="21">
        <f t="shared" si="925"/>
        <v>0</v>
      </c>
      <c r="W1556" s="563"/>
      <c r="X1556" s="563"/>
      <c r="Y1556" s="563"/>
      <c r="Z1556" s="563"/>
      <c r="AA1556" s="563"/>
      <c r="AB1556" s="563"/>
      <c r="AC1556" s="563"/>
      <c r="AD1556" s="563"/>
      <c r="AE1556" s="563"/>
      <c r="AF1556" s="563"/>
      <c r="AG1556" s="563"/>
      <c r="AH1556" s="563"/>
      <c r="AI1556" s="563"/>
      <c r="AJ1556" s="563"/>
    </row>
    <row r="1557" spans="3:36" x14ac:dyDescent="0.2">
      <c r="C1557" s="1" t="str">
        <f>"Repayment ("&amp;IF(E1530=0,"Straight line","Sculpted")&amp;" payments)"</f>
        <v>Repayment (Straight line payments)</v>
      </c>
      <c r="F1557" s="1" t="s">
        <v>55</v>
      </c>
      <c r="G1557" s="21">
        <f>SUM(I1557:AE1557)</f>
        <v>-34.736842105263158</v>
      </c>
      <c r="H1557" s="52"/>
      <c r="I1557" s="52">
        <f t="shared" ref="I1557:V1557" si="926">-I1545*($E$1530=0)+-MIN(I1555,(I1550-I1560)*I1528)*($E$1530=1)</f>
        <v>0</v>
      </c>
      <c r="J1557" s="52">
        <f t="shared" si="926"/>
        <v>0</v>
      </c>
      <c r="K1557" s="52">
        <f t="shared" si="926"/>
        <v>0</v>
      </c>
      <c r="L1557" s="52">
        <f t="shared" si="926"/>
        <v>0</v>
      </c>
      <c r="M1557" s="52">
        <f t="shared" si="926"/>
        <v>0</v>
      </c>
      <c r="N1557" s="52">
        <f t="shared" si="926"/>
        <v>0</v>
      </c>
      <c r="O1557" s="52">
        <f t="shared" si="926"/>
        <v>0</v>
      </c>
      <c r="P1557" s="52">
        <f t="shared" si="926"/>
        <v>0</v>
      </c>
      <c r="Q1557" s="52">
        <f t="shared" si="926"/>
        <v>0</v>
      </c>
      <c r="R1557" s="52">
        <f t="shared" si="926"/>
        <v>0</v>
      </c>
      <c r="S1557" s="52">
        <f t="shared" si="926"/>
        <v>-8.6842105263157894</v>
      </c>
      <c r="T1557" s="52">
        <f t="shared" si="926"/>
        <v>-8.6842105263157894</v>
      </c>
      <c r="U1557" s="52">
        <f t="shared" si="926"/>
        <v>-8.6842105263157894</v>
      </c>
      <c r="V1557" s="52">
        <f t="shared" si="926"/>
        <v>-8.6842105263157894</v>
      </c>
      <c r="W1557" s="563"/>
      <c r="X1557" s="563"/>
      <c r="Y1557" s="563"/>
      <c r="Z1557" s="563"/>
      <c r="AA1557" s="563"/>
      <c r="AB1557" s="563"/>
      <c r="AC1557" s="563"/>
      <c r="AD1557" s="563"/>
      <c r="AE1557" s="563"/>
      <c r="AF1557" s="563"/>
      <c r="AG1557" s="563"/>
      <c r="AH1557" s="563"/>
      <c r="AI1557" s="563"/>
      <c r="AJ1557" s="563"/>
    </row>
    <row r="1558" spans="3:36" x14ac:dyDescent="0.2">
      <c r="C1558" s="1" t="s">
        <v>127</v>
      </c>
      <c r="F1558" s="1" t="s">
        <v>55</v>
      </c>
      <c r="H1558" s="52"/>
      <c r="I1558" s="21">
        <f>SUM(I1555:I1557)</f>
        <v>0</v>
      </c>
      <c r="J1558" s="21">
        <f t="shared" ref="J1558:V1558" si="927">SUM(J1555:J1557)</f>
        <v>0</v>
      </c>
      <c r="K1558" s="21">
        <f>SUM(K1555:K1557)</f>
        <v>0</v>
      </c>
      <c r="L1558" s="21">
        <f t="shared" si="927"/>
        <v>33</v>
      </c>
      <c r="M1558" s="21">
        <f>SUM(M1555:M1557)</f>
        <v>74.25</v>
      </c>
      <c r="N1558" s="21">
        <f t="shared" si="927"/>
        <v>123.75</v>
      </c>
      <c r="O1558" s="21">
        <f t="shared" si="927"/>
        <v>173.25</v>
      </c>
      <c r="P1558" s="21">
        <f t="shared" si="927"/>
        <v>222.75</v>
      </c>
      <c r="Q1558" s="21">
        <f t="shared" si="927"/>
        <v>272.25</v>
      </c>
      <c r="R1558" s="21">
        <f t="shared" si="927"/>
        <v>313.5</v>
      </c>
      <c r="S1558" s="21">
        <f t="shared" si="927"/>
        <v>321.31578947368422</v>
      </c>
      <c r="T1558" s="21">
        <f t="shared" si="927"/>
        <v>312.63157894736844</v>
      </c>
      <c r="U1558" s="21">
        <f t="shared" si="927"/>
        <v>303.94736842105266</v>
      </c>
      <c r="V1558" s="21">
        <f t="shared" si="927"/>
        <v>295.26315789473688</v>
      </c>
      <c r="W1558" s="563"/>
      <c r="X1558" s="563"/>
      <c r="Y1558" s="563"/>
      <c r="Z1558" s="563"/>
      <c r="AA1558" s="563"/>
      <c r="AB1558" s="563"/>
      <c r="AC1558" s="563"/>
      <c r="AD1558" s="563"/>
      <c r="AE1558" s="563"/>
      <c r="AF1558" s="563"/>
      <c r="AG1558" s="563"/>
      <c r="AH1558" s="563"/>
      <c r="AI1558" s="563"/>
      <c r="AJ1558" s="563"/>
    </row>
    <row r="1559" spans="3:36" x14ac:dyDescent="0.2">
      <c r="H1559" s="52"/>
      <c r="I1559" s="21"/>
      <c r="J1559" s="21"/>
      <c r="K1559" s="21"/>
      <c r="L1559" s="21"/>
      <c r="M1559" s="21"/>
      <c r="N1559" s="21"/>
      <c r="O1559" s="21"/>
      <c r="P1559" s="21"/>
      <c r="Q1559" s="21"/>
      <c r="R1559" s="21"/>
      <c r="S1559" s="21"/>
      <c r="T1559" s="21"/>
      <c r="U1559" s="21"/>
      <c r="V1559" s="21"/>
      <c r="W1559" s="563"/>
      <c r="X1559" s="563"/>
      <c r="Y1559" s="563"/>
      <c r="Z1559" s="563"/>
      <c r="AA1559" s="563"/>
      <c r="AB1559" s="563"/>
      <c r="AC1559" s="563"/>
      <c r="AD1559" s="563"/>
      <c r="AE1559" s="563"/>
      <c r="AF1559" s="563"/>
      <c r="AG1559" s="563"/>
      <c r="AH1559" s="563"/>
      <c r="AI1559" s="563"/>
      <c r="AJ1559" s="563"/>
    </row>
    <row r="1560" spans="3:36" x14ac:dyDescent="0.2">
      <c r="C1560" s="1" t="s">
        <v>145</v>
      </c>
      <c r="F1560" s="1" t="s">
        <v>55</v>
      </c>
      <c r="G1560" s="21">
        <f>SUM(I1560:AE1560)</f>
        <v>0</v>
      </c>
      <c r="H1560" s="52"/>
      <c r="I1560" s="21">
        <f t="shared" ref="I1560:V1560" si="928">IF($F$1442=0,0,$E$1483*AVERAGE(I1555,I1558))</f>
        <v>0</v>
      </c>
      <c r="J1560" s="21">
        <f t="shared" si="928"/>
        <v>0</v>
      </c>
      <c r="K1560" s="21">
        <f t="shared" si="928"/>
        <v>0</v>
      </c>
      <c r="L1560" s="21">
        <f t="shared" si="928"/>
        <v>0</v>
      </c>
      <c r="M1560" s="21">
        <f t="shared" si="928"/>
        <v>0</v>
      </c>
      <c r="N1560" s="21">
        <f t="shared" si="928"/>
        <v>0</v>
      </c>
      <c r="O1560" s="21">
        <f t="shared" si="928"/>
        <v>0</v>
      </c>
      <c r="P1560" s="21">
        <f t="shared" si="928"/>
        <v>0</v>
      </c>
      <c r="Q1560" s="21">
        <f t="shared" si="928"/>
        <v>0</v>
      </c>
      <c r="R1560" s="21">
        <f t="shared" si="928"/>
        <v>0</v>
      </c>
      <c r="S1560" s="21">
        <f t="shared" si="928"/>
        <v>0</v>
      </c>
      <c r="T1560" s="21">
        <f t="shared" si="928"/>
        <v>0</v>
      </c>
      <c r="U1560" s="21">
        <f t="shared" si="928"/>
        <v>0</v>
      </c>
      <c r="V1560" s="21">
        <f t="shared" si="928"/>
        <v>0</v>
      </c>
      <c r="W1560" s="563"/>
      <c r="X1560" s="563"/>
      <c r="Y1560" s="563"/>
      <c r="Z1560" s="563"/>
      <c r="AA1560" s="563"/>
      <c r="AB1560" s="563"/>
      <c r="AC1560" s="563"/>
      <c r="AD1560" s="563"/>
      <c r="AE1560" s="563"/>
      <c r="AF1560" s="563"/>
      <c r="AG1560" s="563"/>
      <c r="AH1560" s="563"/>
      <c r="AI1560" s="563"/>
      <c r="AJ1560" s="563"/>
    </row>
    <row r="1561" spans="3:36" x14ac:dyDescent="0.2">
      <c r="C1561" s="1" t="s">
        <v>209</v>
      </c>
      <c r="F1561" s="1" t="s">
        <v>55</v>
      </c>
      <c r="G1561" s="21">
        <f>SUM(I1561:AE1561)</f>
        <v>0</v>
      </c>
      <c r="H1561" s="52"/>
      <c r="I1561" s="21">
        <f>(SUM(I$1528:$I1528)=0)*I1560</f>
        <v>0</v>
      </c>
      <c r="J1561" s="21">
        <f>(SUM($I$1528:J1528)=0)*J1560</f>
        <v>0</v>
      </c>
      <c r="K1561" s="21">
        <f>(SUM($I$1528:K1528)=0)*K1560</f>
        <v>0</v>
      </c>
      <c r="L1561" s="21">
        <f>(SUM($I$1528:L1528)=0)*L1560</f>
        <v>0</v>
      </c>
      <c r="M1561" s="21">
        <f>(SUM($I$1528:M1528)=0)*M1560</f>
        <v>0</v>
      </c>
      <c r="N1561" s="21">
        <f>(SUM($I$1528:N1528)=0)*N1560</f>
        <v>0</v>
      </c>
      <c r="O1561" s="21">
        <f>(SUM($I$1528:O1528)=0)*O1560</f>
        <v>0</v>
      </c>
      <c r="P1561" s="21">
        <f>(SUM($I$1528:P1528)=0)*P1560</f>
        <v>0</v>
      </c>
      <c r="Q1561" s="21">
        <f>(SUM($I$1528:Q1528)=0)*Q1560</f>
        <v>0</v>
      </c>
      <c r="R1561" s="21">
        <f>(SUM($I$1528:R1528)=0)*R1560</f>
        <v>0</v>
      </c>
      <c r="S1561" s="21">
        <f>(SUM($I$1528:S1528)=0)*S1560</f>
        <v>0</v>
      </c>
      <c r="T1561" s="21">
        <f>(SUM($I$1528:T1528)=0)*T1560</f>
        <v>0</v>
      </c>
      <c r="U1561" s="21">
        <f>(SUM($I$1528:U1528)=0)*U1560</f>
        <v>0</v>
      </c>
      <c r="V1561" s="21">
        <f>(SUM($I$1528:V1528)=0)*V1560</f>
        <v>0</v>
      </c>
      <c r="W1561" s="563"/>
      <c r="X1561" s="563"/>
      <c r="Y1561" s="563"/>
      <c r="Z1561" s="563"/>
      <c r="AA1561" s="563"/>
      <c r="AB1561" s="563"/>
      <c r="AC1561" s="563"/>
      <c r="AD1561" s="563"/>
      <c r="AE1561" s="563"/>
      <c r="AF1561" s="563"/>
      <c r="AG1561" s="563"/>
      <c r="AH1561" s="563"/>
      <c r="AI1561" s="563"/>
      <c r="AJ1561" s="563"/>
    </row>
    <row r="1562" spans="3:36" x14ac:dyDescent="0.2">
      <c r="H1562" s="52"/>
      <c r="I1562" s="21"/>
      <c r="J1562" s="21"/>
      <c r="K1562" s="21"/>
      <c r="L1562" s="21"/>
      <c r="M1562" s="21"/>
      <c r="N1562" s="21"/>
      <c r="O1562" s="21"/>
      <c r="P1562" s="21"/>
      <c r="Q1562" s="21"/>
      <c r="R1562" s="21"/>
      <c r="S1562" s="21"/>
      <c r="T1562" s="21"/>
      <c r="U1562" s="21"/>
      <c r="V1562" s="21"/>
      <c r="W1562" s="563"/>
      <c r="X1562" s="563"/>
      <c r="Y1562" s="563"/>
      <c r="Z1562" s="563"/>
      <c r="AA1562" s="563"/>
      <c r="AB1562" s="563"/>
      <c r="AC1562" s="563"/>
      <c r="AD1562" s="563"/>
      <c r="AE1562" s="563"/>
      <c r="AF1562" s="563"/>
      <c r="AG1562" s="563"/>
      <c r="AH1562" s="563"/>
      <c r="AI1562" s="563"/>
      <c r="AJ1562" s="563"/>
    </row>
    <row r="1563" spans="3:36" x14ac:dyDescent="0.2">
      <c r="C1563" s="1" t="s">
        <v>210</v>
      </c>
      <c r="E1563" s="517">
        <f>'Plant model'!E1563</f>
        <v>0.02</v>
      </c>
      <c r="F1563" s="1" t="s">
        <v>55</v>
      </c>
      <c r="G1563" s="21">
        <f>SUM(I1563:AE1563)</f>
        <v>6.6000000000000005</v>
      </c>
      <c r="H1563" s="52"/>
      <c r="I1563" s="21">
        <f t="shared" ref="I1563:V1563" si="929">AND(I1555=0,I1558&gt;0)*($E$1521*$E$1563)</f>
        <v>0</v>
      </c>
      <c r="J1563" s="21">
        <f t="shared" si="929"/>
        <v>0</v>
      </c>
      <c r="K1563" s="21">
        <f t="shared" si="929"/>
        <v>0</v>
      </c>
      <c r="L1563" s="21">
        <f t="shared" si="929"/>
        <v>6.6000000000000005</v>
      </c>
      <c r="M1563" s="21">
        <f t="shared" si="929"/>
        <v>0</v>
      </c>
      <c r="N1563" s="21">
        <f t="shared" si="929"/>
        <v>0</v>
      </c>
      <c r="O1563" s="21">
        <f t="shared" si="929"/>
        <v>0</v>
      </c>
      <c r="P1563" s="21">
        <f t="shared" si="929"/>
        <v>0</v>
      </c>
      <c r="Q1563" s="21">
        <f t="shared" si="929"/>
        <v>0</v>
      </c>
      <c r="R1563" s="21">
        <f t="shared" si="929"/>
        <v>0</v>
      </c>
      <c r="S1563" s="21">
        <f t="shared" si="929"/>
        <v>0</v>
      </c>
      <c r="T1563" s="21">
        <f t="shared" si="929"/>
        <v>0</v>
      </c>
      <c r="U1563" s="21">
        <f t="shared" si="929"/>
        <v>0</v>
      </c>
      <c r="V1563" s="21">
        <f t="shared" si="929"/>
        <v>0</v>
      </c>
      <c r="W1563" s="563"/>
      <c r="X1563" s="563"/>
      <c r="Y1563" s="563"/>
      <c r="Z1563" s="563"/>
      <c r="AA1563" s="563"/>
      <c r="AB1563" s="563"/>
      <c r="AC1563" s="563"/>
      <c r="AD1563" s="563"/>
      <c r="AE1563" s="563"/>
      <c r="AF1563" s="563"/>
      <c r="AG1563" s="563"/>
      <c r="AH1563" s="563"/>
      <c r="AI1563" s="563"/>
      <c r="AJ1563" s="563"/>
    </row>
    <row r="1564" spans="3:36" x14ac:dyDescent="0.2">
      <c r="H1564" s="52"/>
      <c r="I1564" s="21"/>
      <c r="J1564" s="21"/>
      <c r="K1564" s="21"/>
      <c r="L1564" s="21"/>
      <c r="M1564" s="21"/>
      <c r="N1564" s="21"/>
      <c r="O1564" s="21"/>
      <c r="P1564" s="21"/>
      <c r="Q1564" s="21"/>
      <c r="R1564" s="21"/>
      <c r="S1564" s="21"/>
      <c r="T1564" s="21"/>
      <c r="U1564" s="21"/>
      <c r="V1564" s="21"/>
      <c r="W1564" s="563"/>
      <c r="X1564" s="563"/>
      <c r="Y1564" s="563"/>
      <c r="Z1564" s="563"/>
      <c r="AA1564" s="563"/>
      <c r="AB1564" s="563"/>
      <c r="AC1564" s="563"/>
      <c r="AD1564" s="563"/>
      <c r="AE1564" s="563"/>
      <c r="AF1564" s="563"/>
      <c r="AG1564" s="563"/>
      <c r="AH1564" s="563"/>
      <c r="AI1564" s="563"/>
      <c r="AJ1564" s="563"/>
    </row>
    <row r="1565" spans="3:36" x14ac:dyDescent="0.2">
      <c r="C1565" s="1" t="s">
        <v>211</v>
      </c>
      <c r="F1565" s="1" t="s">
        <v>55</v>
      </c>
      <c r="H1565" s="5"/>
    </row>
    <row r="1566" spans="3:36" x14ac:dyDescent="0.2">
      <c r="C1566" s="1" t="s">
        <v>212</v>
      </c>
      <c r="F1566" s="1" t="s">
        <v>55</v>
      </c>
      <c r="H1566" s="52"/>
      <c r="I1566" s="21">
        <f>($E$1521-I1555)*(SUM(I$1528:$I1528)=0)</f>
        <v>330</v>
      </c>
      <c r="J1566" s="21">
        <f>($E$1521-J1555)*(SUM($I$1528:J1528)=0)</f>
        <v>330</v>
      </c>
      <c r="K1566" s="21">
        <f>($E$1521-K1555)*(SUM($I$1528:K1528)=0)</f>
        <v>330</v>
      </c>
      <c r="L1566" s="21">
        <f>($E$1521-L1555)*(SUM($I$1528:L1528)=0)</f>
        <v>330</v>
      </c>
      <c r="M1566" s="21">
        <f>($E$1521-M1555)*(SUM($I$1528:M1528)=0)</f>
        <v>297</v>
      </c>
      <c r="N1566" s="21">
        <f>($E$1521-N1555)*(SUM($I$1528:N1528)=0)</f>
        <v>255.75</v>
      </c>
      <c r="O1566" s="21">
        <f>($E$1521-O1555)*(SUM($I$1528:O1528)=0)</f>
        <v>206.25</v>
      </c>
      <c r="P1566" s="21">
        <f>($E$1521-P1555)*(SUM($I$1528:P1528)=0)</f>
        <v>156.75</v>
      </c>
      <c r="Q1566" s="21">
        <f>($E$1521-Q1555)*(SUM($I$1528:Q1528)=0)</f>
        <v>107.25</v>
      </c>
      <c r="R1566" s="21">
        <f>($E$1521-R1555)*(SUM($I$1528:R1528)=0)</f>
        <v>57.75</v>
      </c>
      <c r="S1566" s="21">
        <f>($E$1521-S1555)*(SUM($I$1528:S1528)=0)</f>
        <v>0</v>
      </c>
      <c r="T1566" s="21">
        <f>($E$1521-T1555)*(SUM($I$1528:T1528)=0)</f>
        <v>0</v>
      </c>
      <c r="U1566" s="21">
        <f>($E$1521-U1555)*(SUM($I$1528:U1528)=0)</f>
        <v>0</v>
      </c>
      <c r="V1566" s="21">
        <f>($E$1521-V1555)*(SUM($I$1528:V1528)=0)</f>
        <v>0</v>
      </c>
      <c r="W1566" s="563"/>
      <c r="X1566" s="563"/>
      <c r="Y1566" s="563"/>
      <c r="Z1566" s="563"/>
      <c r="AA1566" s="563"/>
      <c r="AB1566" s="563"/>
      <c r="AC1566" s="563"/>
      <c r="AD1566" s="563"/>
      <c r="AE1566" s="563"/>
      <c r="AF1566" s="563"/>
      <c r="AG1566" s="563"/>
      <c r="AH1566" s="563"/>
      <c r="AI1566" s="563"/>
      <c r="AJ1566" s="563"/>
    </row>
    <row r="1567" spans="3:36" x14ac:dyDescent="0.2">
      <c r="C1567" s="1" t="s">
        <v>213</v>
      </c>
      <c r="F1567" s="1" t="s">
        <v>55</v>
      </c>
      <c r="H1567" s="21"/>
      <c r="I1567" s="21">
        <f t="shared" ref="I1567:V1567" si="930">-I1556</f>
        <v>0</v>
      </c>
      <c r="J1567" s="21">
        <f t="shared" si="930"/>
        <v>0</v>
      </c>
      <c r="K1567" s="21">
        <f>-K1556</f>
        <v>0</v>
      </c>
      <c r="L1567" s="21">
        <f t="shared" si="930"/>
        <v>-33</v>
      </c>
      <c r="M1567" s="21">
        <f t="shared" si="930"/>
        <v>-41.25</v>
      </c>
      <c r="N1567" s="21">
        <f t="shared" si="930"/>
        <v>-49.5</v>
      </c>
      <c r="O1567" s="21">
        <f t="shared" si="930"/>
        <v>-49.5</v>
      </c>
      <c r="P1567" s="21">
        <f t="shared" si="930"/>
        <v>-49.5</v>
      </c>
      <c r="Q1567" s="21">
        <f t="shared" si="930"/>
        <v>-49.5</v>
      </c>
      <c r="R1567" s="21">
        <f t="shared" si="930"/>
        <v>-41.25</v>
      </c>
      <c r="S1567" s="21">
        <f t="shared" si="930"/>
        <v>-16.5</v>
      </c>
      <c r="T1567" s="21">
        <f t="shared" si="930"/>
        <v>0</v>
      </c>
      <c r="U1567" s="21">
        <f t="shared" si="930"/>
        <v>0</v>
      </c>
      <c r="V1567" s="21">
        <f t="shared" si="930"/>
        <v>0</v>
      </c>
      <c r="W1567" s="563"/>
      <c r="X1567" s="563"/>
      <c r="Y1567" s="563"/>
      <c r="Z1567" s="563"/>
      <c r="AA1567" s="563"/>
      <c r="AB1567" s="563"/>
      <c r="AC1567" s="563"/>
      <c r="AD1567" s="563"/>
      <c r="AE1567" s="563"/>
      <c r="AF1567" s="563"/>
      <c r="AG1567" s="563"/>
      <c r="AH1567" s="563"/>
      <c r="AI1567" s="563"/>
      <c r="AJ1567" s="563"/>
    </row>
    <row r="1568" spans="3:36" x14ac:dyDescent="0.2">
      <c r="C1568" s="1" t="s">
        <v>214</v>
      </c>
      <c r="F1568" s="1" t="s">
        <v>55</v>
      </c>
      <c r="H1568" s="21"/>
      <c r="I1568" s="21">
        <f>SUM(I1566:I1567)</f>
        <v>330</v>
      </c>
      <c r="J1568" s="21">
        <f t="shared" ref="J1568:V1568" si="931">SUM(J1566:J1567)</f>
        <v>330</v>
      </c>
      <c r="K1568" s="21">
        <f>SUM(K1566:K1567)</f>
        <v>330</v>
      </c>
      <c r="L1568" s="21">
        <f t="shared" si="931"/>
        <v>297</v>
      </c>
      <c r="M1568" s="21">
        <f t="shared" si="931"/>
        <v>255.75</v>
      </c>
      <c r="N1568" s="21">
        <f t="shared" si="931"/>
        <v>206.25</v>
      </c>
      <c r="O1568" s="21">
        <f t="shared" si="931"/>
        <v>156.75</v>
      </c>
      <c r="P1568" s="21">
        <f t="shared" si="931"/>
        <v>107.25</v>
      </c>
      <c r="Q1568" s="21">
        <f t="shared" si="931"/>
        <v>57.75</v>
      </c>
      <c r="R1568" s="21">
        <f t="shared" si="931"/>
        <v>16.5</v>
      </c>
      <c r="S1568" s="21">
        <f t="shared" si="931"/>
        <v>-16.5</v>
      </c>
      <c r="T1568" s="21">
        <f t="shared" si="931"/>
        <v>0</v>
      </c>
      <c r="U1568" s="21">
        <f t="shared" si="931"/>
        <v>0</v>
      </c>
      <c r="V1568" s="21">
        <f t="shared" si="931"/>
        <v>0</v>
      </c>
      <c r="W1568" s="563"/>
      <c r="X1568" s="563"/>
      <c r="Y1568" s="563"/>
      <c r="Z1568" s="563"/>
      <c r="AA1568" s="563"/>
      <c r="AB1568" s="563"/>
      <c r="AC1568" s="563"/>
      <c r="AD1568" s="563"/>
      <c r="AE1568" s="563"/>
      <c r="AF1568" s="563"/>
      <c r="AG1568" s="563"/>
      <c r="AH1568" s="563"/>
      <c r="AI1568" s="563"/>
      <c r="AJ1568" s="563"/>
    </row>
    <row r="1569" spans="3:36" x14ac:dyDescent="0.2">
      <c r="C1569" s="1" t="s">
        <v>215</v>
      </c>
      <c r="E1569" s="517">
        <f>(1+'Plant model'!E1569)^(1/4)-1</f>
        <v>2.4906793143211203E-3</v>
      </c>
      <c r="F1569" s="1" t="s">
        <v>55</v>
      </c>
      <c r="G1569" s="21">
        <f>SUM(I1569:AE1569)</f>
        <v>5.5685362769934441</v>
      </c>
      <c r="H1569" s="52"/>
      <c r="I1569" s="21">
        <f t="shared" ref="I1569:V1569" si="932">$E$1569*AVERAGE(I1566,I1568)</f>
        <v>0.82192417372596971</v>
      </c>
      <c r="J1569" s="21">
        <f t="shared" si="932"/>
        <v>0.82192417372596971</v>
      </c>
      <c r="K1569" s="21">
        <f t="shared" si="932"/>
        <v>0.82192417372596971</v>
      </c>
      <c r="L1569" s="21">
        <f t="shared" si="932"/>
        <v>0.78082796503967122</v>
      </c>
      <c r="M1569" s="21">
        <f t="shared" si="932"/>
        <v>0.68836149549549963</v>
      </c>
      <c r="N1569" s="21">
        <f t="shared" si="932"/>
        <v>0.5753469216081788</v>
      </c>
      <c r="O1569" s="21">
        <f t="shared" si="932"/>
        <v>0.45205829554928334</v>
      </c>
      <c r="P1569" s="21">
        <f t="shared" si="932"/>
        <v>0.32876966949038788</v>
      </c>
      <c r="Q1569" s="21">
        <f t="shared" si="932"/>
        <v>0.20548104343149243</v>
      </c>
      <c r="R1569" s="21">
        <f t="shared" si="932"/>
        <v>9.2466469544171592E-2</v>
      </c>
      <c r="S1569" s="21">
        <f t="shared" si="932"/>
        <v>-2.0548104343149243E-2</v>
      </c>
      <c r="T1569" s="21">
        <f t="shared" si="932"/>
        <v>0</v>
      </c>
      <c r="U1569" s="21">
        <f t="shared" si="932"/>
        <v>0</v>
      </c>
      <c r="V1569" s="21">
        <f t="shared" si="932"/>
        <v>0</v>
      </c>
      <c r="W1569" s="563"/>
      <c r="X1569" s="563"/>
      <c r="Y1569" s="563"/>
      <c r="Z1569" s="563"/>
      <c r="AA1569" s="563"/>
      <c r="AB1569" s="563"/>
      <c r="AC1569" s="563"/>
      <c r="AD1569" s="563"/>
      <c r="AE1569" s="563"/>
      <c r="AF1569" s="563"/>
      <c r="AG1569" s="563"/>
      <c r="AH1569" s="563"/>
      <c r="AI1569" s="563"/>
      <c r="AJ1569" s="563"/>
    </row>
    <row r="1571" spans="3:36" x14ac:dyDescent="0.2">
      <c r="C1571" s="1" t="s">
        <v>216</v>
      </c>
      <c r="I1571" s="21">
        <f>I1563+I1569</f>
        <v>0.82192417372596971</v>
      </c>
      <c r="J1571" s="21">
        <f t="shared" ref="J1571:V1571" si="933">J1563+J1569</f>
        <v>0.82192417372596971</v>
      </c>
      <c r="K1571" s="21">
        <f>K1563+K1569</f>
        <v>0.82192417372596971</v>
      </c>
      <c r="L1571" s="21">
        <f t="shared" si="933"/>
        <v>7.3808279650396713</v>
      </c>
      <c r="M1571" s="21">
        <f t="shared" si="933"/>
        <v>0.68836149549549963</v>
      </c>
      <c r="N1571" s="21">
        <f t="shared" si="933"/>
        <v>0.5753469216081788</v>
      </c>
      <c r="O1571" s="21">
        <f t="shared" si="933"/>
        <v>0.45205829554928334</v>
      </c>
      <c r="P1571" s="21">
        <f t="shared" si="933"/>
        <v>0.32876966949038788</v>
      </c>
      <c r="Q1571" s="21">
        <f t="shared" si="933"/>
        <v>0.20548104343149243</v>
      </c>
      <c r="R1571" s="21">
        <f t="shared" si="933"/>
        <v>9.2466469544171592E-2</v>
      </c>
      <c r="S1571" s="21">
        <f t="shared" si="933"/>
        <v>-2.0548104343149243E-2</v>
      </c>
      <c r="T1571" s="21">
        <f t="shared" si="933"/>
        <v>0</v>
      </c>
      <c r="U1571" s="21">
        <f t="shared" si="933"/>
        <v>0</v>
      </c>
      <c r="V1571" s="21">
        <f t="shared" si="933"/>
        <v>0</v>
      </c>
      <c r="W1571" s="563"/>
      <c r="X1571" s="563"/>
      <c r="Y1571" s="563"/>
      <c r="Z1571" s="563"/>
      <c r="AA1571" s="563"/>
      <c r="AB1571" s="563"/>
      <c r="AC1571" s="563"/>
      <c r="AD1571" s="563"/>
      <c r="AE1571" s="563"/>
      <c r="AF1571" s="563"/>
      <c r="AG1571" s="563"/>
      <c r="AH1571" s="563"/>
      <c r="AI1571" s="563"/>
      <c r="AJ1571" s="563"/>
    </row>
    <row r="1573" spans="3:36" x14ac:dyDescent="0.2">
      <c r="C1573" s="9"/>
      <c r="D1573" s="9"/>
      <c r="E1573" s="375"/>
      <c r="I1573" s="44"/>
      <c r="J1573" s="44"/>
      <c r="K1573" s="44"/>
      <c r="L1573" s="44"/>
      <c r="M1573" s="44"/>
      <c r="N1573" s="44"/>
      <c r="O1573" s="44"/>
      <c r="P1573" s="44"/>
      <c r="Q1573" s="44"/>
      <c r="R1573" s="44"/>
      <c r="S1573" s="44"/>
      <c r="T1573" s="44"/>
      <c r="U1573" s="44"/>
      <c r="V1573" s="44"/>
      <c r="W1573" s="580"/>
      <c r="X1573" s="580"/>
      <c r="Y1573" s="580"/>
      <c r="Z1573" s="580"/>
      <c r="AA1573" s="580"/>
      <c r="AB1573" s="580"/>
      <c r="AC1573" s="580"/>
      <c r="AD1573" s="580"/>
      <c r="AE1573" s="580"/>
      <c r="AF1573" s="580"/>
      <c r="AG1573" s="580"/>
      <c r="AH1573" s="580"/>
      <c r="AI1573" s="580"/>
      <c r="AJ1573" s="580"/>
    </row>
    <row r="1575" spans="3:36" x14ac:dyDescent="0.2">
      <c r="C1575" s="9" t="s">
        <v>218</v>
      </c>
    </row>
    <row r="1576" spans="3:36" x14ac:dyDescent="0.2">
      <c r="C1576" s="1" t="s">
        <v>219</v>
      </c>
      <c r="F1576" s="1" t="s">
        <v>55</v>
      </c>
      <c r="I1576" s="106">
        <v>0</v>
      </c>
      <c r="J1576" s="21">
        <f>I1579</f>
        <v>0.82192417372596971</v>
      </c>
      <c r="K1576" s="21">
        <f t="shared" ref="K1576:V1576" si="934">J1579</f>
        <v>1.6438483474519394</v>
      </c>
      <c r="L1576" s="21">
        <f t="shared" si="934"/>
        <v>2.4657725211779091</v>
      </c>
      <c r="M1576" s="21">
        <f t="shared" si="934"/>
        <v>9.8466004862175804</v>
      </c>
      <c r="N1576" s="21">
        <f t="shared" si="934"/>
        <v>10.53496198171308</v>
      </c>
      <c r="O1576" s="21">
        <f t="shared" si="934"/>
        <v>11.110308903321258</v>
      </c>
      <c r="P1576" s="21">
        <f t="shared" si="934"/>
        <v>11.562367198870541</v>
      </c>
      <c r="Q1576" s="21">
        <f t="shared" si="934"/>
        <v>11.891136868360929</v>
      </c>
      <c r="R1576" s="21">
        <f t="shared" si="934"/>
        <v>11.716351153136376</v>
      </c>
      <c r="S1576" s="21">
        <f t="shared" si="934"/>
        <v>11.428550864024503</v>
      </c>
      <c r="T1576" s="21">
        <f t="shared" si="934"/>
        <v>11.027736001025309</v>
      </c>
      <c r="U1576" s="21">
        <f t="shared" si="934"/>
        <v>10.647469242369263</v>
      </c>
      <c r="V1576" s="21">
        <f t="shared" si="934"/>
        <v>10.267202483713218</v>
      </c>
      <c r="W1576" s="563"/>
      <c r="X1576" s="563"/>
      <c r="Y1576" s="563"/>
      <c r="Z1576" s="563"/>
      <c r="AA1576" s="563"/>
      <c r="AB1576" s="563"/>
      <c r="AC1576" s="563"/>
      <c r="AD1576" s="563"/>
      <c r="AE1576" s="563"/>
      <c r="AF1576" s="563"/>
      <c r="AG1576" s="563"/>
      <c r="AH1576" s="563"/>
      <c r="AI1576" s="563"/>
      <c r="AJ1576" s="563"/>
    </row>
    <row r="1577" spans="3:36" x14ac:dyDescent="0.2">
      <c r="C1577" s="1" t="s">
        <v>126</v>
      </c>
      <c r="F1577" s="1" t="s">
        <v>55</v>
      </c>
      <c r="G1577" s="21">
        <f>SUM(I1577:AE1577)</f>
        <v>12.168536276993445</v>
      </c>
      <c r="I1577" s="21">
        <f t="shared" ref="I1577:V1577" si="935">I1563+I1569</f>
        <v>0.82192417372596971</v>
      </c>
      <c r="J1577" s="21">
        <f t="shared" si="935"/>
        <v>0.82192417372596971</v>
      </c>
      <c r="K1577" s="21">
        <f>K1563+K1569</f>
        <v>0.82192417372596971</v>
      </c>
      <c r="L1577" s="21">
        <f t="shared" si="935"/>
        <v>7.3808279650396713</v>
      </c>
      <c r="M1577" s="21">
        <f t="shared" si="935"/>
        <v>0.68836149549549963</v>
      </c>
      <c r="N1577" s="21">
        <f t="shared" si="935"/>
        <v>0.5753469216081788</v>
      </c>
      <c r="O1577" s="21">
        <f t="shared" si="935"/>
        <v>0.45205829554928334</v>
      </c>
      <c r="P1577" s="21">
        <f t="shared" si="935"/>
        <v>0.32876966949038788</v>
      </c>
      <c r="Q1577" s="21">
        <f t="shared" si="935"/>
        <v>0.20548104343149243</v>
      </c>
      <c r="R1577" s="21">
        <f t="shared" si="935"/>
        <v>9.2466469544171592E-2</v>
      </c>
      <c r="S1577" s="21">
        <f t="shared" si="935"/>
        <v>-2.0548104343149243E-2</v>
      </c>
      <c r="T1577" s="21">
        <f t="shared" si="935"/>
        <v>0</v>
      </c>
      <c r="U1577" s="21">
        <f t="shared" si="935"/>
        <v>0</v>
      </c>
      <c r="V1577" s="21">
        <f t="shared" si="935"/>
        <v>0</v>
      </c>
      <c r="W1577" s="563"/>
      <c r="X1577" s="563"/>
      <c r="Y1577" s="563"/>
      <c r="Z1577" s="563"/>
      <c r="AA1577" s="563"/>
      <c r="AB1577" s="563"/>
      <c r="AC1577" s="563"/>
      <c r="AD1577" s="563"/>
      <c r="AE1577" s="563"/>
      <c r="AF1577" s="563"/>
      <c r="AG1577" s="563"/>
      <c r="AH1577" s="563"/>
      <c r="AI1577" s="563"/>
      <c r="AJ1577" s="563"/>
    </row>
    <row r="1578" spans="3:36" x14ac:dyDescent="0.2">
      <c r="C1578" s="1" t="s">
        <v>220</v>
      </c>
      <c r="F1578" s="1" t="s">
        <v>55</v>
      </c>
      <c r="I1578" s="21">
        <f>-I1610</f>
        <v>0</v>
      </c>
      <c r="J1578" s="21">
        <f t="shared" ref="J1578:L1578" si="936">-J1610</f>
        <v>0</v>
      </c>
      <c r="K1578" s="21">
        <f>-K1610</f>
        <v>0</v>
      </c>
      <c r="L1578" s="21">
        <f t="shared" si="936"/>
        <v>0</v>
      </c>
      <c r="M1578" s="43">
        <f>SUMIF('Plant model'!$I$3:$AE$3,YEAR('Quarterly Plant Model'!M$3),'Plant model'!$I1578:$AE1578)/4</f>
        <v>0</v>
      </c>
      <c r="N1578" s="43">
        <f>SUMIF('Plant model'!$I$3:$AE$3,YEAR('Quarterly Plant Model'!N$3),'Plant model'!$I1578:$AE1578)/4</f>
        <v>0</v>
      </c>
      <c r="O1578" s="43">
        <f>SUMIF('Plant model'!$I$3:$AE$3,YEAR('Quarterly Plant Model'!O$3),'Plant model'!$I1578:$AE1578)/4</f>
        <v>0</v>
      </c>
      <c r="P1578" s="43">
        <f>SUMIF('Plant model'!$I$3:$AE$3,YEAR('Quarterly Plant Model'!P$3),'Plant model'!$I1578:$AE1578)/4</f>
        <v>0</v>
      </c>
      <c r="Q1578" s="43">
        <f>SUMIF('Plant model'!$I$3:$AE$3,YEAR('Quarterly Plant Model'!Q$3),'Plant model'!$I1578:$AE1578)/4</f>
        <v>-0.3802667586560452</v>
      </c>
      <c r="R1578" s="43">
        <f>SUMIF('Plant model'!$I$3:$AE$3,YEAR('Quarterly Plant Model'!R$3),'Plant model'!$I1578:$AE1578)/4</f>
        <v>-0.3802667586560452</v>
      </c>
      <c r="S1578" s="43">
        <f>SUMIF('Plant model'!$I$3:$AE$3,YEAR('Quarterly Plant Model'!S$3),'Plant model'!$I1578:$AE1578)/4</f>
        <v>-0.3802667586560452</v>
      </c>
      <c r="T1578" s="43">
        <f>SUMIF('Plant model'!$I$3:$AE$3,YEAR('Quarterly Plant Model'!T$3),'Plant model'!$I1578:$AE1578)/4</f>
        <v>-0.3802667586560452</v>
      </c>
      <c r="U1578" s="43">
        <f>SUMIF('Plant model'!$I$3:$AE$3,YEAR('Quarterly Plant Model'!U$3),'Plant model'!$I1578:$AE1578)/4</f>
        <v>-0.3802667586560452</v>
      </c>
      <c r="V1578" s="43">
        <f>SUMIF('Plant model'!$I$3:$AE$3,YEAR('Quarterly Plant Model'!V$3),'Plant model'!$I1578:$AE1578)/4</f>
        <v>-0.3802667586560452</v>
      </c>
      <c r="W1578" s="563"/>
      <c r="X1578" s="563"/>
      <c r="Y1578" s="563"/>
      <c r="Z1578" s="563"/>
      <c r="AA1578" s="563"/>
      <c r="AB1578" s="563"/>
      <c r="AC1578" s="563"/>
      <c r="AD1578" s="563"/>
      <c r="AE1578" s="563"/>
      <c r="AF1578" s="563"/>
      <c r="AG1578" s="563"/>
      <c r="AH1578" s="563"/>
      <c r="AI1578" s="563"/>
      <c r="AJ1578" s="563"/>
    </row>
    <row r="1579" spans="3:36" x14ac:dyDescent="0.2">
      <c r="C1579" s="1" t="s">
        <v>127</v>
      </c>
      <c r="D1579" s="34"/>
      <c r="F1579" s="1" t="s">
        <v>55</v>
      </c>
      <c r="I1579" s="21">
        <f>SUM(I1576:I1578)</f>
        <v>0.82192417372596971</v>
      </c>
      <c r="J1579" s="21">
        <f t="shared" ref="J1579:V1579" si="937">SUM(J1576:J1578)</f>
        <v>1.6438483474519394</v>
      </c>
      <c r="K1579" s="21">
        <f>SUM(K1576:K1578)</f>
        <v>2.4657725211779091</v>
      </c>
      <c r="L1579" s="21">
        <f t="shared" si="937"/>
        <v>9.8466004862175804</v>
      </c>
      <c r="M1579" s="21">
        <f t="shared" si="937"/>
        <v>10.53496198171308</v>
      </c>
      <c r="N1579" s="21">
        <f t="shared" si="937"/>
        <v>11.110308903321258</v>
      </c>
      <c r="O1579" s="21">
        <f t="shared" si="937"/>
        <v>11.562367198870541</v>
      </c>
      <c r="P1579" s="21">
        <f t="shared" si="937"/>
        <v>11.891136868360929</v>
      </c>
      <c r="Q1579" s="21">
        <f t="shared" si="937"/>
        <v>11.716351153136376</v>
      </c>
      <c r="R1579" s="21">
        <f t="shared" si="937"/>
        <v>11.428550864024503</v>
      </c>
      <c r="S1579" s="21">
        <f t="shared" si="937"/>
        <v>11.027736001025309</v>
      </c>
      <c r="T1579" s="21">
        <f t="shared" si="937"/>
        <v>10.647469242369263</v>
      </c>
      <c r="U1579" s="21">
        <f t="shared" si="937"/>
        <v>10.267202483713218</v>
      </c>
      <c r="V1579" s="21">
        <f t="shared" si="937"/>
        <v>9.8869357250571728</v>
      </c>
      <c r="W1579" s="563"/>
      <c r="X1579" s="563"/>
      <c r="Y1579" s="563"/>
      <c r="Z1579" s="563"/>
      <c r="AA1579" s="563"/>
      <c r="AB1579" s="563"/>
      <c r="AC1579" s="563"/>
      <c r="AD1579" s="563"/>
      <c r="AE1579" s="563"/>
      <c r="AF1579" s="563"/>
      <c r="AG1579" s="563"/>
      <c r="AH1579" s="563"/>
      <c r="AI1579" s="563"/>
      <c r="AJ1579" s="563"/>
    </row>
    <row r="1580" spans="3:36" hidden="1" outlineLevel="1" x14ac:dyDescent="0.2">
      <c r="I1580" s="21"/>
      <c r="J1580" s="21"/>
      <c r="K1580" s="21"/>
      <c r="L1580" s="21"/>
      <c r="M1580" s="21"/>
      <c r="N1580" s="21"/>
      <c r="O1580" s="21"/>
      <c r="P1580" s="21"/>
      <c r="Q1580" s="21"/>
      <c r="R1580" s="21"/>
      <c r="S1580" s="21"/>
      <c r="T1580" s="21"/>
      <c r="U1580" s="21"/>
      <c r="V1580" s="21"/>
      <c r="W1580" s="563"/>
      <c r="X1580" s="563"/>
      <c r="Y1580" s="563"/>
      <c r="Z1580" s="563"/>
      <c r="AA1580" s="563"/>
      <c r="AB1580" s="563"/>
      <c r="AC1580" s="563"/>
      <c r="AD1580" s="563"/>
      <c r="AE1580" s="563"/>
      <c r="AF1580" s="563"/>
      <c r="AG1580" s="563"/>
      <c r="AH1580" s="563"/>
      <c r="AI1580" s="563"/>
      <c r="AJ1580" s="563"/>
    </row>
    <row r="1581" spans="3:36" hidden="1" outlineLevel="1" x14ac:dyDescent="0.2">
      <c r="G1581" s="21"/>
      <c r="I1581" s="21"/>
      <c r="J1581" s="21"/>
      <c r="K1581" s="21"/>
      <c r="L1581" s="21"/>
      <c r="M1581" s="21"/>
      <c r="N1581" s="21"/>
      <c r="O1581" s="21"/>
      <c r="P1581" s="21"/>
      <c r="Q1581" s="21"/>
      <c r="R1581" s="21"/>
      <c r="S1581" s="21"/>
      <c r="T1581" s="21"/>
      <c r="U1581" s="21"/>
      <c r="V1581" s="21"/>
      <c r="W1581" s="563"/>
      <c r="X1581" s="563"/>
      <c r="Y1581" s="563"/>
      <c r="Z1581" s="563"/>
      <c r="AA1581" s="563"/>
      <c r="AB1581" s="563"/>
      <c r="AC1581" s="563"/>
      <c r="AD1581" s="563"/>
      <c r="AE1581" s="563"/>
      <c r="AF1581" s="563"/>
      <c r="AG1581" s="563"/>
      <c r="AH1581" s="563"/>
      <c r="AI1581" s="563"/>
      <c r="AJ1581" s="563"/>
    </row>
    <row r="1582" spans="3:36" hidden="1" outlineLevel="1" x14ac:dyDescent="0.2">
      <c r="E1582" s="542"/>
      <c r="I1582" s="21"/>
      <c r="J1582" s="21"/>
      <c r="K1582" s="21"/>
      <c r="L1582" s="21"/>
      <c r="M1582" s="21"/>
      <c r="N1582" s="21"/>
      <c r="O1582" s="21"/>
      <c r="P1582" s="21"/>
      <c r="Q1582" s="21"/>
      <c r="R1582" s="21"/>
      <c r="S1582" s="21"/>
      <c r="T1582" s="21"/>
      <c r="U1582" s="21"/>
      <c r="V1582" s="21"/>
      <c r="W1582" s="563"/>
      <c r="X1582" s="563"/>
      <c r="Y1582" s="563"/>
      <c r="Z1582" s="563"/>
      <c r="AA1582" s="563"/>
      <c r="AB1582" s="563"/>
      <c r="AC1582" s="563"/>
      <c r="AD1582" s="563"/>
      <c r="AE1582" s="563"/>
      <c r="AF1582" s="563"/>
      <c r="AG1582" s="563"/>
      <c r="AH1582" s="563"/>
      <c r="AI1582" s="563"/>
      <c r="AJ1582" s="563"/>
    </row>
    <row r="1583" spans="3:36" hidden="1" outlineLevel="1" x14ac:dyDescent="0.2">
      <c r="E1583" s="85"/>
      <c r="I1583" s="21"/>
      <c r="J1583" s="21"/>
      <c r="K1583" s="21"/>
      <c r="L1583" s="21"/>
      <c r="M1583" s="21"/>
      <c r="N1583" s="21"/>
      <c r="O1583" s="21"/>
      <c r="P1583" s="21"/>
      <c r="Q1583" s="21"/>
      <c r="R1583" s="21"/>
      <c r="S1583" s="21"/>
      <c r="T1583" s="21"/>
      <c r="U1583" s="21"/>
      <c r="V1583" s="21"/>
      <c r="W1583" s="563"/>
      <c r="X1583" s="563"/>
      <c r="Y1583" s="563"/>
      <c r="Z1583" s="563"/>
      <c r="AA1583" s="563"/>
      <c r="AB1583" s="563"/>
      <c r="AC1583" s="563"/>
      <c r="AD1583" s="563"/>
      <c r="AE1583" s="563"/>
      <c r="AF1583" s="563"/>
      <c r="AG1583" s="563"/>
      <c r="AH1583" s="563"/>
      <c r="AI1583" s="563"/>
      <c r="AJ1583" s="563"/>
    </row>
    <row r="1584" spans="3:36" hidden="1" outlineLevel="1" x14ac:dyDescent="0.2">
      <c r="I1584" s="21"/>
      <c r="J1584" s="21"/>
      <c r="K1584" s="21"/>
      <c r="L1584" s="21"/>
      <c r="M1584" s="21"/>
      <c r="N1584" s="21"/>
      <c r="O1584" s="21"/>
      <c r="P1584" s="21"/>
      <c r="Q1584" s="21"/>
      <c r="R1584" s="21"/>
      <c r="S1584" s="21"/>
      <c r="T1584" s="21"/>
      <c r="U1584" s="21"/>
      <c r="V1584" s="21"/>
      <c r="W1584" s="563"/>
      <c r="X1584" s="563"/>
      <c r="Y1584" s="563"/>
      <c r="Z1584" s="563"/>
      <c r="AA1584" s="563"/>
      <c r="AB1584" s="563"/>
      <c r="AC1584" s="563"/>
      <c r="AD1584" s="563"/>
      <c r="AE1584" s="563"/>
      <c r="AF1584" s="563"/>
      <c r="AG1584" s="563"/>
      <c r="AH1584" s="563"/>
      <c r="AI1584" s="563"/>
      <c r="AJ1584" s="563"/>
    </row>
    <row r="1585" spans="3:36" hidden="1" outlineLevel="1" x14ac:dyDescent="0.2">
      <c r="C1585" s="86"/>
      <c r="E1585" s="63"/>
      <c r="F1585" s="63"/>
      <c r="G1585" s="86"/>
      <c r="I1585" s="21"/>
      <c r="J1585" s="21"/>
      <c r="K1585" s="21"/>
      <c r="L1585" s="21"/>
      <c r="M1585" s="21"/>
      <c r="N1585" s="21"/>
      <c r="O1585" s="21"/>
      <c r="P1585" s="21"/>
      <c r="Q1585" s="21"/>
      <c r="R1585" s="21"/>
      <c r="S1585" s="21"/>
      <c r="T1585" s="21"/>
      <c r="U1585" s="21"/>
      <c r="V1585" s="21"/>
      <c r="W1585" s="563"/>
      <c r="X1585" s="563"/>
      <c r="Y1585" s="563"/>
      <c r="Z1585" s="563"/>
      <c r="AA1585" s="563"/>
      <c r="AB1585" s="563"/>
      <c r="AC1585" s="563"/>
      <c r="AD1585" s="563"/>
      <c r="AE1585" s="563"/>
      <c r="AF1585" s="563"/>
      <c r="AG1585" s="563"/>
      <c r="AH1585" s="563"/>
      <c r="AI1585" s="563"/>
      <c r="AJ1585" s="563"/>
    </row>
    <row r="1586" spans="3:36" hidden="1" outlineLevel="1" x14ac:dyDescent="0.2"/>
    <row r="1587" spans="3:36" hidden="1" outlineLevel="1" x14ac:dyDescent="0.2">
      <c r="C1587" s="60"/>
      <c r="E1587" s="21"/>
      <c r="F1587" s="21"/>
      <c r="I1587" s="21"/>
      <c r="J1587" s="21"/>
      <c r="K1587" s="21"/>
      <c r="L1587" s="21"/>
      <c r="M1587" s="21"/>
      <c r="N1587" s="21"/>
      <c r="O1587" s="21"/>
      <c r="P1587" s="21"/>
      <c r="Q1587" s="21"/>
      <c r="R1587" s="21"/>
      <c r="S1587" s="21"/>
      <c r="T1587" s="21"/>
      <c r="U1587" s="21"/>
      <c r="V1587" s="21"/>
      <c r="W1587" s="563"/>
      <c r="X1587" s="563"/>
      <c r="Y1587" s="563"/>
      <c r="Z1587" s="563"/>
      <c r="AA1587" s="563"/>
      <c r="AB1587" s="563"/>
      <c r="AC1587" s="563"/>
      <c r="AD1587" s="563"/>
      <c r="AE1587" s="563"/>
      <c r="AF1587" s="563"/>
      <c r="AG1587" s="563"/>
      <c r="AH1587" s="563"/>
      <c r="AI1587" s="563"/>
      <c r="AJ1587" s="563"/>
    </row>
    <row r="1588" spans="3:36" hidden="1" outlineLevel="1" x14ac:dyDescent="0.2">
      <c r="C1588" s="60"/>
      <c r="E1588" s="21"/>
      <c r="F1588" s="21"/>
      <c r="I1588" s="21"/>
      <c r="J1588" s="21"/>
      <c r="K1588" s="21"/>
      <c r="L1588" s="21"/>
      <c r="M1588" s="21"/>
      <c r="N1588" s="21"/>
      <c r="O1588" s="21"/>
      <c r="P1588" s="21"/>
      <c r="Q1588" s="21"/>
      <c r="R1588" s="21"/>
      <c r="S1588" s="21"/>
      <c r="T1588" s="21"/>
      <c r="U1588" s="21"/>
      <c r="V1588" s="21"/>
      <c r="W1588" s="563"/>
      <c r="X1588" s="563"/>
      <c r="Y1588" s="563"/>
      <c r="Z1588" s="563"/>
      <c r="AA1588" s="563"/>
      <c r="AB1588" s="563"/>
      <c r="AC1588" s="563"/>
      <c r="AD1588" s="563"/>
      <c r="AE1588" s="563"/>
      <c r="AF1588" s="563"/>
      <c r="AG1588" s="563"/>
      <c r="AH1588" s="563"/>
      <c r="AI1588" s="563"/>
      <c r="AJ1588" s="563"/>
    </row>
    <row r="1589" spans="3:36" hidden="1" outlineLevel="1" x14ac:dyDescent="0.2">
      <c r="C1589" s="60"/>
      <c r="E1589" s="21"/>
      <c r="F1589" s="21"/>
      <c r="I1589" s="21"/>
      <c r="J1589" s="21"/>
      <c r="K1589" s="21"/>
      <c r="L1589" s="21"/>
      <c r="M1589" s="21"/>
      <c r="N1589" s="21"/>
      <c r="O1589" s="21"/>
      <c r="P1589" s="21"/>
      <c r="Q1589" s="21"/>
      <c r="R1589" s="21"/>
      <c r="S1589" s="21"/>
      <c r="T1589" s="21"/>
      <c r="U1589" s="21"/>
      <c r="V1589" s="21"/>
      <c r="W1589" s="563"/>
      <c r="X1589" s="563"/>
      <c r="Y1589" s="563"/>
      <c r="Z1589" s="563"/>
      <c r="AA1589" s="563"/>
      <c r="AB1589" s="563"/>
      <c r="AC1589" s="563"/>
      <c r="AD1589" s="563"/>
      <c r="AE1589" s="563"/>
      <c r="AF1589" s="563"/>
      <c r="AG1589" s="563"/>
      <c r="AH1589" s="563"/>
      <c r="AI1589" s="563"/>
      <c r="AJ1589" s="563"/>
    </row>
    <row r="1590" spans="3:36" hidden="1" outlineLevel="1" x14ac:dyDescent="0.2">
      <c r="C1590" s="60"/>
      <c r="E1590" s="21"/>
      <c r="F1590" s="21"/>
      <c r="I1590" s="21"/>
      <c r="J1590" s="21"/>
      <c r="K1590" s="21"/>
      <c r="L1590" s="21"/>
      <c r="M1590" s="21"/>
      <c r="N1590" s="21"/>
      <c r="O1590" s="21"/>
      <c r="P1590" s="21"/>
      <c r="Q1590" s="21"/>
      <c r="R1590" s="21"/>
      <c r="S1590" s="21"/>
      <c r="T1590" s="21"/>
      <c r="U1590" s="21"/>
      <c r="V1590" s="21"/>
      <c r="W1590" s="563"/>
      <c r="X1590" s="563"/>
      <c r="Y1590" s="563"/>
      <c r="Z1590" s="563"/>
      <c r="AA1590" s="563"/>
      <c r="AB1590" s="563"/>
      <c r="AC1590" s="563"/>
      <c r="AD1590" s="563"/>
      <c r="AE1590" s="563"/>
      <c r="AF1590" s="563"/>
      <c r="AG1590" s="563"/>
      <c r="AH1590" s="563"/>
      <c r="AI1590" s="563"/>
      <c r="AJ1590" s="563"/>
    </row>
    <row r="1591" spans="3:36" hidden="1" outlineLevel="1" x14ac:dyDescent="0.2">
      <c r="C1591" s="60"/>
      <c r="E1591" s="21"/>
      <c r="F1591" s="21"/>
      <c r="I1591" s="21"/>
      <c r="J1591" s="21"/>
      <c r="K1591" s="21"/>
      <c r="L1591" s="21"/>
      <c r="M1591" s="21"/>
      <c r="N1591" s="21"/>
      <c r="O1591" s="21"/>
      <c r="P1591" s="21"/>
      <c r="Q1591" s="21"/>
      <c r="R1591" s="21"/>
      <c r="S1591" s="21"/>
      <c r="T1591" s="21"/>
      <c r="U1591" s="21"/>
      <c r="V1591" s="21"/>
      <c r="W1591" s="563"/>
      <c r="X1591" s="563"/>
      <c r="Y1591" s="563"/>
      <c r="Z1591" s="563"/>
      <c r="AA1591" s="563"/>
      <c r="AB1591" s="563"/>
      <c r="AC1591" s="563"/>
      <c r="AD1591" s="563"/>
      <c r="AE1591" s="563"/>
      <c r="AF1591" s="563"/>
      <c r="AG1591" s="563"/>
      <c r="AH1591" s="563"/>
      <c r="AI1591" s="563"/>
      <c r="AJ1591" s="563"/>
    </row>
    <row r="1592" spans="3:36" hidden="1" outlineLevel="1" x14ac:dyDescent="0.2">
      <c r="C1592" s="60"/>
      <c r="E1592" s="21"/>
      <c r="F1592" s="21"/>
      <c r="I1592" s="21"/>
      <c r="J1592" s="21"/>
      <c r="K1592" s="21"/>
      <c r="L1592" s="21"/>
      <c r="M1592" s="21"/>
      <c r="N1592" s="21"/>
      <c r="O1592" s="21"/>
      <c r="P1592" s="21"/>
      <c r="Q1592" s="21"/>
      <c r="R1592" s="21"/>
      <c r="S1592" s="21"/>
      <c r="T1592" s="21"/>
      <c r="U1592" s="21"/>
      <c r="V1592" s="21"/>
      <c r="W1592" s="563"/>
      <c r="X1592" s="563"/>
      <c r="Y1592" s="563"/>
      <c r="Z1592" s="563"/>
      <c r="AA1592" s="563"/>
      <c r="AB1592" s="563"/>
      <c r="AC1592" s="563"/>
      <c r="AD1592" s="563"/>
      <c r="AE1592" s="563"/>
      <c r="AF1592" s="563"/>
      <c r="AG1592" s="563"/>
      <c r="AH1592" s="563"/>
      <c r="AI1592" s="563"/>
      <c r="AJ1592" s="563"/>
    </row>
    <row r="1593" spans="3:36" hidden="1" outlineLevel="1" x14ac:dyDescent="0.2">
      <c r="C1593" s="60"/>
      <c r="E1593" s="21"/>
      <c r="F1593" s="21"/>
      <c r="I1593" s="21"/>
      <c r="J1593" s="21"/>
      <c r="K1593" s="21"/>
      <c r="L1593" s="21"/>
      <c r="M1593" s="21"/>
      <c r="N1593" s="21"/>
      <c r="O1593" s="21"/>
      <c r="P1593" s="21"/>
      <c r="Q1593" s="21"/>
      <c r="R1593" s="21"/>
      <c r="S1593" s="21"/>
      <c r="T1593" s="21"/>
      <c r="U1593" s="21"/>
      <c r="V1593" s="21"/>
      <c r="W1593" s="563"/>
      <c r="X1593" s="563"/>
      <c r="Y1593" s="563"/>
      <c r="Z1593" s="563"/>
      <c r="AA1593" s="563"/>
      <c r="AB1593" s="563"/>
      <c r="AC1593" s="563"/>
      <c r="AD1593" s="563"/>
      <c r="AE1593" s="563"/>
      <c r="AF1593" s="563"/>
      <c r="AG1593" s="563"/>
      <c r="AH1593" s="563"/>
      <c r="AI1593" s="563"/>
      <c r="AJ1593" s="563"/>
    </row>
    <row r="1594" spans="3:36" hidden="1" outlineLevel="1" x14ac:dyDescent="0.2">
      <c r="C1594" s="60"/>
      <c r="E1594" s="21"/>
      <c r="F1594" s="21"/>
      <c r="I1594" s="21"/>
      <c r="J1594" s="21"/>
      <c r="K1594" s="21"/>
      <c r="L1594" s="21"/>
      <c r="M1594" s="21"/>
      <c r="N1594" s="21"/>
      <c r="O1594" s="21"/>
      <c r="P1594" s="21"/>
      <c r="Q1594" s="21"/>
      <c r="R1594" s="21"/>
      <c r="S1594" s="21"/>
      <c r="T1594" s="21"/>
      <c r="U1594" s="21"/>
      <c r="V1594" s="21"/>
      <c r="W1594" s="563"/>
      <c r="X1594" s="563"/>
      <c r="Y1594" s="563"/>
      <c r="Z1594" s="563"/>
      <c r="AA1594" s="563"/>
      <c r="AB1594" s="563"/>
      <c r="AC1594" s="563"/>
      <c r="AD1594" s="563"/>
      <c r="AE1594" s="563"/>
      <c r="AF1594" s="563"/>
      <c r="AG1594" s="563"/>
      <c r="AH1594" s="563"/>
      <c r="AI1594" s="563"/>
      <c r="AJ1594" s="563"/>
    </row>
    <row r="1595" spans="3:36" hidden="1" outlineLevel="1" x14ac:dyDescent="0.2">
      <c r="C1595" s="60"/>
      <c r="E1595" s="21"/>
      <c r="F1595" s="21"/>
      <c r="I1595" s="21"/>
      <c r="J1595" s="21"/>
      <c r="K1595" s="21"/>
      <c r="L1595" s="21"/>
      <c r="M1595" s="21"/>
      <c r="N1595" s="21"/>
      <c r="O1595" s="21"/>
      <c r="P1595" s="21"/>
      <c r="Q1595" s="21"/>
      <c r="R1595" s="21"/>
      <c r="S1595" s="21"/>
      <c r="T1595" s="21"/>
      <c r="U1595" s="21"/>
      <c r="V1595" s="21"/>
      <c r="W1595" s="563"/>
      <c r="X1595" s="563"/>
      <c r="Y1595" s="563"/>
      <c r="Z1595" s="563"/>
      <c r="AA1595" s="563"/>
      <c r="AB1595" s="563"/>
      <c r="AC1595" s="563"/>
      <c r="AD1595" s="563"/>
      <c r="AE1595" s="563"/>
      <c r="AF1595" s="563"/>
      <c r="AG1595" s="563"/>
      <c r="AH1595" s="563"/>
      <c r="AI1595" s="563"/>
      <c r="AJ1595" s="563"/>
    </row>
    <row r="1596" spans="3:36" hidden="1" outlineLevel="1" x14ac:dyDescent="0.2">
      <c r="C1596" s="60"/>
      <c r="E1596" s="21"/>
      <c r="F1596" s="21"/>
      <c r="I1596" s="21"/>
      <c r="J1596" s="21"/>
      <c r="K1596" s="21"/>
      <c r="L1596" s="21"/>
      <c r="M1596" s="21"/>
      <c r="N1596" s="21"/>
      <c r="O1596" s="21"/>
      <c r="P1596" s="21"/>
      <c r="Q1596" s="21"/>
      <c r="R1596" s="21"/>
      <c r="S1596" s="21"/>
      <c r="T1596" s="21"/>
      <c r="U1596" s="21"/>
      <c r="V1596" s="21"/>
      <c r="W1596" s="563"/>
      <c r="X1596" s="563"/>
      <c r="Y1596" s="563"/>
      <c r="Z1596" s="563"/>
      <c r="AA1596" s="563"/>
      <c r="AB1596" s="563"/>
      <c r="AC1596" s="563"/>
      <c r="AD1596" s="563"/>
      <c r="AE1596" s="563"/>
      <c r="AF1596" s="563"/>
      <c r="AG1596" s="563"/>
      <c r="AH1596" s="563"/>
      <c r="AI1596" s="563"/>
      <c r="AJ1596" s="563"/>
    </row>
    <row r="1597" spans="3:36" hidden="1" outlineLevel="1" x14ac:dyDescent="0.2">
      <c r="C1597" s="60"/>
      <c r="E1597" s="21"/>
      <c r="F1597" s="21"/>
      <c r="I1597" s="21"/>
      <c r="J1597" s="21"/>
      <c r="K1597" s="21"/>
      <c r="L1597" s="21"/>
      <c r="M1597" s="21"/>
      <c r="N1597" s="21"/>
      <c r="O1597" s="21"/>
      <c r="P1597" s="21"/>
      <c r="Q1597" s="21"/>
      <c r="R1597" s="21"/>
      <c r="S1597" s="21"/>
      <c r="T1597" s="21"/>
      <c r="U1597" s="21"/>
      <c r="V1597" s="21"/>
      <c r="W1597" s="563"/>
      <c r="X1597" s="563"/>
      <c r="Y1597" s="563"/>
      <c r="Z1597" s="563"/>
      <c r="AA1597" s="563"/>
      <c r="AB1597" s="563"/>
      <c r="AC1597" s="563"/>
      <c r="AD1597" s="563"/>
      <c r="AE1597" s="563"/>
      <c r="AF1597" s="563"/>
      <c r="AG1597" s="563"/>
      <c r="AH1597" s="563"/>
      <c r="AI1597" s="563"/>
      <c r="AJ1597" s="563"/>
    </row>
    <row r="1598" spans="3:36" hidden="1" outlineLevel="1" x14ac:dyDescent="0.2">
      <c r="C1598" s="60"/>
      <c r="E1598" s="21"/>
      <c r="F1598" s="21"/>
      <c r="I1598" s="21"/>
      <c r="J1598" s="21"/>
      <c r="K1598" s="21"/>
      <c r="L1598" s="21"/>
      <c r="M1598" s="21"/>
      <c r="N1598" s="21"/>
      <c r="O1598" s="21"/>
      <c r="P1598" s="21"/>
      <c r="Q1598" s="21"/>
      <c r="R1598" s="21"/>
      <c r="S1598" s="21"/>
      <c r="T1598" s="21"/>
      <c r="U1598" s="21"/>
      <c r="V1598" s="21"/>
      <c r="W1598" s="563"/>
      <c r="X1598" s="563"/>
      <c r="Y1598" s="563"/>
      <c r="Z1598" s="563"/>
      <c r="AA1598" s="563"/>
      <c r="AB1598" s="563"/>
      <c r="AC1598" s="563"/>
      <c r="AD1598" s="563"/>
      <c r="AE1598" s="563"/>
      <c r="AF1598" s="563"/>
      <c r="AG1598" s="563"/>
      <c r="AH1598" s="563"/>
      <c r="AI1598" s="563"/>
      <c r="AJ1598" s="563"/>
    </row>
    <row r="1599" spans="3:36" hidden="1" outlineLevel="1" x14ac:dyDescent="0.2">
      <c r="C1599" s="60"/>
      <c r="E1599" s="21"/>
      <c r="F1599" s="21"/>
      <c r="I1599" s="21"/>
      <c r="J1599" s="21"/>
      <c r="K1599" s="21"/>
      <c r="L1599" s="21"/>
      <c r="M1599" s="21"/>
      <c r="N1599" s="21"/>
      <c r="O1599" s="21"/>
      <c r="P1599" s="21"/>
      <c r="Q1599" s="21"/>
      <c r="R1599" s="21"/>
      <c r="S1599" s="21"/>
      <c r="T1599" s="21"/>
      <c r="U1599" s="21"/>
      <c r="V1599" s="21"/>
      <c r="W1599" s="563"/>
      <c r="X1599" s="563"/>
      <c r="Y1599" s="563"/>
      <c r="Z1599" s="563"/>
      <c r="AA1599" s="563"/>
      <c r="AB1599" s="563"/>
      <c r="AC1599" s="563"/>
      <c r="AD1599" s="563"/>
      <c r="AE1599" s="563"/>
      <c r="AF1599" s="563"/>
      <c r="AG1599" s="563"/>
      <c r="AH1599" s="563"/>
      <c r="AI1599" s="563"/>
      <c r="AJ1599" s="563"/>
    </row>
    <row r="1600" spans="3:36" hidden="1" outlineLevel="1" x14ac:dyDescent="0.2">
      <c r="C1600" s="60"/>
      <c r="E1600" s="21"/>
      <c r="F1600" s="21"/>
      <c r="I1600" s="21"/>
      <c r="J1600" s="21"/>
      <c r="K1600" s="21"/>
      <c r="L1600" s="21"/>
      <c r="M1600" s="21"/>
      <c r="N1600" s="21"/>
      <c r="O1600" s="21"/>
      <c r="P1600" s="21"/>
      <c r="Q1600" s="21"/>
      <c r="R1600" s="21"/>
      <c r="S1600" s="21"/>
      <c r="T1600" s="21"/>
      <c r="U1600" s="21"/>
      <c r="V1600" s="21"/>
      <c r="W1600" s="563"/>
      <c r="X1600" s="563"/>
      <c r="Y1600" s="563"/>
      <c r="Z1600" s="563"/>
      <c r="AA1600" s="563"/>
      <c r="AB1600" s="563"/>
      <c r="AC1600" s="563"/>
      <c r="AD1600" s="563"/>
      <c r="AE1600" s="563"/>
      <c r="AF1600" s="563"/>
      <c r="AG1600" s="563"/>
      <c r="AH1600" s="563"/>
      <c r="AI1600" s="563"/>
      <c r="AJ1600" s="563"/>
    </row>
    <row r="1601" spans="2:36" hidden="1" outlineLevel="1" x14ac:dyDescent="0.2">
      <c r="C1601" s="60"/>
      <c r="E1601" s="21"/>
      <c r="F1601" s="21"/>
      <c r="I1601" s="21"/>
      <c r="J1601" s="21"/>
      <c r="K1601" s="21"/>
      <c r="L1601" s="21"/>
      <c r="M1601" s="21"/>
      <c r="N1601" s="21"/>
      <c r="O1601" s="21"/>
      <c r="P1601" s="21"/>
      <c r="Q1601" s="21"/>
      <c r="R1601" s="21"/>
      <c r="S1601" s="21"/>
      <c r="T1601" s="21"/>
      <c r="U1601" s="21"/>
      <c r="V1601" s="21"/>
      <c r="W1601" s="563"/>
      <c r="X1601" s="563"/>
      <c r="Y1601" s="563"/>
      <c r="Z1601" s="563"/>
      <c r="AA1601" s="563"/>
      <c r="AB1601" s="563"/>
      <c r="AC1601" s="563"/>
      <c r="AD1601" s="563"/>
      <c r="AE1601" s="563"/>
      <c r="AF1601" s="563"/>
      <c r="AG1601" s="563"/>
      <c r="AH1601" s="563"/>
      <c r="AI1601" s="563"/>
      <c r="AJ1601" s="563"/>
    </row>
    <row r="1602" spans="2:36" hidden="1" outlineLevel="1" x14ac:dyDescent="0.2">
      <c r="C1602" s="60"/>
      <c r="E1602" s="21"/>
      <c r="F1602" s="21"/>
      <c r="I1602" s="21"/>
      <c r="J1602" s="21"/>
      <c r="K1602" s="21"/>
      <c r="L1602" s="21"/>
      <c r="M1602" s="21"/>
      <c r="N1602" s="21"/>
      <c r="O1602" s="21"/>
      <c r="P1602" s="21"/>
      <c r="Q1602" s="21"/>
      <c r="R1602" s="21"/>
      <c r="S1602" s="21"/>
      <c r="T1602" s="21"/>
      <c r="U1602" s="21"/>
      <c r="V1602" s="21"/>
      <c r="W1602" s="563"/>
      <c r="X1602" s="563"/>
      <c r="Y1602" s="563"/>
      <c r="Z1602" s="563"/>
      <c r="AA1602" s="563"/>
      <c r="AB1602" s="563"/>
      <c r="AC1602" s="563"/>
      <c r="AD1602" s="563"/>
      <c r="AE1602" s="563"/>
      <c r="AF1602" s="563"/>
      <c r="AG1602" s="563"/>
      <c r="AH1602" s="563"/>
      <c r="AI1602" s="563"/>
      <c r="AJ1602" s="563"/>
    </row>
    <row r="1603" spans="2:36" hidden="1" outlineLevel="1" x14ac:dyDescent="0.2">
      <c r="C1603" s="60"/>
      <c r="E1603" s="21"/>
      <c r="F1603" s="21"/>
      <c r="I1603" s="21"/>
      <c r="J1603" s="21"/>
      <c r="K1603" s="21"/>
      <c r="L1603" s="21"/>
      <c r="M1603" s="21"/>
      <c r="N1603" s="21"/>
      <c r="O1603" s="21"/>
      <c r="P1603" s="21"/>
      <c r="Q1603" s="21"/>
      <c r="R1603" s="21"/>
      <c r="S1603" s="21"/>
      <c r="T1603" s="21"/>
      <c r="U1603" s="21"/>
      <c r="V1603" s="21"/>
      <c r="W1603" s="563"/>
      <c r="X1603" s="563"/>
      <c r="Y1603" s="563"/>
      <c r="Z1603" s="563"/>
      <c r="AA1603" s="563"/>
      <c r="AB1603" s="563"/>
      <c r="AC1603" s="563"/>
      <c r="AD1603" s="563"/>
      <c r="AE1603" s="563"/>
      <c r="AF1603" s="563"/>
      <c r="AG1603" s="563"/>
      <c r="AH1603" s="563"/>
      <c r="AI1603" s="563"/>
      <c r="AJ1603" s="563"/>
    </row>
    <row r="1604" spans="2:36" hidden="1" outlineLevel="1" x14ac:dyDescent="0.2">
      <c r="C1604" s="60"/>
      <c r="E1604" s="21"/>
      <c r="F1604" s="21"/>
      <c r="I1604" s="21"/>
      <c r="J1604" s="21"/>
      <c r="K1604" s="21"/>
      <c r="L1604" s="21"/>
      <c r="M1604" s="21"/>
      <c r="N1604" s="21"/>
      <c r="O1604" s="21"/>
      <c r="P1604" s="21"/>
      <c r="Q1604" s="21"/>
      <c r="R1604" s="21"/>
      <c r="S1604" s="21"/>
      <c r="T1604" s="21"/>
      <c r="U1604" s="21"/>
      <c r="V1604" s="21"/>
      <c r="W1604" s="563"/>
      <c r="X1604" s="563"/>
      <c r="Y1604" s="563"/>
      <c r="Z1604" s="563"/>
      <c r="AA1604" s="563"/>
      <c r="AB1604" s="563"/>
      <c r="AC1604" s="563"/>
      <c r="AD1604" s="563"/>
      <c r="AE1604" s="563"/>
      <c r="AF1604" s="563"/>
      <c r="AG1604" s="563"/>
      <c r="AH1604" s="563"/>
      <c r="AI1604" s="563"/>
      <c r="AJ1604" s="563"/>
    </row>
    <row r="1605" spans="2:36" hidden="1" outlineLevel="1" x14ac:dyDescent="0.2">
      <c r="C1605" s="60"/>
      <c r="E1605" s="21"/>
      <c r="F1605" s="21"/>
      <c r="I1605" s="21"/>
      <c r="J1605" s="21"/>
      <c r="K1605" s="21"/>
      <c r="L1605" s="21"/>
      <c r="M1605" s="21"/>
      <c r="N1605" s="21"/>
      <c r="O1605" s="21"/>
      <c r="P1605" s="21"/>
      <c r="Q1605" s="21"/>
      <c r="R1605" s="21"/>
      <c r="S1605" s="21"/>
      <c r="T1605" s="21"/>
      <c r="U1605" s="21"/>
      <c r="V1605" s="21"/>
      <c r="W1605" s="563"/>
      <c r="X1605" s="563"/>
      <c r="Y1605" s="563"/>
      <c r="Z1605" s="563"/>
      <c r="AA1605" s="563"/>
      <c r="AB1605" s="563"/>
      <c r="AC1605" s="563"/>
      <c r="AD1605" s="563"/>
      <c r="AE1605" s="563"/>
      <c r="AF1605" s="563"/>
      <c r="AG1605" s="563"/>
      <c r="AH1605" s="563"/>
      <c r="AI1605" s="563"/>
      <c r="AJ1605" s="563"/>
    </row>
    <row r="1606" spans="2:36" hidden="1" outlineLevel="1" x14ac:dyDescent="0.2">
      <c r="C1606" s="60"/>
      <c r="E1606" s="21"/>
      <c r="F1606" s="21"/>
      <c r="I1606" s="21"/>
      <c r="J1606" s="21"/>
      <c r="K1606" s="21"/>
      <c r="L1606" s="21"/>
      <c r="M1606" s="21"/>
      <c r="N1606" s="21"/>
      <c r="O1606" s="21"/>
      <c r="P1606" s="21"/>
      <c r="Q1606" s="21"/>
      <c r="R1606" s="21"/>
      <c r="S1606" s="21"/>
      <c r="T1606" s="21"/>
      <c r="U1606" s="21"/>
      <c r="V1606" s="21"/>
      <c r="W1606" s="563"/>
      <c r="X1606" s="563"/>
      <c r="Y1606" s="563"/>
      <c r="Z1606" s="563"/>
      <c r="AA1606" s="563"/>
      <c r="AB1606" s="563"/>
      <c r="AC1606" s="563"/>
      <c r="AD1606" s="563"/>
      <c r="AE1606" s="563"/>
      <c r="AF1606" s="563"/>
      <c r="AG1606" s="563"/>
      <c r="AH1606" s="563"/>
      <c r="AI1606" s="563"/>
      <c r="AJ1606" s="563"/>
    </row>
    <row r="1607" spans="2:36" hidden="1" outlineLevel="1" x14ac:dyDescent="0.2">
      <c r="C1607" s="60"/>
      <c r="E1607" s="21"/>
      <c r="F1607" s="21"/>
      <c r="I1607" s="21"/>
      <c r="J1607" s="21"/>
      <c r="K1607" s="21"/>
      <c r="L1607" s="21"/>
      <c r="M1607" s="21"/>
      <c r="N1607" s="21"/>
      <c r="O1607" s="21"/>
      <c r="P1607" s="21"/>
      <c r="Q1607" s="21"/>
      <c r="R1607" s="21"/>
      <c r="S1607" s="21"/>
      <c r="T1607" s="21"/>
      <c r="U1607" s="21"/>
      <c r="V1607" s="21"/>
      <c r="W1607" s="563"/>
      <c r="X1607" s="563"/>
      <c r="Y1607" s="563"/>
      <c r="Z1607" s="563"/>
      <c r="AA1607" s="563"/>
      <c r="AB1607" s="563"/>
      <c r="AC1607" s="563"/>
      <c r="AD1607" s="563"/>
      <c r="AE1607" s="563"/>
      <c r="AF1607" s="563"/>
      <c r="AG1607" s="563"/>
      <c r="AH1607" s="563"/>
      <c r="AI1607" s="563"/>
      <c r="AJ1607" s="563"/>
    </row>
    <row r="1608" spans="2:36" hidden="1" outlineLevel="1" x14ac:dyDescent="0.2">
      <c r="C1608" s="60"/>
      <c r="E1608" s="21"/>
      <c r="F1608" s="21"/>
      <c r="I1608" s="21"/>
      <c r="J1608" s="21"/>
      <c r="K1608" s="21"/>
      <c r="L1608" s="21"/>
      <c r="M1608" s="21"/>
      <c r="N1608" s="21"/>
      <c r="O1608" s="21"/>
      <c r="P1608" s="21"/>
      <c r="Q1608" s="21"/>
      <c r="R1608" s="21"/>
      <c r="S1608" s="21"/>
      <c r="T1608" s="21"/>
      <c r="U1608" s="21"/>
      <c r="V1608" s="21"/>
      <c r="W1608" s="563"/>
      <c r="X1608" s="563"/>
      <c r="Y1608" s="563"/>
      <c r="Z1608" s="563"/>
      <c r="AA1608" s="563"/>
      <c r="AB1608" s="563"/>
      <c r="AC1608" s="563"/>
      <c r="AD1608" s="563"/>
      <c r="AE1608" s="563"/>
      <c r="AF1608" s="563"/>
      <c r="AG1608" s="563"/>
      <c r="AH1608" s="563"/>
      <c r="AI1608" s="563"/>
      <c r="AJ1608" s="563"/>
    </row>
    <row r="1609" spans="2:36" hidden="1" outlineLevel="1" x14ac:dyDescent="0.2">
      <c r="C1609" s="60"/>
      <c r="E1609" s="21"/>
      <c r="F1609" s="21"/>
      <c r="I1609" s="21"/>
      <c r="J1609" s="21"/>
      <c r="K1609" s="21"/>
      <c r="L1609" s="21"/>
      <c r="M1609" s="21"/>
      <c r="N1609" s="21"/>
      <c r="O1609" s="21"/>
      <c r="P1609" s="21"/>
      <c r="Q1609" s="21"/>
      <c r="R1609" s="21"/>
      <c r="S1609" s="21"/>
      <c r="T1609" s="21"/>
      <c r="U1609" s="21"/>
      <c r="V1609" s="21"/>
      <c r="W1609" s="563"/>
      <c r="X1609" s="563"/>
      <c r="Y1609" s="563"/>
      <c r="Z1609" s="563"/>
      <c r="AA1609" s="563"/>
      <c r="AB1609" s="563"/>
      <c r="AC1609" s="563"/>
      <c r="AD1609" s="563"/>
      <c r="AE1609" s="563"/>
      <c r="AF1609" s="563"/>
      <c r="AG1609" s="563"/>
      <c r="AH1609" s="563"/>
      <c r="AI1609" s="563"/>
      <c r="AJ1609" s="563"/>
    </row>
    <row r="1610" spans="2:36" hidden="1" outlineLevel="1" x14ac:dyDescent="0.2">
      <c r="C1610" s="87"/>
      <c r="D1610" s="9"/>
      <c r="E1610" s="44"/>
      <c r="F1610" s="44"/>
      <c r="G1610" s="9"/>
      <c r="H1610" s="9"/>
      <c r="I1610" s="541"/>
      <c r="J1610" s="541"/>
      <c r="K1610" s="541"/>
      <c r="L1610" s="541"/>
      <c r="M1610" s="541"/>
      <c r="N1610" s="541"/>
      <c r="O1610" s="541"/>
      <c r="P1610" s="541"/>
      <c r="Q1610" s="541"/>
      <c r="R1610" s="541"/>
      <c r="S1610" s="541"/>
      <c r="T1610" s="541"/>
      <c r="U1610" s="541"/>
      <c r="V1610" s="541"/>
      <c r="W1610" s="580"/>
      <c r="X1610" s="580"/>
      <c r="Y1610" s="580"/>
      <c r="Z1610" s="580"/>
      <c r="AA1610" s="580"/>
      <c r="AB1610" s="580"/>
      <c r="AC1610" s="580"/>
      <c r="AD1610" s="580"/>
      <c r="AE1610" s="580"/>
      <c r="AF1610" s="580"/>
      <c r="AG1610" s="580"/>
      <c r="AH1610" s="580"/>
      <c r="AI1610" s="580"/>
      <c r="AJ1610" s="580"/>
    </row>
    <row r="1611" spans="2:36" collapsed="1" x14ac:dyDescent="0.2"/>
    <row r="1612" spans="2:36" x14ac:dyDescent="0.2">
      <c r="C1612" s="79"/>
      <c r="D1612" s="79"/>
      <c r="E1612" s="79"/>
      <c r="F1612" s="79"/>
      <c r="G1612" s="80"/>
      <c r="H1612" s="79"/>
      <c r="I1612" s="80"/>
      <c r="J1612" s="80"/>
      <c r="K1612" s="80"/>
      <c r="L1612" s="80"/>
      <c r="M1612" s="80"/>
      <c r="N1612" s="80"/>
      <c r="O1612" s="80"/>
      <c r="P1612" s="80"/>
      <c r="Q1612" s="80"/>
      <c r="R1612" s="80"/>
      <c r="S1612" s="80"/>
      <c r="T1612" s="80"/>
      <c r="U1612" s="80"/>
      <c r="V1612" s="80"/>
      <c r="W1612" s="568"/>
      <c r="X1612" s="568"/>
      <c r="Y1612" s="568"/>
      <c r="Z1612" s="568"/>
      <c r="AA1612" s="568"/>
      <c r="AB1612" s="568"/>
      <c r="AC1612" s="568"/>
      <c r="AD1612" s="568"/>
      <c r="AE1612" s="568"/>
      <c r="AF1612" s="568"/>
      <c r="AG1612" s="568"/>
      <c r="AH1612" s="568"/>
      <c r="AI1612" s="568"/>
      <c r="AJ1612" s="568"/>
    </row>
    <row r="1614" spans="2:36" x14ac:dyDescent="0.2">
      <c r="B1614" s="10">
        <f>B1519+0.1</f>
        <v>14.499999999999998</v>
      </c>
      <c r="C1614" s="9" t="s">
        <v>757</v>
      </c>
    </row>
    <row r="1616" spans="2:36" x14ac:dyDescent="0.2">
      <c r="C1616" s="1" t="s">
        <v>758</v>
      </c>
      <c r="F1616" s="1" t="s">
        <v>55</v>
      </c>
      <c r="G1616" s="21">
        <f>SUM(I1616:AE1616)</f>
        <v>465.57598916478941</v>
      </c>
      <c r="I1616" s="21">
        <f t="shared" ref="I1616:V1616" si="938">IF($D$873=1,I873,I1616)</f>
        <v>0</v>
      </c>
      <c r="J1616" s="21">
        <f t="shared" si="938"/>
        <v>0</v>
      </c>
      <c r="K1616" s="21">
        <f t="shared" si="938"/>
        <v>0</v>
      </c>
      <c r="L1616" s="21">
        <f t="shared" si="938"/>
        <v>46.557598916478945</v>
      </c>
      <c r="M1616" s="21">
        <f t="shared" si="938"/>
        <v>58.196998645598669</v>
      </c>
      <c r="N1616" s="21">
        <f t="shared" si="938"/>
        <v>69.836398374718414</v>
      </c>
      <c r="O1616" s="21">
        <f t="shared" si="938"/>
        <v>69.836398374718414</v>
      </c>
      <c r="P1616" s="21">
        <f t="shared" si="938"/>
        <v>69.836398374718414</v>
      </c>
      <c r="Q1616" s="21">
        <f t="shared" si="938"/>
        <v>69.836398374718414</v>
      </c>
      <c r="R1616" s="21">
        <f t="shared" si="938"/>
        <v>58.196998645598669</v>
      </c>
      <c r="S1616" s="21">
        <f t="shared" si="938"/>
        <v>23.278799458239472</v>
      </c>
      <c r="T1616" s="21">
        <f t="shared" si="938"/>
        <v>0</v>
      </c>
      <c r="U1616" s="21">
        <f t="shared" si="938"/>
        <v>0</v>
      </c>
      <c r="V1616" s="21">
        <f t="shared" si="938"/>
        <v>0</v>
      </c>
      <c r="W1616" s="563"/>
      <c r="X1616" s="563"/>
      <c r="Y1616" s="563"/>
      <c r="Z1616" s="563"/>
      <c r="AA1616" s="563"/>
      <c r="AB1616" s="563"/>
      <c r="AC1616" s="563"/>
      <c r="AD1616" s="563"/>
      <c r="AE1616" s="563"/>
    </row>
    <row r="1617" spans="2:31" x14ac:dyDescent="0.2">
      <c r="C1617" s="1" t="s">
        <v>759</v>
      </c>
      <c r="F1617" s="1" t="s">
        <v>55</v>
      </c>
      <c r="G1617" s="21">
        <f>SUM(I1617:AE1617)</f>
        <v>465.57598916478941</v>
      </c>
      <c r="I1617" s="21">
        <f t="shared" ref="I1617:V1617" si="939">I873</f>
        <v>0</v>
      </c>
      <c r="J1617" s="21">
        <f t="shared" si="939"/>
        <v>0</v>
      </c>
      <c r="K1617" s="21">
        <f t="shared" si="939"/>
        <v>0</v>
      </c>
      <c r="L1617" s="21">
        <f t="shared" si="939"/>
        <v>46.557598916478945</v>
      </c>
      <c r="M1617" s="21">
        <f t="shared" si="939"/>
        <v>58.196998645598669</v>
      </c>
      <c r="N1617" s="21">
        <f t="shared" si="939"/>
        <v>69.836398374718414</v>
      </c>
      <c r="O1617" s="21">
        <f t="shared" si="939"/>
        <v>69.836398374718414</v>
      </c>
      <c r="P1617" s="21">
        <f t="shared" si="939"/>
        <v>69.836398374718414</v>
      </c>
      <c r="Q1617" s="21">
        <f t="shared" si="939"/>
        <v>69.836398374718414</v>
      </c>
      <c r="R1617" s="21">
        <f t="shared" si="939"/>
        <v>58.196998645598669</v>
      </c>
      <c r="S1617" s="21">
        <f t="shared" si="939"/>
        <v>23.278799458239472</v>
      </c>
      <c r="T1617" s="21">
        <f t="shared" si="939"/>
        <v>0</v>
      </c>
      <c r="U1617" s="21">
        <f t="shared" si="939"/>
        <v>0</v>
      </c>
      <c r="V1617" s="21">
        <f t="shared" si="939"/>
        <v>0</v>
      </c>
      <c r="W1617" s="563"/>
      <c r="X1617" s="563"/>
      <c r="Y1617" s="563"/>
      <c r="Z1617" s="563"/>
      <c r="AA1617" s="563"/>
      <c r="AB1617" s="563"/>
      <c r="AC1617" s="563"/>
      <c r="AD1617" s="563"/>
      <c r="AE1617" s="563"/>
    </row>
    <row r="1618" spans="2:31" x14ac:dyDescent="0.2">
      <c r="C1618" s="1" t="s">
        <v>760</v>
      </c>
      <c r="F1618" s="1" t="s">
        <v>55</v>
      </c>
      <c r="G1618" s="21">
        <f>SUM(I1618:AE1618)</f>
        <v>0</v>
      </c>
      <c r="I1618" s="21">
        <f>I1617-I1616</f>
        <v>0</v>
      </c>
      <c r="J1618" s="21">
        <f t="shared" ref="J1618:V1618" si="940">J1617-J1616</f>
        <v>0</v>
      </c>
      <c r="K1618" s="21">
        <f t="shared" si="940"/>
        <v>0</v>
      </c>
      <c r="L1618" s="21">
        <f t="shared" si="940"/>
        <v>0</v>
      </c>
      <c r="M1618" s="21">
        <f t="shared" si="940"/>
        <v>0</v>
      </c>
      <c r="N1618" s="21">
        <f t="shared" si="940"/>
        <v>0</v>
      </c>
      <c r="O1618" s="21">
        <f t="shared" si="940"/>
        <v>0</v>
      </c>
      <c r="P1618" s="21">
        <f t="shared" si="940"/>
        <v>0</v>
      </c>
      <c r="Q1618" s="21">
        <f t="shared" si="940"/>
        <v>0</v>
      </c>
      <c r="R1618" s="21">
        <f t="shared" si="940"/>
        <v>0</v>
      </c>
      <c r="S1618" s="21">
        <f t="shared" si="940"/>
        <v>0</v>
      </c>
      <c r="T1618" s="21">
        <f t="shared" si="940"/>
        <v>0</v>
      </c>
      <c r="U1618" s="21">
        <f t="shared" si="940"/>
        <v>0</v>
      </c>
      <c r="V1618" s="21">
        <f t="shared" si="940"/>
        <v>0</v>
      </c>
      <c r="W1618" s="563"/>
      <c r="X1618" s="563"/>
      <c r="Y1618" s="563"/>
      <c r="Z1618" s="563"/>
      <c r="AA1618" s="563"/>
      <c r="AB1618" s="563"/>
      <c r="AC1618" s="563"/>
      <c r="AD1618" s="563"/>
      <c r="AE1618" s="563"/>
    </row>
    <row r="1621" spans="2:31" x14ac:dyDescent="0.2">
      <c r="B1621" s="24">
        <f>B1614+0.01</f>
        <v>14.509999999999998</v>
      </c>
      <c r="C1621" s="9" t="s">
        <v>763</v>
      </c>
    </row>
    <row r="1622" spans="2:31" x14ac:dyDescent="0.2">
      <c r="C1622" s="1" t="s">
        <v>764</v>
      </c>
      <c r="E1622" s="517">
        <f>'Plant model'!E1622</f>
        <v>0.05</v>
      </c>
      <c r="F1622" s="1" t="s">
        <v>55</v>
      </c>
    </row>
    <row r="1623" spans="2:31" x14ac:dyDescent="0.2">
      <c r="C1623" s="1" t="s">
        <v>765</v>
      </c>
      <c r="E1623" s="453">
        <f>E1622*G1616</f>
        <v>23.278799458239472</v>
      </c>
      <c r="F1623" s="1" t="s">
        <v>55</v>
      </c>
    </row>
    <row r="1624" spans="2:31" x14ac:dyDescent="0.2">
      <c r="E1624" s="455"/>
    </row>
    <row r="1625" spans="2:31" x14ac:dyDescent="0.2">
      <c r="C1625" s="63" t="s">
        <v>766</v>
      </c>
      <c r="E1625" s="455"/>
    </row>
    <row r="1626" spans="2:31" x14ac:dyDescent="0.2">
      <c r="C1626" s="1" t="s">
        <v>230</v>
      </c>
      <c r="E1626" s="454">
        <f>IFERROR(E1630/E1632,0)</f>
        <v>0</v>
      </c>
      <c r="F1626" s="1" t="s">
        <v>8</v>
      </c>
      <c r="I1626" s="21"/>
    </row>
    <row r="1627" spans="2:31" x14ac:dyDescent="0.2">
      <c r="C1627" s="1" t="s">
        <v>295</v>
      </c>
      <c r="E1627" s="454">
        <f>IFERROR(E1631/E1632,0)</f>
        <v>0</v>
      </c>
      <c r="F1627" s="1" t="s">
        <v>8</v>
      </c>
    </row>
    <row r="1629" spans="2:31" x14ac:dyDescent="0.2">
      <c r="C1629" s="63" t="s">
        <v>762</v>
      </c>
    </row>
    <row r="1630" spans="2:31" x14ac:dyDescent="0.2">
      <c r="C1630" s="1" t="s">
        <v>230</v>
      </c>
      <c r="E1630" s="453">
        <f>MAX(MIN(E1623,G1618*G1782),0)</f>
        <v>0</v>
      </c>
      <c r="F1630" s="1" t="s">
        <v>55</v>
      </c>
    </row>
    <row r="1631" spans="2:31" x14ac:dyDescent="0.2">
      <c r="C1631" s="1" t="s">
        <v>295</v>
      </c>
      <c r="E1631" s="453">
        <f>MAX(G1618-E1630,0)</f>
        <v>0</v>
      </c>
      <c r="F1631" s="1" t="s">
        <v>55</v>
      </c>
    </row>
    <row r="1632" spans="2:31" x14ac:dyDescent="0.2">
      <c r="C1632" s="1" t="s">
        <v>45</v>
      </c>
      <c r="E1632" s="456">
        <f>SUM(E1630:E1631)</f>
        <v>0</v>
      </c>
      <c r="F1632" s="1" t="s">
        <v>55</v>
      </c>
    </row>
    <row r="1634" spans="2:31" x14ac:dyDescent="0.2">
      <c r="B1634" s="24">
        <f>B1621+0.01</f>
        <v>14.519999999999998</v>
      </c>
      <c r="C1634" s="9" t="s">
        <v>767</v>
      </c>
    </row>
    <row r="1635" spans="2:31" x14ac:dyDescent="0.2">
      <c r="C1635" s="1" t="s">
        <v>191</v>
      </c>
      <c r="E1635" s="453">
        <f>E1525</f>
        <v>44</v>
      </c>
    </row>
    <row r="1636" spans="2:31" x14ac:dyDescent="0.2">
      <c r="C1636" s="1" t="s">
        <v>188</v>
      </c>
      <c r="E1636" s="122">
        <f>E1528</f>
        <v>38</v>
      </c>
      <c r="F1636" s="1" t="s">
        <v>924</v>
      </c>
      <c r="I1636" s="21">
        <f t="shared" ref="I1636:V1636" si="941">I1528</f>
        <v>0</v>
      </c>
      <c r="J1636" s="21">
        <f t="shared" si="941"/>
        <v>0</v>
      </c>
      <c r="K1636" s="21">
        <f t="shared" si="941"/>
        <v>0</v>
      </c>
      <c r="L1636" s="21">
        <f t="shared" si="941"/>
        <v>0</v>
      </c>
      <c r="M1636" s="21">
        <f t="shared" si="941"/>
        <v>0</v>
      </c>
      <c r="N1636" s="21">
        <f t="shared" si="941"/>
        <v>0</v>
      </c>
      <c r="O1636" s="21">
        <f t="shared" si="941"/>
        <v>0</v>
      </c>
      <c r="P1636" s="21">
        <f t="shared" si="941"/>
        <v>0</v>
      </c>
      <c r="Q1636" s="21">
        <f t="shared" si="941"/>
        <v>0</v>
      </c>
      <c r="R1636" s="21">
        <f t="shared" si="941"/>
        <v>0</v>
      </c>
      <c r="S1636" s="21">
        <f t="shared" si="941"/>
        <v>1</v>
      </c>
      <c r="T1636" s="21">
        <f t="shared" si="941"/>
        <v>1</v>
      </c>
      <c r="U1636" s="21">
        <f t="shared" si="941"/>
        <v>1</v>
      </c>
      <c r="V1636" s="21">
        <f t="shared" si="941"/>
        <v>1</v>
      </c>
      <c r="W1636" s="563"/>
      <c r="X1636" s="563"/>
      <c r="Y1636" s="563"/>
      <c r="Z1636" s="563"/>
      <c r="AA1636" s="563"/>
      <c r="AB1636" s="563"/>
      <c r="AC1636" s="563"/>
      <c r="AD1636" s="563"/>
      <c r="AE1636" s="563"/>
    </row>
    <row r="1637" spans="2:31" x14ac:dyDescent="0.2">
      <c r="C1637" s="63"/>
    </row>
    <row r="1638" spans="2:31" x14ac:dyDescent="0.2">
      <c r="C1638" s="1" t="s">
        <v>125</v>
      </c>
      <c r="F1638" s="1" t="s">
        <v>55</v>
      </c>
      <c r="I1638" s="106">
        <v>0</v>
      </c>
      <c r="J1638" s="21">
        <f>I1641</f>
        <v>0</v>
      </c>
      <c r="K1638" s="21">
        <f t="shared" ref="K1638:V1638" si="942">J1641</f>
        <v>0</v>
      </c>
      <c r="L1638" s="21">
        <f t="shared" si="942"/>
        <v>0</v>
      </c>
      <c r="M1638" s="21">
        <f t="shared" si="942"/>
        <v>0</v>
      </c>
      <c r="N1638" s="21">
        <f t="shared" si="942"/>
        <v>0</v>
      </c>
      <c r="O1638" s="21">
        <f t="shared" si="942"/>
        <v>0</v>
      </c>
      <c r="P1638" s="21">
        <f t="shared" si="942"/>
        <v>0</v>
      </c>
      <c r="Q1638" s="21">
        <f t="shared" si="942"/>
        <v>0</v>
      </c>
      <c r="R1638" s="21">
        <f t="shared" si="942"/>
        <v>0</v>
      </c>
      <c r="S1638" s="21">
        <f t="shared" si="942"/>
        <v>0</v>
      </c>
      <c r="T1638" s="21">
        <f t="shared" si="942"/>
        <v>0</v>
      </c>
      <c r="U1638" s="21">
        <f t="shared" si="942"/>
        <v>0</v>
      </c>
      <c r="V1638" s="21">
        <f t="shared" si="942"/>
        <v>0</v>
      </c>
      <c r="W1638" s="563"/>
      <c r="X1638" s="563"/>
      <c r="Y1638" s="563"/>
      <c r="Z1638" s="563"/>
      <c r="AA1638" s="563"/>
      <c r="AB1638" s="563"/>
      <c r="AC1638" s="563"/>
      <c r="AD1638" s="563"/>
      <c r="AE1638" s="563"/>
    </row>
    <row r="1639" spans="2:31" x14ac:dyDescent="0.2">
      <c r="C1639" s="1" t="s">
        <v>207</v>
      </c>
      <c r="F1639" s="1" t="s">
        <v>55</v>
      </c>
      <c r="G1639" s="21">
        <f>SUM(I1639:AE1639)</f>
        <v>0</v>
      </c>
      <c r="I1639" s="21">
        <f>MIN(I1618*$E$1626,$E$1630-I1638)*(I1636=0)*I1524</f>
        <v>0</v>
      </c>
      <c r="J1639" s="21">
        <f t="shared" ref="J1639:V1639" si="943">MIN(J1618*$E$1626,$E$1630-J1638)*(J1636=0)*J1524</f>
        <v>0</v>
      </c>
      <c r="K1639" s="21">
        <f t="shared" si="943"/>
        <v>0</v>
      </c>
      <c r="L1639" s="21">
        <f t="shared" si="943"/>
        <v>0</v>
      </c>
      <c r="M1639" s="21">
        <f t="shared" si="943"/>
        <v>0</v>
      </c>
      <c r="N1639" s="21">
        <f t="shared" si="943"/>
        <v>0</v>
      </c>
      <c r="O1639" s="21">
        <f t="shared" si="943"/>
        <v>0</v>
      </c>
      <c r="P1639" s="21">
        <f t="shared" si="943"/>
        <v>0</v>
      </c>
      <c r="Q1639" s="21">
        <f t="shared" si="943"/>
        <v>0</v>
      </c>
      <c r="R1639" s="21">
        <f t="shared" si="943"/>
        <v>0</v>
      </c>
      <c r="S1639" s="21">
        <f t="shared" si="943"/>
        <v>0</v>
      </c>
      <c r="T1639" s="21">
        <f t="shared" si="943"/>
        <v>0</v>
      </c>
      <c r="U1639" s="21">
        <f t="shared" si="943"/>
        <v>0</v>
      </c>
      <c r="V1639" s="21">
        <f t="shared" si="943"/>
        <v>0</v>
      </c>
      <c r="W1639" s="563"/>
      <c r="X1639" s="563"/>
      <c r="Y1639" s="563"/>
      <c r="Z1639" s="563"/>
      <c r="AA1639" s="563"/>
      <c r="AB1639" s="563"/>
      <c r="AC1639" s="563"/>
      <c r="AD1639" s="563"/>
      <c r="AE1639" s="563"/>
    </row>
    <row r="1640" spans="2:31" x14ac:dyDescent="0.2">
      <c r="C1640" s="1" t="s">
        <v>208</v>
      </c>
      <c r="F1640" s="1" t="s">
        <v>55</v>
      </c>
      <c r="G1640" s="21">
        <f>SUM(I1640:AE1640)</f>
        <v>0</v>
      </c>
      <c r="I1640" s="21">
        <f t="shared" ref="I1640:V1640" si="944">-$E$1630/$E$1636*I1636</f>
        <v>0</v>
      </c>
      <c r="J1640" s="21">
        <f t="shared" si="944"/>
        <v>0</v>
      </c>
      <c r="K1640" s="21">
        <f t="shared" si="944"/>
        <v>0</v>
      </c>
      <c r="L1640" s="21">
        <f t="shared" si="944"/>
        <v>0</v>
      </c>
      <c r="M1640" s="21">
        <f t="shared" si="944"/>
        <v>0</v>
      </c>
      <c r="N1640" s="21">
        <f t="shared" si="944"/>
        <v>0</v>
      </c>
      <c r="O1640" s="21">
        <f t="shared" si="944"/>
        <v>0</v>
      </c>
      <c r="P1640" s="21">
        <f t="shared" si="944"/>
        <v>0</v>
      </c>
      <c r="Q1640" s="21">
        <f t="shared" si="944"/>
        <v>0</v>
      </c>
      <c r="R1640" s="21">
        <f t="shared" si="944"/>
        <v>0</v>
      </c>
      <c r="S1640" s="21">
        <f t="shared" si="944"/>
        <v>0</v>
      </c>
      <c r="T1640" s="21">
        <f t="shared" si="944"/>
        <v>0</v>
      </c>
      <c r="U1640" s="21">
        <f t="shared" si="944"/>
        <v>0</v>
      </c>
      <c r="V1640" s="21">
        <f t="shared" si="944"/>
        <v>0</v>
      </c>
      <c r="W1640" s="563"/>
      <c r="X1640" s="563"/>
      <c r="Y1640" s="563"/>
      <c r="Z1640" s="563"/>
      <c r="AA1640" s="563"/>
      <c r="AB1640" s="563"/>
      <c r="AC1640" s="563"/>
      <c r="AD1640" s="563"/>
      <c r="AE1640" s="563"/>
    </row>
    <row r="1641" spans="2:31" x14ac:dyDescent="0.2">
      <c r="C1641" s="1" t="s">
        <v>127</v>
      </c>
      <c r="F1641" s="1" t="s">
        <v>55</v>
      </c>
      <c r="I1641" s="21">
        <f>SUM(I1638:I1640)</f>
        <v>0</v>
      </c>
      <c r="J1641" s="21">
        <f t="shared" ref="J1641:V1641" si="945">SUM(J1638:J1640)</f>
        <v>0</v>
      </c>
      <c r="K1641" s="21">
        <f t="shared" si="945"/>
        <v>0</v>
      </c>
      <c r="L1641" s="21">
        <f t="shared" si="945"/>
        <v>0</v>
      </c>
      <c r="M1641" s="21">
        <f t="shared" si="945"/>
        <v>0</v>
      </c>
      <c r="N1641" s="21">
        <f t="shared" si="945"/>
        <v>0</v>
      </c>
      <c r="O1641" s="21">
        <f t="shared" si="945"/>
        <v>0</v>
      </c>
      <c r="P1641" s="21">
        <f t="shared" si="945"/>
        <v>0</v>
      </c>
      <c r="Q1641" s="21">
        <f t="shared" si="945"/>
        <v>0</v>
      </c>
      <c r="R1641" s="21">
        <f t="shared" si="945"/>
        <v>0</v>
      </c>
      <c r="S1641" s="21">
        <f t="shared" si="945"/>
        <v>0</v>
      </c>
      <c r="T1641" s="21">
        <f t="shared" si="945"/>
        <v>0</v>
      </c>
      <c r="U1641" s="21">
        <f t="shared" si="945"/>
        <v>0</v>
      </c>
      <c r="V1641" s="21">
        <f t="shared" si="945"/>
        <v>0</v>
      </c>
      <c r="W1641" s="563"/>
      <c r="X1641" s="563"/>
      <c r="Y1641" s="563"/>
      <c r="Z1641" s="563"/>
      <c r="AA1641" s="563"/>
      <c r="AB1641" s="563"/>
      <c r="AC1641" s="563"/>
      <c r="AD1641" s="563"/>
      <c r="AE1641" s="563"/>
    </row>
    <row r="1643" spans="2:31" x14ac:dyDescent="0.2">
      <c r="C1643" s="1" t="s">
        <v>145</v>
      </c>
      <c r="E1643" s="517">
        <f>(1+'Plant model'!E1643)^(1/4)-1</f>
        <v>1.9426546908273501E-2</v>
      </c>
      <c r="G1643" s="21">
        <f>SUM(I1643:AE1643)</f>
        <v>0</v>
      </c>
      <c r="I1643" s="21">
        <f>$E$1643*AVERAGE(I1638,I1641)</f>
        <v>0</v>
      </c>
      <c r="J1643" s="21">
        <f t="shared" ref="J1643:V1643" si="946">$E$1643*AVERAGE(J1638,J1641)</f>
        <v>0</v>
      </c>
      <c r="K1643" s="21">
        <f t="shared" si="946"/>
        <v>0</v>
      </c>
      <c r="L1643" s="21">
        <f t="shared" si="946"/>
        <v>0</v>
      </c>
      <c r="M1643" s="21">
        <f t="shared" si="946"/>
        <v>0</v>
      </c>
      <c r="N1643" s="21">
        <f t="shared" si="946"/>
        <v>0</v>
      </c>
      <c r="O1643" s="21">
        <f t="shared" si="946"/>
        <v>0</v>
      </c>
      <c r="P1643" s="21">
        <f t="shared" si="946"/>
        <v>0</v>
      </c>
      <c r="Q1643" s="21">
        <f t="shared" si="946"/>
        <v>0</v>
      </c>
      <c r="R1643" s="21">
        <f t="shared" si="946"/>
        <v>0</v>
      </c>
      <c r="S1643" s="21">
        <f t="shared" si="946"/>
        <v>0</v>
      </c>
      <c r="T1643" s="21">
        <f t="shared" si="946"/>
        <v>0</v>
      </c>
      <c r="U1643" s="21">
        <f t="shared" si="946"/>
        <v>0</v>
      </c>
      <c r="V1643" s="21">
        <f t="shared" si="946"/>
        <v>0</v>
      </c>
      <c r="W1643" s="563"/>
      <c r="X1643" s="563"/>
      <c r="Y1643" s="563"/>
      <c r="Z1643" s="563"/>
      <c r="AA1643" s="563"/>
      <c r="AB1643" s="563"/>
      <c r="AC1643" s="563"/>
      <c r="AD1643" s="563"/>
      <c r="AE1643" s="563"/>
    </row>
    <row r="1644" spans="2:31" x14ac:dyDescent="0.2">
      <c r="C1644" s="1" t="s">
        <v>209</v>
      </c>
      <c r="G1644" s="21">
        <f>SUM(I1644:AE1644)</f>
        <v>0</v>
      </c>
      <c r="I1644" s="21">
        <f>I1643*(I1636=0)</f>
        <v>0</v>
      </c>
      <c r="J1644" s="21">
        <f t="shared" ref="J1644:V1644" si="947">J1643*(J1636=0)</f>
        <v>0</v>
      </c>
      <c r="K1644" s="21">
        <f t="shared" si="947"/>
        <v>0</v>
      </c>
      <c r="L1644" s="21">
        <f t="shared" si="947"/>
        <v>0</v>
      </c>
      <c r="M1644" s="21">
        <f t="shared" si="947"/>
        <v>0</v>
      </c>
      <c r="N1644" s="21">
        <f t="shared" si="947"/>
        <v>0</v>
      </c>
      <c r="O1644" s="21">
        <f t="shared" si="947"/>
        <v>0</v>
      </c>
      <c r="P1644" s="21">
        <f t="shared" si="947"/>
        <v>0</v>
      </c>
      <c r="Q1644" s="21">
        <f t="shared" si="947"/>
        <v>0</v>
      </c>
      <c r="R1644" s="21">
        <f t="shared" si="947"/>
        <v>0</v>
      </c>
      <c r="S1644" s="21">
        <f t="shared" si="947"/>
        <v>0</v>
      </c>
      <c r="T1644" s="21">
        <f t="shared" si="947"/>
        <v>0</v>
      </c>
      <c r="U1644" s="21">
        <f t="shared" si="947"/>
        <v>0</v>
      </c>
      <c r="V1644" s="21">
        <f t="shared" si="947"/>
        <v>0</v>
      </c>
      <c r="W1644" s="563"/>
      <c r="X1644" s="563"/>
      <c r="Y1644" s="563"/>
      <c r="Z1644" s="563"/>
      <c r="AA1644" s="563"/>
      <c r="AB1644" s="563"/>
      <c r="AC1644" s="563"/>
      <c r="AD1644" s="563"/>
      <c r="AE1644" s="563"/>
    </row>
    <row r="1646" spans="2:31" x14ac:dyDescent="0.2">
      <c r="C1646" s="1" t="s">
        <v>210</v>
      </c>
      <c r="E1646" s="99">
        <v>0.02</v>
      </c>
      <c r="G1646" s="21">
        <f>SUM(I1646:AE1646)</f>
        <v>0</v>
      </c>
      <c r="I1646" s="52">
        <f>(I1563&gt;0)*($E$1646*$E$1623)</f>
        <v>0</v>
      </c>
      <c r="J1646" s="21">
        <f t="shared" ref="J1646:V1646" si="948">AND(J1638=0,J1641&gt;0)*($E$1646*$E$1630)</f>
        <v>0</v>
      </c>
      <c r="K1646" s="21">
        <f t="shared" si="948"/>
        <v>0</v>
      </c>
      <c r="L1646" s="21">
        <f t="shared" si="948"/>
        <v>0</v>
      </c>
      <c r="M1646" s="21">
        <f t="shared" si="948"/>
        <v>0</v>
      </c>
      <c r="N1646" s="21">
        <f t="shared" si="948"/>
        <v>0</v>
      </c>
      <c r="O1646" s="21">
        <f t="shared" si="948"/>
        <v>0</v>
      </c>
      <c r="P1646" s="21">
        <f t="shared" si="948"/>
        <v>0</v>
      </c>
      <c r="Q1646" s="21">
        <f t="shared" si="948"/>
        <v>0</v>
      </c>
      <c r="R1646" s="21">
        <f t="shared" si="948"/>
        <v>0</v>
      </c>
      <c r="S1646" s="21">
        <f t="shared" si="948"/>
        <v>0</v>
      </c>
      <c r="T1646" s="21">
        <f t="shared" si="948"/>
        <v>0</v>
      </c>
      <c r="U1646" s="21">
        <f t="shared" si="948"/>
        <v>0</v>
      </c>
      <c r="V1646" s="21">
        <f t="shared" si="948"/>
        <v>0</v>
      </c>
      <c r="W1646" s="563"/>
      <c r="X1646" s="563"/>
      <c r="Y1646" s="563"/>
      <c r="Z1646" s="563"/>
      <c r="AA1646" s="563"/>
      <c r="AB1646" s="563"/>
      <c r="AC1646" s="563"/>
      <c r="AD1646" s="563"/>
      <c r="AE1646" s="563"/>
    </row>
    <row r="1648" spans="2:31" x14ac:dyDescent="0.2">
      <c r="C1648" s="1" t="s">
        <v>211</v>
      </c>
    </row>
    <row r="1649" spans="3:31" x14ac:dyDescent="0.2">
      <c r="C1649" s="1" t="s">
        <v>212</v>
      </c>
      <c r="I1649" s="21">
        <f>($E$1623-I1638)*(SUM($I$1636:I1636)=0)</f>
        <v>23.278799458239472</v>
      </c>
      <c r="J1649" s="21">
        <f>($E$1623-J1638)*(SUM($I$1636:J1636)=0)</f>
        <v>23.278799458239472</v>
      </c>
      <c r="K1649" s="21">
        <f>($E$1623-K1638)*(SUM($I$1636:K1636)=0)</f>
        <v>23.278799458239472</v>
      </c>
      <c r="L1649" s="21">
        <f>($E$1623-L1638)*(SUM($I$1636:L1636)=0)</f>
        <v>23.278799458239472</v>
      </c>
      <c r="M1649" s="21">
        <f>($E$1623-M1638)*(SUM($I$1636:M1636)=0)</f>
        <v>23.278799458239472</v>
      </c>
      <c r="N1649" s="21">
        <f>($E$1623-N1638)*(SUM($I$1636:N1636)=0)</f>
        <v>23.278799458239472</v>
      </c>
      <c r="O1649" s="21">
        <f>($E$1623-O1638)*(SUM($I$1636:O1636)=0)</f>
        <v>23.278799458239472</v>
      </c>
      <c r="P1649" s="21">
        <f>($E$1623-P1638)*(SUM($I$1636:P1636)=0)</f>
        <v>23.278799458239472</v>
      </c>
      <c r="Q1649" s="21">
        <f>($E$1623-Q1638)*(SUM($I$1636:Q1636)=0)</f>
        <v>23.278799458239472</v>
      </c>
      <c r="R1649" s="21">
        <f>($E$1623-R1638)*(SUM($I$1636:R1636)=0)</f>
        <v>23.278799458239472</v>
      </c>
      <c r="S1649" s="21">
        <f>($E$1623-S1638)*(SUM($I$1636:S1636)=0)</f>
        <v>0</v>
      </c>
      <c r="T1649" s="21">
        <f>($E$1623-T1638)*(SUM($I$1636:T1636)=0)</f>
        <v>0</v>
      </c>
      <c r="U1649" s="21">
        <f>($E$1623-U1638)*(SUM($I$1636:U1636)=0)</f>
        <v>0</v>
      </c>
      <c r="V1649" s="21">
        <f>($E$1623-V1638)*(SUM($I$1636:V1636)=0)</f>
        <v>0</v>
      </c>
      <c r="W1649" s="563"/>
      <c r="X1649" s="563"/>
      <c r="Y1649" s="563"/>
      <c r="Z1649" s="563"/>
      <c r="AA1649" s="563"/>
      <c r="AB1649" s="563"/>
      <c r="AC1649" s="563"/>
      <c r="AD1649" s="563"/>
      <c r="AE1649" s="563"/>
    </row>
    <row r="1650" spans="3:31" x14ac:dyDescent="0.2">
      <c r="C1650" s="1" t="s">
        <v>213</v>
      </c>
      <c r="I1650" s="21">
        <f>-I1639</f>
        <v>0</v>
      </c>
      <c r="J1650" s="21">
        <f t="shared" ref="J1650:V1650" si="949">-J1639</f>
        <v>0</v>
      </c>
      <c r="K1650" s="21">
        <f t="shared" si="949"/>
        <v>0</v>
      </c>
      <c r="L1650" s="21">
        <f t="shared" si="949"/>
        <v>0</v>
      </c>
      <c r="M1650" s="21">
        <f t="shared" si="949"/>
        <v>0</v>
      </c>
      <c r="N1650" s="21">
        <f t="shared" si="949"/>
        <v>0</v>
      </c>
      <c r="O1650" s="21">
        <f t="shared" si="949"/>
        <v>0</v>
      </c>
      <c r="P1650" s="21">
        <f t="shared" si="949"/>
        <v>0</v>
      </c>
      <c r="Q1650" s="21">
        <f t="shared" si="949"/>
        <v>0</v>
      </c>
      <c r="R1650" s="21">
        <f t="shared" si="949"/>
        <v>0</v>
      </c>
      <c r="S1650" s="21">
        <f t="shared" si="949"/>
        <v>0</v>
      </c>
      <c r="T1650" s="21">
        <f t="shared" si="949"/>
        <v>0</v>
      </c>
      <c r="U1650" s="21">
        <f t="shared" si="949"/>
        <v>0</v>
      </c>
      <c r="V1650" s="21">
        <f t="shared" si="949"/>
        <v>0</v>
      </c>
      <c r="W1650" s="563"/>
      <c r="X1650" s="563"/>
      <c r="Y1650" s="563"/>
      <c r="Z1650" s="563"/>
      <c r="AA1650" s="563"/>
      <c r="AB1650" s="563"/>
      <c r="AC1650" s="563"/>
      <c r="AD1650" s="563"/>
      <c r="AE1650" s="563"/>
    </row>
    <row r="1651" spans="3:31" x14ac:dyDescent="0.2">
      <c r="C1651" s="1" t="s">
        <v>214</v>
      </c>
      <c r="I1651" s="21">
        <f>SUM(I1649:I1650)</f>
        <v>23.278799458239472</v>
      </c>
      <c r="J1651" s="21">
        <f t="shared" ref="J1651:V1651" si="950">SUM(J1649:J1650)</f>
        <v>23.278799458239472</v>
      </c>
      <c r="K1651" s="21">
        <f t="shared" si="950"/>
        <v>23.278799458239472</v>
      </c>
      <c r="L1651" s="21">
        <f t="shared" si="950"/>
        <v>23.278799458239472</v>
      </c>
      <c r="M1651" s="21">
        <f t="shared" si="950"/>
        <v>23.278799458239472</v>
      </c>
      <c r="N1651" s="21">
        <f t="shared" si="950"/>
        <v>23.278799458239472</v>
      </c>
      <c r="O1651" s="21">
        <f t="shared" si="950"/>
        <v>23.278799458239472</v>
      </c>
      <c r="P1651" s="21">
        <f t="shared" si="950"/>
        <v>23.278799458239472</v>
      </c>
      <c r="Q1651" s="21">
        <f t="shared" si="950"/>
        <v>23.278799458239472</v>
      </c>
      <c r="R1651" s="21">
        <f t="shared" si="950"/>
        <v>23.278799458239472</v>
      </c>
      <c r="S1651" s="21">
        <f t="shared" si="950"/>
        <v>0</v>
      </c>
      <c r="T1651" s="21">
        <f t="shared" si="950"/>
        <v>0</v>
      </c>
      <c r="U1651" s="21">
        <f t="shared" si="950"/>
        <v>0</v>
      </c>
      <c r="V1651" s="21">
        <f t="shared" si="950"/>
        <v>0</v>
      </c>
      <c r="W1651" s="563"/>
      <c r="X1651" s="563"/>
      <c r="Y1651" s="563"/>
      <c r="Z1651" s="563"/>
      <c r="AA1651" s="563"/>
      <c r="AB1651" s="563"/>
      <c r="AC1651" s="563"/>
      <c r="AD1651" s="563"/>
      <c r="AE1651" s="563"/>
    </row>
    <row r="1652" spans="3:31" x14ac:dyDescent="0.2">
      <c r="C1652" s="1" t="s">
        <v>215</v>
      </c>
      <c r="E1652" s="517">
        <f>(1+'Plant model'!E1652)^(1/4)-1</f>
        <v>2.4906793143211203E-3</v>
      </c>
      <c r="G1652" s="21">
        <f>SUM(I1652:AE1652)</f>
        <v>0.57980024272866759</v>
      </c>
      <c r="I1652" s="52">
        <f t="shared" ref="I1652:V1652" si="951">$E$1652*AVERAGE(I1649,I1651)</f>
        <v>5.7980024272866755E-2</v>
      </c>
      <c r="J1652" s="21">
        <f t="shared" si="951"/>
        <v>5.7980024272866755E-2</v>
      </c>
      <c r="K1652" s="21">
        <f t="shared" si="951"/>
        <v>5.7980024272866755E-2</v>
      </c>
      <c r="L1652" s="21">
        <f t="shared" si="951"/>
        <v>5.7980024272866755E-2</v>
      </c>
      <c r="M1652" s="21">
        <f t="shared" si="951"/>
        <v>5.7980024272866755E-2</v>
      </c>
      <c r="N1652" s="21">
        <f t="shared" si="951"/>
        <v>5.7980024272866755E-2</v>
      </c>
      <c r="O1652" s="21">
        <f t="shared" si="951"/>
        <v>5.7980024272866755E-2</v>
      </c>
      <c r="P1652" s="21">
        <f t="shared" si="951"/>
        <v>5.7980024272866755E-2</v>
      </c>
      <c r="Q1652" s="21">
        <f t="shared" si="951"/>
        <v>5.7980024272866755E-2</v>
      </c>
      <c r="R1652" s="21">
        <f t="shared" si="951"/>
        <v>5.7980024272866755E-2</v>
      </c>
      <c r="S1652" s="21">
        <f t="shared" si="951"/>
        <v>0</v>
      </c>
      <c r="T1652" s="21">
        <f t="shared" si="951"/>
        <v>0</v>
      </c>
      <c r="U1652" s="21">
        <f t="shared" si="951"/>
        <v>0</v>
      </c>
      <c r="V1652" s="21">
        <f t="shared" si="951"/>
        <v>0</v>
      </c>
      <c r="W1652" s="563"/>
      <c r="X1652" s="563"/>
      <c r="Y1652" s="563"/>
      <c r="Z1652" s="563"/>
      <c r="AA1652" s="563"/>
      <c r="AB1652" s="563"/>
      <c r="AC1652" s="563"/>
      <c r="AD1652" s="563"/>
      <c r="AE1652" s="563"/>
    </row>
    <row r="1654" spans="3:31" x14ac:dyDescent="0.2">
      <c r="C1654" s="1" t="s">
        <v>216</v>
      </c>
      <c r="G1654" s="21">
        <f>SUM(I1654:AE1654)</f>
        <v>0.57980024272866759</v>
      </c>
      <c r="I1654" s="21">
        <f t="shared" ref="I1654:V1654" si="952">I1646+I1652</f>
        <v>5.7980024272866755E-2</v>
      </c>
      <c r="J1654" s="21">
        <f t="shared" si="952"/>
        <v>5.7980024272866755E-2</v>
      </c>
      <c r="K1654" s="21">
        <f t="shared" si="952"/>
        <v>5.7980024272866755E-2</v>
      </c>
      <c r="L1654" s="21">
        <f t="shared" si="952"/>
        <v>5.7980024272866755E-2</v>
      </c>
      <c r="M1654" s="21">
        <f t="shared" si="952"/>
        <v>5.7980024272866755E-2</v>
      </c>
      <c r="N1654" s="21">
        <f t="shared" si="952"/>
        <v>5.7980024272866755E-2</v>
      </c>
      <c r="O1654" s="21">
        <f t="shared" si="952"/>
        <v>5.7980024272866755E-2</v>
      </c>
      <c r="P1654" s="21">
        <f t="shared" si="952"/>
        <v>5.7980024272866755E-2</v>
      </c>
      <c r="Q1654" s="21">
        <f t="shared" si="952"/>
        <v>5.7980024272866755E-2</v>
      </c>
      <c r="R1654" s="21">
        <f t="shared" si="952"/>
        <v>5.7980024272866755E-2</v>
      </c>
      <c r="S1654" s="21">
        <f t="shared" si="952"/>
        <v>0</v>
      </c>
      <c r="T1654" s="21">
        <f t="shared" si="952"/>
        <v>0</v>
      </c>
      <c r="U1654" s="21">
        <f t="shared" si="952"/>
        <v>0</v>
      </c>
      <c r="V1654" s="21">
        <f t="shared" si="952"/>
        <v>0</v>
      </c>
      <c r="W1654" s="563"/>
      <c r="X1654" s="563"/>
      <c r="Y1654" s="563"/>
      <c r="Z1654" s="563"/>
      <c r="AA1654" s="563"/>
      <c r="AB1654" s="563"/>
      <c r="AC1654" s="563"/>
      <c r="AD1654" s="563"/>
      <c r="AE1654" s="563"/>
    </row>
    <row r="1656" spans="3:31" x14ac:dyDescent="0.2">
      <c r="C1656" s="9" t="s">
        <v>217</v>
      </c>
      <c r="D1656" s="9"/>
      <c r="E1656" s="375" t="e">
        <f>IRR(I1656:AE1656)</f>
        <v>#NUM!</v>
      </c>
      <c r="I1656" s="21">
        <f>-I1639-I1640+I1643+I1654</f>
        <v>5.7980024272866755E-2</v>
      </c>
      <c r="J1656" s="21">
        <f t="shared" ref="J1656:V1656" si="953">-J1639-J1640+J1643+J1654</f>
        <v>5.7980024272866755E-2</v>
      </c>
      <c r="K1656" s="21">
        <f t="shared" si="953"/>
        <v>5.7980024272866755E-2</v>
      </c>
      <c r="L1656" s="21">
        <f t="shared" si="953"/>
        <v>5.7980024272866755E-2</v>
      </c>
      <c r="M1656" s="21">
        <f t="shared" si="953"/>
        <v>5.7980024272866755E-2</v>
      </c>
      <c r="N1656" s="21">
        <f t="shared" si="953"/>
        <v>5.7980024272866755E-2</v>
      </c>
      <c r="O1656" s="21">
        <f t="shared" si="953"/>
        <v>5.7980024272866755E-2</v>
      </c>
      <c r="P1656" s="21">
        <f t="shared" si="953"/>
        <v>5.7980024272866755E-2</v>
      </c>
      <c r="Q1656" s="21">
        <f t="shared" si="953"/>
        <v>5.7980024272866755E-2</v>
      </c>
      <c r="R1656" s="21">
        <f t="shared" si="953"/>
        <v>5.7980024272866755E-2</v>
      </c>
      <c r="S1656" s="21">
        <f t="shared" si="953"/>
        <v>0</v>
      </c>
      <c r="T1656" s="21">
        <f t="shared" si="953"/>
        <v>0</v>
      </c>
      <c r="U1656" s="21">
        <f t="shared" si="953"/>
        <v>0</v>
      </c>
      <c r="V1656" s="21">
        <f t="shared" si="953"/>
        <v>0</v>
      </c>
      <c r="W1656" s="563"/>
      <c r="X1656" s="563"/>
      <c r="Y1656" s="563"/>
      <c r="Z1656" s="563"/>
      <c r="AA1656" s="563"/>
      <c r="AB1656" s="563"/>
      <c r="AC1656" s="563"/>
      <c r="AD1656" s="563"/>
      <c r="AE1656" s="563"/>
    </row>
    <row r="1658" spans="3:31" x14ac:dyDescent="0.2">
      <c r="C1658" s="9" t="s">
        <v>218</v>
      </c>
    </row>
    <row r="1659" spans="3:31" x14ac:dyDescent="0.2">
      <c r="C1659" s="1" t="s">
        <v>219</v>
      </c>
      <c r="I1659" s="106">
        <v>0</v>
      </c>
      <c r="J1659" s="21">
        <f>I1662</f>
        <v>5.7980024272866755E-2</v>
      </c>
      <c r="K1659" s="21">
        <f t="shared" ref="K1659:V1659" si="954">J1662</f>
        <v>0.11596004854573351</v>
      </c>
      <c r="L1659" s="21">
        <f t="shared" si="954"/>
        <v>0.17394007281860027</v>
      </c>
      <c r="M1659" s="21">
        <f t="shared" si="954"/>
        <v>0.23192009709146702</v>
      </c>
      <c r="N1659" s="21">
        <f t="shared" si="954"/>
        <v>0.2899001213643338</v>
      </c>
      <c r="O1659" s="21">
        <f t="shared" si="954"/>
        <v>0.34788014563720054</v>
      </c>
      <c r="P1659" s="21">
        <f t="shared" si="954"/>
        <v>0.40586016991006729</v>
      </c>
      <c r="Q1659" s="21">
        <f t="shared" si="954"/>
        <v>0.46384019418293404</v>
      </c>
      <c r="R1659" s="21">
        <f t="shared" si="954"/>
        <v>0.50370146087053003</v>
      </c>
      <c r="S1659" s="21">
        <f t="shared" si="954"/>
        <v>0.54356272755812596</v>
      </c>
      <c r="T1659" s="21">
        <f t="shared" si="954"/>
        <v>0.52544396997285514</v>
      </c>
      <c r="U1659" s="21">
        <f t="shared" si="954"/>
        <v>0.50732521238758432</v>
      </c>
      <c r="V1659" s="21">
        <f t="shared" si="954"/>
        <v>0.48920645480231345</v>
      </c>
      <c r="W1659" s="563"/>
      <c r="X1659" s="563"/>
      <c r="Y1659" s="563"/>
      <c r="Z1659" s="563"/>
      <c r="AA1659" s="563"/>
      <c r="AB1659" s="563"/>
      <c r="AC1659" s="563"/>
      <c r="AD1659" s="563"/>
      <c r="AE1659" s="563"/>
    </row>
    <row r="1660" spans="3:31" x14ac:dyDescent="0.2">
      <c r="C1660" s="1" t="s">
        <v>126</v>
      </c>
      <c r="G1660" s="21">
        <f>SUM(I1660:AE1660)</f>
        <v>0.57980024272866759</v>
      </c>
      <c r="I1660" s="21">
        <f>I1654</f>
        <v>5.7980024272866755E-2</v>
      </c>
      <c r="J1660" s="21">
        <f t="shared" ref="J1660:V1660" si="955">J1654</f>
        <v>5.7980024272866755E-2</v>
      </c>
      <c r="K1660" s="21">
        <f t="shared" si="955"/>
        <v>5.7980024272866755E-2</v>
      </c>
      <c r="L1660" s="21">
        <f t="shared" si="955"/>
        <v>5.7980024272866755E-2</v>
      </c>
      <c r="M1660" s="21">
        <f t="shared" si="955"/>
        <v>5.7980024272866755E-2</v>
      </c>
      <c r="N1660" s="21">
        <f t="shared" si="955"/>
        <v>5.7980024272866755E-2</v>
      </c>
      <c r="O1660" s="21">
        <f t="shared" si="955"/>
        <v>5.7980024272866755E-2</v>
      </c>
      <c r="P1660" s="21">
        <f t="shared" si="955"/>
        <v>5.7980024272866755E-2</v>
      </c>
      <c r="Q1660" s="21">
        <f t="shared" si="955"/>
        <v>5.7980024272866755E-2</v>
      </c>
      <c r="R1660" s="21">
        <f t="shared" si="955"/>
        <v>5.7980024272866755E-2</v>
      </c>
      <c r="S1660" s="21">
        <f t="shared" si="955"/>
        <v>0</v>
      </c>
      <c r="T1660" s="21">
        <f t="shared" si="955"/>
        <v>0</v>
      </c>
      <c r="U1660" s="21">
        <f t="shared" si="955"/>
        <v>0</v>
      </c>
      <c r="V1660" s="21">
        <f t="shared" si="955"/>
        <v>0</v>
      </c>
      <c r="W1660" s="563"/>
      <c r="X1660" s="563"/>
      <c r="Y1660" s="563"/>
      <c r="Z1660" s="563"/>
      <c r="AA1660" s="563"/>
      <c r="AB1660" s="563"/>
      <c r="AC1660" s="563"/>
      <c r="AD1660" s="563"/>
      <c r="AE1660" s="563"/>
    </row>
    <row r="1661" spans="3:31" x14ac:dyDescent="0.2">
      <c r="C1661" s="1" t="s">
        <v>220</v>
      </c>
      <c r="G1661" s="21">
        <f>SUM(I1661:AE1661)</f>
        <v>-0.10871254551162517</v>
      </c>
      <c r="I1661" s="43">
        <f>SUMIF('Plant model'!$I$3:$AE$3,YEAR('Quarterly Plant Model'!I$3),'Plant model'!$I1661:$AE1661)/4</f>
        <v>0</v>
      </c>
      <c r="J1661" s="43">
        <f>SUMIF('Plant model'!$I$3:$AE$3,YEAR('Quarterly Plant Model'!J$3),'Plant model'!$I1661:$AE1661)/4</f>
        <v>0</v>
      </c>
      <c r="K1661" s="43">
        <f>SUMIF('Plant model'!$I$3:$AE$3,YEAR('Quarterly Plant Model'!K$3),'Plant model'!$I1661:$AE1661)/4</f>
        <v>0</v>
      </c>
      <c r="L1661" s="43">
        <f>SUMIF('Plant model'!$I$3:$AE$3,YEAR('Quarterly Plant Model'!L$3),'Plant model'!$I1661:$AE1661)/4</f>
        <v>0</v>
      </c>
      <c r="M1661" s="43">
        <f>SUMIF('Plant model'!$I$3:$AE$3,YEAR('Quarterly Plant Model'!M$3),'Plant model'!$I1661:$AE1661)/4</f>
        <v>0</v>
      </c>
      <c r="N1661" s="43">
        <f>SUMIF('Plant model'!$I$3:$AE$3,YEAR('Quarterly Plant Model'!N$3),'Plant model'!$I1661:$AE1661)/4</f>
        <v>0</v>
      </c>
      <c r="O1661" s="43">
        <f>SUMIF('Plant model'!$I$3:$AE$3,YEAR('Quarterly Plant Model'!O$3),'Plant model'!$I1661:$AE1661)/4</f>
        <v>0</v>
      </c>
      <c r="P1661" s="43">
        <f>SUMIF('Plant model'!$I$3:$AE$3,YEAR('Quarterly Plant Model'!P$3),'Plant model'!$I1661:$AE1661)/4</f>
        <v>0</v>
      </c>
      <c r="Q1661" s="43">
        <f>SUMIF('Plant model'!$I$3:$AE$3,YEAR('Quarterly Plant Model'!Q$3),'Plant model'!$I1661:$AE1661)/4</f>
        <v>-1.8118757585270862E-2</v>
      </c>
      <c r="R1661" s="43">
        <f>SUMIF('Plant model'!$I$3:$AE$3,YEAR('Quarterly Plant Model'!R$3),'Plant model'!$I1661:$AE1661)/4</f>
        <v>-1.8118757585270862E-2</v>
      </c>
      <c r="S1661" s="43">
        <f>SUMIF('Plant model'!$I$3:$AE$3,YEAR('Quarterly Plant Model'!S$3),'Plant model'!$I1661:$AE1661)/4</f>
        <v>-1.8118757585270862E-2</v>
      </c>
      <c r="T1661" s="43">
        <f>SUMIF('Plant model'!$I$3:$AE$3,YEAR('Quarterly Plant Model'!T$3),'Plant model'!$I1661:$AE1661)/4</f>
        <v>-1.8118757585270862E-2</v>
      </c>
      <c r="U1661" s="43">
        <f>SUMIF('Plant model'!$I$3:$AE$3,YEAR('Quarterly Plant Model'!U$3),'Plant model'!$I1661:$AE1661)/4</f>
        <v>-1.8118757585270862E-2</v>
      </c>
      <c r="V1661" s="43">
        <f>SUMIF('Plant model'!$I$3:$AE$3,YEAR('Quarterly Plant Model'!V$3),'Plant model'!$I1661:$AE1661)/4</f>
        <v>-1.8118757585270862E-2</v>
      </c>
      <c r="W1661" s="563"/>
      <c r="X1661" s="563"/>
      <c r="Y1661" s="563"/>
      <c r="Z1661" s="563"/>
      <c r="AA1661" s="563"/>
      <c r="AB1661" s="563"/>
      <c r="AC1661" s="563"/>
      <c r="AD1661" s="563"/>
      <c r="AE1661" s="563"/>
    </row>
    <row r="1662" spans="3:31" x14ac:dyDescent="0.2">
      <c r="C1662" s="1" t="s">
        <v>127</v>
      </c>
      <c r="I1662" s="21">
        <f>SUM(I1659:I1661)</f>
        <v>5.7980024272866755E-2</v>
      </c>
      <c r="J1662" s="21">
        <f t="shared" ref="J1662:V1662" si="956">SUM(J1659:J1661)</f>
        <v>0.11596004854573351</v>
      </c>
      <c r="K1662" s="21">
        <f t="shared" si="956"/>
        <v>0.17394007281860027</v>
      </c>
      <c r="L1662" s="21">
        <f t="shared" si="956"/>
        <v>0.23192009709146702</v>
      </c>
      <c r="M1662" s="21">
        <f t="shared" si="956"/>
        <v>0.2899001213643338</v>
      </c>
      <c r="N1662" s="21">
        <f t="shared" si="956"/>
        <v>0.34788014563720054</v>
      </c>
      <c r="O1662" s="21">
        <f t="shared" si="956"/>
        <v>0.40586016991006729</v>
      </c>
      <c r="P1662" s="21">
        <f t="shared" si="956"/>
        <v>0.46384019418293404</v>
      </c>
      <c r="Q1662" s="21">
        <f t="shared" si="956"/>
        <v>0.50370146087053003</v>
      </c>
      <c r="R1662" s="21">
        <f t="shared" si="956"/>
        <v>0.54356272755812596</v>
      </c>
      <c r="S1662" s="21">
        <f t="shared" si="956"/>
        <v>0.52544396997285514</v>
      </c>
      <c r="T1662" s="21">
        <f t="shared" si="956"/>
        <v>0.50732521238758432</v>
      </c>
      <c r="U1662" s="21">
        <f t="shared" si="956"/>
        <v>0.48920645480231345</v>
      </c>
      <c r="V1662" s="21">
        <f t="shared" si="956"/>
        <v>0.47108769721704258</v>
      </c>
      <c r="W1662" s="563"/>
      <c r="X1662" s="563"/>
      <c r="Y1662" s="563"/>
      <c r="Z1662" s="563"/>
      <c r="AA1662" s="563"/>
      <c r="AB1662" s="563"/>
      <c r="AC1662" s="563"/>
      <c r="AD1662" s="563"/>
      <c r="AE1662" s="563"/>
    </row>
    <row r="1664" spans="3:31" hidden="1" outlineLevel="1" x14ac:dyDescent="0.2">
      <c r="C1664" s="1" t="s">
        <v>377</v>
      </c>
      <c r="G1664" s="21"/>
      <c r="I1664" s="21"/>
      <c r="J1664" s="21"/>
      <c r="K1664" s="21"/>
      <c r="L1664" s="21"/>
      <c r="M1664" s="21"/>
      <c r="N1664" s="21"/>
      <c r="O1664" s="21"/>
      <c r="P1664" s="21"/>
      <c r="Q1664" s="21"/>
      <c r="R1664" s="21"/>
      <c r="S1664" s="21"/>
      <c r="T1664" s="21"/>
      <c r="U1664" s="21"/>
      <c r="V1664" s="21"/>
      <c r="W1664" s="563"/>
      <c r="X1664" s="563"/>
      <c r="Y1664" s="563"/>
      <c r="Z1664" s="563"/>
      <c r="AA1664" s="563"/>
      <c r="AB1664" s="563"/>
      <c r="AC1664" s="563"/>
      <c r="AD1664" s="563"/>
      <c r="AE1664" s="563"/>
    </row>
    <row r="1665" spans="3:31" hidden="1" outlineLevel="1" x14ac:dyDescent="0.2">
      <c r="C1665" s="1" t="s">
        <v>378</v>
      </c>
      <c r="E1665" s="98"/>
    </row>
    <row r="1666" spans="3:31" hidden="1" outlineLevel="1" x14ac:dyDescent="0.2">
      <c r="C1666" s="1" t="s">
        <v>221</v>
      </c>
      <c r="E1666" s="85"/>
    </row>
    <row r="1667" spans="3:31" hidden="1" outlineLevel="1" x14ac:dyDescent="0.2"/>
    <row r="1668" spans="3:31" hidden="1" outlineLevel="1" x14ac:dyDescent="0.2">
      <c r="C1668" s="86"/>
      <c r="E1668" s="63"/>
      <c r="F1668" s="63"/>
      <c r="G1668" s="86"/>
      <c r="I1668" s="21"/>
      <c r="J1668" s="21"/>
      <c r="K1668" s="21"/>
      <c r="L1668" s="21"/>
      <c r="M1668" s="21"/>
      <c r="N1668" s="21"/>
      <c r="O1668" s="21"/>
      <c r="P1668" s="21"/>
      <c r="Q1668" s="21"/>
      <c r="R1668" s="21"/>
      <c r="S1668" s="21"/>
      <c r="T1668" s="21"/>
      <c r="U1668" s="21"/>
      <c r="V1668" s="21"/>
      <c r="W1668" s="563"/>
      <c r="X1668" s="563"/>
      <c r="Y1668" s="563"/>
      <c r="Z1668" s="563"/>
      <c r="AA1668" s="563"/>
      <c r="AB1668" s="563"/>
      <c r="AC1668" s="563"/>
      <c r="AD1668" s="563"/>
      <c r="AE1668" s="563"/>
    </row>
    <row r="1669" spans="3:31" hidden="1" outlineLevel="1" x14ac:dyDescent="0.2"/>
    <row r="1670" spans="3:31" hidden="1" outlineLevel="1" x14ac:dyDescent="0.2">
      <c r="C1670" s="60"/>
      <c r="E1670" s="21"/>
      <c r="F1670" s="21"/>
      <c r="I1670" s="21"/>
      <c r="J1670" s="21"/>
      <c r="K1670" s="21"/>
      <c r="L1670" s="21"/>
      <c r="M1670" s="21"/>
      <c r="N1670" s="21"/>
      <c r="O1670" s="21"/>
      <c r="P1670" s="21"/>
      <c r="Q1670" s="21"/>
      <c r="R1670" s="21"/>
      <c r="S1670" s="21"/>
      <c r="T1670" s="21"/>
      <c r="U1670" s="21"/>
      <c r="V1670" s="21"/>
      <c r="W1670" s="563"/>
      <c r="X1670" s="563"/>
      <c r="Y1670" s="563"/>
      <c r="Z1670" s="563"/>
      <c r="AA1670" s="563"/>
      <c r="AB1670" s="563"/>
      <c r="AC1670" s="563"/>
      <c r="AD1670" s="563"/>
      <c r="AE1670" s="563"/>
    </row>
    <row r="1671" spans="3:31" hidden="1" outlineLevel="1" x14ac:dyDescent="0.2">
      <c r="C1671" s="60"/>
      <c r="E1671" s="21"/>
      <c r="F1671" s="21"/>
      <c r="I1671" s="21"/>
      <c r="J1671" s="21"/>
      <c r="K1671" s="21"/>
      <c r="L1671" s="21"/>
      <c r="M1671" s="21"/>
      <c r="N1671" s="21"/>
      <c r="O1671" s="21"/>
      <c r="P1671" s="21"/>
      <c r="Q1671" s="21"/>
      <c r="R1671" s="21"/>
      <c r="S1671" s="21"/>
      <c r="T1671" s="21"/>
      <c r="U1671" s="21"/>
      <c r="V1671" s="21"/>
      <c r="W1671" s="563"/>
      <c r="X1671" s="563"/>
      <c r="Y1671" s="563"/>
      <c r="Z1671" s="563"/>
      <c r="AA1671" s="563"/>
      <c r="AB1671" s="563"/>
      <c r="AC1671" s="563"/>
      <c r="AD1671" s="563"/>
      <c r="AE1671" s="563"/>
    </row>
    <row r="1672" spans="3:31" hidden="1" outlineLevel="1" x14ac:dyDescent="0.2">
      <c r="C1672" s="60"/>
      <c r="E1672" s="21"/>
      <c r="F1672" s="21"/>
      <c r="I1672" s="21"/>
      <c r="J1672" s="21"/>
      <c r="K1672" s="21"/>
      <c r="L1672" s="21"/>
      <c r="M1672" s="21"/>
      <c r="N1672" s="21"/>
      <c r="O1672" s="21"/>
      <c r="P1672" s="21"/>
      <c r="Q1672" s="21"/>
      <c r="R1672" s="21"/>
      <c r="S1672" s="21"/>
      <c r="T1672" s="21"/>
      <c r="U1672" s="21"/>
      <c r="V1672" s="21"/>
      <c r="W1672" s="563"/>
      <c r="X1672" s="563"/>
      <c r="Y1672" s="563"/>
      <c r="Z1672" s="563"/>
      <c r="AA1672" s="563"/>
      <c r="AB1672" s="563"/>
      <c r="AC1672" s="563"/>
      <c r="AD1672" s="563"/>
      <c r="AE1672" s="563"/>
    </row>
    <row r="1673" spans="3:31" hidden="1" outlineLevel="1" x14ac:dyDescent="0.2">
      <c r="C1673" s="60"/>
      <c r="E1673" s="21"/>
      <c r="F1673" s="21"/>
      <c r="I1673" s="21"/>
      <c r="J1673" s="21"/>
      <c r="K1673" s="21"/>
      <c r="L1673" s="21"/>
      <c r="M1673" s="21"/>
      <c r="N1673" s="21"/>
      <c r="O1673" s="21"/>
      <c r="P1673" s="21"/>
      <c r="Q1673" s="21"/>
      <c r="R1673" s="21"/>
      <c r="S1673" s="21"/>
      <c r="T1673" s="21"/>
      <c r="U1673" s="21"/>
      <c r="V1673" s="21"/>
      <c r="W1673" s="563"/>
      <c r="X1673" s="563"/>
      <c r="Y1673" s="563"/>
      <c r="Z1673" s="563"/>
      <c r="AA1673" s="563"/>
      <c r="AB1673" s="563"/>
      <c r="AC1673" s="563"/>
      <c r="AD1673" s="563"/>
      <c r="AE1673" s="563"/>
    </row>
    <row r="1674" spans="3:31" hidden="1" outlineLevel="1" x14ac:dyDescent="0.2">
      <c r="C1674" s="60"/>
      <c r="E1674" s="21"/>
      <c r="F1674" s="21"/>
      <c r="I1674" s="21"/>
      <c r="J1674" s="21"/>
      <c r="K1674" s="21"/>
      <c r="L1674" s="21"/>
      <c r="M1674" s="21"/>
      <c r="N1674" s="21"/>
      <c r="O1674" s="21"/>
      <c r="P1674" s="21"/>
      <c r="Q1674" s="21"/>
      <c r="R1674" s="21"/>
      <c r="S1674" s="21"/>
      <c r="T1674" s="21"/>
      <c r="U1674" s="21"/>
      <c r="V1674" s="21"/>
      <c r="W1674" s="563"/>
      <c r="X1674" s="563"/>
      <c r="Y1674" s="563"/>
      <c r="Z1674" s="563"/>
      <c r="AA1674" s="563"/>
      <c r="AB1674" s="563"/>
      <c r="AC1674" s="563"/>
      <c r="AD1674" s="563"/>
      <c r="AE1674" s="563"/>
    </row>
    <row r="1675" spans="3:31" hidden="1" outlineLevel="1" x14ac:dyDescent="0.2">
      <c r="C1675" s="60"/>
      <c r="E1675" s="21"/>
      <c r="F1675" s="21"/>
      <c r="I1675" s="21"/>
      <c r="J1675" s="21"/>
      <c r="K1675" s="21"/>
      <c r="L1675" s="21"/>
      <c r="M1675" s="21"/>
      <c r="N1675" s="21"/>
      <c r="O1675" s="21"/>
      <c r="P1675" s="21"/>
      <c r="Q1675" s="21"/>
      <c r="R1675" s="21"/>
      <c r="S1675" s="21"/>
      <c r="T1675" s="21"/>
      <c r="U1675" s="21"/>
      <c r="V1675" s="21"/>
      <c r="W1675" s="563"/>
      <c r="X1675" s="563"/>
      <c r="Y1675" s="563"/>
      <c r="Z1675" s="563"/>
      <c r="AA1675" s="563"/>
      <c r="AB1675" s="563"/>
      <c r="AC1675" s="563"/>
      <c r="AD1675" s="563"/>
      <c r="AE1675" s="563"/>
    </row>
    <row r="1676" spans="3:31" hidden="1" outlineLevel="1" x14ac:dyDescent="0.2">
      <c r="C1676" s="60"/>
      <c r="E1676" s="21"/>
      <c r="F1676" s="21"/>
      <c r="I1676" s="21"/>
      <c r="J1676" s="21"/>
      <c r="K1676" s="21"/>
      <c r="L1676" s="21"/>
      <c r="M1676" s="21"/>
      <c r="N1676" s="21"/>
      <c r="O1676" s="21"/>
      <c r="P1676" s="21"/>
      <c r="Q1676" s="21"/>
      <c r="R1676" s="21"/>
      <c r="S1676" s="21"/>
      <c r="T1676" s="21"/>
      <c r="U1676" s="21"/>
      <c r="V1676" s="21"/>
      <c r="W1676" s="563"/>
      <c r="X1676" s="563"/>
      <c r="Y1676" s="563"/>
      <c r="Z1676" s="563"/>
      <c r="AA1676" s="563"/>
      <c r="AB1676" s="563"/>
      <c r="AC1676" s="563"/>
      <c r="AD1676" s="563"/>
      <c r="AE1676" s="563"/>
    </row>
    <row r="1677" spans="3:31" hidden="1" outlineLevel="1" x14ac:dyDescent="0.2">
      <c r="C1677" s="60"/>
      <c r="E1677" s="21"/>
      <c r="F1677" s="21"/>
      <c r="I1677" s="21"/>
      <c r="J1677" s="21"/>
      <c r="K1677" s="21"/>
      <c r="L1677" s="21"/>
      <c r="M1677" s="21"/>
      <c r="N1677" s="21"/>
      <c r="O1677" s="21"/>
      <c r="P1677" s="21"/>
      <c r="Q1677" s="21"/>
      <c r="R1677" s="21"/>
      <c r="S1677" s="21"/>
      <c r="T1677" s="21"/>
      <c r="U1677" s="21"/>
      <c r="V1677" s="21"/>
      <c r="W1677" s="563"/>
      <c r="X1677" s="563"/>
      <c r="Y1677" s="563"/>
      <c r="Z1677" s="563"/>
      <c r="AA1677" s="563"/>
      <c r="AB1677" s="563"/>
      <c r="AC1677" s="563"/>
      <c r="AD1677" s="563"/>
      <c r="AE1677" s="563"/>
    </row>
    <row r="1678" spans="3:31" hidden="1" outlineLevel="1" x14ac:dyDescent="0.2">
      <c r="C1678" s="60"/>
      <c r="E1678" s="21"/>
      <c r="F1678" s="21"/>
      <c r="I1678" s="21"/>
      <c r="J1678" s="21"/>
      <c r="K1678" s="21"/>
      <c r="L1678" s="21"/>
      <c r="M1678" s="21"/>
      <c r="N1678" s="21"/>
      <c r="O1678" s="21"/>
      <c r="P1678" s="21"/>
      <c r="Q1678" s="21"/>
      <c r="R1678" s="21"/>
      <c r="S1678" s="21"/>
      <c r="T1678" s="21"/>
      <c r="U1678" s="21"/>
      <c r="V1678" s="21"/>
      <c r="W1678" s="563"/>
      <c r="X1678" s="563"/>
      <c r="Y1678" s="563"/>
      <c r="Z1678" s="563"/>
      <c r="AA1678" s="563"/>
      <c r="AB1678" s="563"/>
      <c r="AC1678" s="563"/>
      <c r="AD1678" s="563"/>
      <c r="AE1678" s="563"/>
    </row>
    <row r="1679" spans="3:31" hidden="1" outlineLevel="1" x14ac:dyDescent="0.2">
      <c r="C1679" s="60"/>
      <c r="E1679" s="21"/>
      <c r="F1679" s="21"/>
      <c r="I1679" s="21"/>
      <c r="J1679" s="21"/>
      <c r="K1679" s="21"/>
      <c r="L1679" s="21"/>
      <c r="M1679" s="21"/>
      <c r="N1679" s="21"/>
      <c r="O1679" s="21"/>
      <c r="P1679" s="21"/>
      <c r="Q1679" s="21"/>
      <c r="R1679" s="21"/>
      <c r="S1679" s="21"/>
      <c r="T1679" s="21"/>
      <c r="U1679" s="21"/>
      <c r="V1679" s="21"/>
      <c r="W1679" s="563"/>
      <c r="X1679" s="563"/>
      <c r="Y1679" s="563"/>
      <c r="Z1679" s="563"/>
      <c r="AA1679" s="563"/>
      <c r="AB1679" s="563"/>
      <c r="AC1679" s="563"/>
      <c r="AD1679" s="563"/>
      <c r="AE1679" s="563"/>
    </row>
    <row r="1680" spans="3:31" hidden="1" outlineLevel="1" x14ac:dyDescent="0.2">
      <c r="C1680" s="60"/>
      <c r="E1680" s="21"/>
      <c r="F1680" s="21"/>
      <c r="I1680" s="21"/>
      <c r="J1680" s="21"/>
      <c r="K1680" s="21"/>
      <c r="L1680" s="21"/>
      <c r="M1680" s="21"/>
      <c r="N1680" s="21"/>
      <c r="O1680" s="21"/>
      <c r="P1680" s="21"/>
      <c r="Q1680" s="21"/>
      <c r="R1680" s="21"/>
      <c r="S1680" s="21"/>
      <c r="T1680" s="21"/>
      <c r="U1680" s="21"/>
      <c r="V1680" s="21"/>
      <c r="W1680" s="563"/>
      <c r="X1680" s="563"/>
      <c r="Y1680" s="563"/>
      <c r="Z1680" s="563"/>
      <c r="AA1680" s="563"/>
      <c r="AB1680" s="563"/>
      <c r="AC1680" s="563"/>
      <c r="AD1680" s="563"/>
      <c r="AE1680" s="563"/>
    </row>
    <row r="1681" spans="2:31" hidden="1" outlineLevel="1" x14ac:dyDescent="0.2">
      <c r="C1681" s="60"/>
      <c r="E1681" s="21"/>
      <c r="F1681" s="21"/>
      <c r="I1681" s="21"/>
      <c r="J1681" s="21"/>
      <c r="K1681" s="21"/>
      <c r="L1681" s="21"/>
      <c r="M1681" s="21"/>
      <c r="N1681" s="21"/>
      <c r="O1681" s="21"/>
      <c r="P1681" s="21"/>
      <c r="Q1681" s="21"/>
      <c r="R1681" s="21"/>
      <c r="S1681" s="21"/>
      <c r="T1681" s="21"/>
      <c r="U1681" s="21"/>
      <c r="V1681" s="21"/>
      <c r="W1681" s="563"/>
      <c r="X1681" s="563"/>
      <c r="Y1681" s="563"/>
      <c r="Z1681" s="563"/>
      <c r="AA1681" s="563"/>
      <c r="AB1681" s="563"/>
      <c r="AC1681" s="563"/>
      <c r="AD1681" s="563"/>
      <c r="AE1681" s="563"/>
    </row>
    <row r="1682" spans="2:31" hidden="1" outlineLevel="1" x14ac:dyDescent="0.2">
      <c r="C1682" s="60"/>
      <c r="E1682" s="21"/>
      <c r="F1682" s="21"/>
      <c r="I1682" s="21"/>
      <c r="J1682" s="21"/>
      <c r="K1682" s="21"/>
      <c r="L1682" s="21"/>
      <c r="M1682" s="21"/>
      <c r="N1682" s="21"/>
      <c r="O1682" s="21"/>
      <c r="P1682" s="21"/>
      <c r="Q1682" s="21"/>
      <c r="R1682" s="21"/>
      <c r="S1682" s="21"/>
      <c r="T1682" s="21"/>
      <c r="U1682" s="21"/>
      <c r="V1682" s="21"/>
      <c r="W1682" s="563"/>
      <c r="X1682" s="563"/>
      <c r="Y1682" s="563"/>
      <c r="Z1682" s="563"/>
      <c r="AA1682" s="563"/>
      <c r="AB1682" s="563"/>
      <c r="AC1682" s="563"/>
      <c r="AD1682" s="563"/>
      <c r="AE1682" s="563"/>
    </row>
    <row r="1683" spans="2:31" hidden="1" outlineLevel="1" x14ac:dyDescent="0.2">
      <c r="C1683" s="60"/>
      <c r="E1683" s="21"/>
      <c r="F1683" s="21"/>
      <c r="I1683" s="21"/>
      <c r="J1683" s="21"/>
      <c r="K1683" s="21"/>
      <c r="L1683" s="21"/>
      <c r="M1683" s="21"/>
      <c r="N1683" s="21"/>
      <c r="O1683" s="21"/>
      <c r="P1683" s="21"/>
      <c r="Q1683" s="21"/>
      <c r="R1683" s="21"/>
      <c r="S1683" s="21"/>
      <c r="T1683" s="21"/>
      <c r="U1683" s="21"/>
      <c r="V1683" s="21"/>
      <c r="W1683" s="563"/>
      <c r="X1683" s="563"/>
      <c r="Y1683" s="563"/>
      <c r="Z1683" s="563"/>
      <c r="AA1683" s="563"/>
      <c r="AB1683" s="563"/>
      <c r="AC1683" s="563"/>
      <c r="AD1683" s="563"/>
      <c r="AE1683" s="563"/>
    </row>
    <row r="1684" spans="2:31" hidden="1" outlineLevel="1" x14ac:dyDescent="0.2">
      <c r="C1684" s="60"/>
      <c r="E1684" s="21"/>
      <c r="F1684" s="21"/>
      <c r="I1684" s="21"/>
      <c r="J1684" s="21"/>
      <c r="K1684" s="21"/>
      <c r="L1684" s="21"/>
      <c r="M1684" s="21"/>
      <c r="N1684" s="21"/>
      <c r="O1684" s="21"/>
      <c r="P1684" s="21"/>
      <c r="Q1684" s="21"/>
      <c r="R1684" s="21"/>
      <c r="S1684" s="21"/>
      <c r="T1684" s="21"/>
      <c r="U1684" s="21"/>
      <c r="V1684" s="21"/>
      <c r="W1684" s="563"/>
      <c r="X1684" s="563"/>
      <c r="Y1684" s="563"/>
      <c r="Z1684" s="563"/>
      <c r="AA1684" s="563"/>
      <c r="AB1684" s="563"/>
      <c r="AC1684" s="563"/>
      <c r="AD1684" s="563"/>
      <c r="AE1684" s="563"/>
    </row>
    <row r="1685" spans="2:31" hidden="1" outlineLevel="1" x14ac:dyDescent="0.2">
      <c r="C1685" s="60"/>
      <c r="E1685" s="21"/>
      <c r="F1685" s="21"/>
      <c r="I1685" s="21"/>
      <c r="J1685" s="21"/>
      <c r="K1685" s="21"/>
      <c r="L1685" s="21"/>
      <c r="M1685" s="21"/>
      <c r="N1685" s="21"/>
      <c r="O1685" s="21"/>
      <c r="P1685" s="21"/>
      <c r="Q1685" s="21"/>
      <c r="R1685" s="21"/>
      <c r="S1685" s="21"/>
      <c r="T1685" s="21"/>
      <c r="U1685" s="21"/>
      <c r="V1685" s="21"/>
      <c r="W1685" s="563"/>
      <c r="X1685" s="563"/>
      <c r="Y1685" s="563"/>
      <c r="Z1685" s="563"/>
      <c r="AA1685" s="563"/>
      <c r="AB1685" s="563"/>
      <c r="AC1685" s="563"/>
      <c r="AD1685" s="563"/>
      <c r="AE1685" s="563"/>
    </row>
    <row r="1686" spans="2:31" hidden="1" outlineLevel="1" x14ac:dyDescent="0.2">
      <c r="C1686" s="60"/>
      <c r="E1686" s="21"/>
      <c r="F1686" s="21"/>
      <c r="I1686" s="21"/>
      <c r="J1686" s="21"/>
      <c r="K1686" s="21"/>
      <c r="L1686" s="21"/>
      <c r="M1686" s="21"/>
      <c r="N1686" s="21"/>
      <c r="O1686" s="21"/>
      <c r="P1686" s="21"/>
      <c r="Q1686" s="21"/>
      <c r="R1686" s="21"/>
      <c r="S1686" s="21"/>
      <c r="T1686" s="21"/>
      <c r="U1686" s="21"/>
      <c r="V1686" s="21"/>
      <c r="W1686" s="563"/>
      <c r="X1686" s="563"/>
      <c r="Y1686" s="563"/>
      <c r="Z1686" s="563"/>
      <c r="AA1686" s="563"/>
      <c r="AB1686" s="563"/>
      <c r="AC1686" s="563"/>
      <c r="AD1686" s="563"/>
      <c r="AE1686" s="563"/>
    </row>
    <row r="1687" spans="2:31" hidden="1" outlineLevel="1" x14ac:dyDescent="0.2">
      <c r="C1687" s="60"/>
      <c r="E1687" s="21"/>
      <c r="F1687" s="21"/>
      <c r="I1687" s="21"/>
      <c r="J1687" s="21"/>
      <c r="K1687" s="21"/>
      <c r="L1687" s="21"/>
      <c r="M1687" s="21"/>
      <c r="N1687" s="21"/>
      <c r="O1687" s="21"/>
      <c r="P1687" s="21"/>
      <c r="Q1687" s="21"/>
      <c r="R1687" s="21"/>
      <c r="S1687" s="21"/>
      <c r="T1687" s="21"/>
      <c r="U1687" s="21"/>
      <c r="V1687" s="21"/>
      <c r="W1687" s="563"/>
      <c r="X1687" s="563"/>
      <c r="Y1687" s="563"/>
      <c r="Z1687" s="563"/>
      <c r="AA1687" s="563"/>
      <c r="AB1687" s="563"/>
      <c r="AC1687" s="563"/>
      <c r="AD1687" s="563"/>
      <c r="AE1687" s="563"/>
    </row>
    <row r="1688" spans="2:31" hidden="1" outlineLevel="1" x14ac:dyDescent="0.2">
      <c r="C1688" s="60"/>
      <c r="E1688" s="21"/>
      <c r="F1688" s="21"/>
      <c r="I1688" s="21"/>
      <c r="J1688" s="21"/>
      <c r="K1688" s="21"/>
      <c r="L1688" s="21"/>
      <c r="M1688" s="21"/>
      <c r="N1688" s="21"/>
      <c r="O1688" s="21"/>
      <c r="P1688" s="21"/>
      <c r="Q1688" s="21"/>
      <c r="R1688" s="21"/>
      <c r="S1688" s="21"/>
      <c r="T1688" s="21"/>
      <c r="U1688" s="21"/>
      <c r="V1688" s="21"/>
      <c r="W1688" s="563"/>
      <c r="X1688" s="563"/>
      <c r="Y1688" s="563"/>
      <c r="Z1688" s="563"/>
      <c r="AA1688" s="563"/>
      <c r="AB1688" s="563"/>
      <c r="AC1688" s="563"/>
      <c r="AD1688" s="563"/>
      <c r="AE1688" s="563"/>
    </row>
    <row r="1689" spans="2:31" hidden="1" outlineLevel="1" x14ac:dyDescent="0.2">
      <c r="C1689" s="60"/>
      <c r="E1689" s="21"/>
      <c r="F1689" s="21"/>
      <c r="I1689" s="21"/>
      <c r="J1689" s="21"/>
      <c r="K1689" s="21"/>
      <c r="L1689" s="21"/>
      <c r="M1689" s="21"/>
      <c r="N1689" s="21"/>
      <c r="O1689" s="21"/>
      <c r="P1689" s="21"/>
      <c r="Q1689" s="21"/>
      <c r="R1689" s="21"/>
      <c r="S1689" s="21"/>
      <c r="T1689" s="21"/>
      <c r="U1689" s="21"/>
      <c r="V1689" s="21"/>
      <c r="W1689" s="563"/>
      <c r="X1689" s="563"/>
      <c r="Y1689" s="563"/>
      <c r="Z1689" s="563"/>
      <c r="AA1689" s="563"/>
      <c r="AB1689" s="563"/>
      <c r="AC1689" s="563"/>
      <c r="AD1689" s="563"/>
      <c r="AE1689" s="563"/>
    </row>
    <row r="1690" spans="2:31" hidden="1" outlineLevel="1" x14ac:dyDescent="0.2">
      <c r="C1690" s="60"/>
      <c r="E1690" s="21"/>
      <c r="F1690" s="21"/>
      <c r="I1690" s="21"/>
      <c r="J1690" s="21"/>
      <c r="K1690" s="21"/>
      <c r="L1690" s="21"/>
      <c r="M1690" s="21"/>
      <c r="N1690" s="21"/>
      <c r="O1690" s="21"/>
      <c r="P1690" s="21"/>
      <c r="Q1690" s="21"/>
      <c r="R1690" s="21"/>
      <c r="S1690" s="21"/>
      <c r="T1690" s="21"/>
      <c r="U1690" s="21"/>
      <c r="V1690" s="21"/>
      <c r="W1690" s="563"/>
      <c r="X1690" s="563"/>
      <c r="Y1690" s="563"/>
      <c r="Z1690" s="563"/>
      <c r="AA1690" s="563"/>
      <c r="AB1690" s="563"/>
      <c r="AC1690" s="563"/>
      <c r="AD1690" s="563"/>
      <c r="AE1690" s="563"/>
    </row>
    <row r="1691" spans="2:31" hidden="1" outlineLevel="1" x14ac:dyDescent="0.2">
      <c r="C1691" s="60"/>
      <c r="E1691" s="21"/>
      <c r="F1691" s="21"/>
      <c r="I1691" s="21"/>
      <c r="J1691" s="21"/>
      <c r="K1691" s="21"/>
      <c r="L1691" s="21"/>
      <c r="M1691" s="21"/>
      <c r="N1691" s="21"/>
      <c r="O1691" s="21"/>
      <c r="P1691" s="21"/>
      <c r="Q1691" s="21"/>
      <c r="R1691" s="21"/>
      <c r="S1691" s="21"/>
      <c r="T1691" s="21"/>
      <c r="U1691" s="21"/>
      <c r="V1691" s="21"/>
      <c r="W1691" s="563"/>
      <c r="X1691" s="563"/>
      <c r="Y1691" s="563"/>
      <c r="Z1691" s="563"/>
      <c r="AA1691" s="563"/>
      <c r="AB1691" s="563"/>
      <c r="AC1691" s="563"/>
      <c r="AD1691" s="563"/>
      <c r="AE1691" s="563"/>
    </row>
    <row r="1692" spans="2:31" hidden="1" outlineLevel="1" x14ac:dyDescent="0.2">
      <c r="C1692" s="60"/>
      <c r="E1692" s="21"/>
      <c r="F1692" s="21"/>
      <c r="I1692" s="21"/>
      <c r="J1692" s="21"/>
      <c r="K1692" s="21"/>
      <c r="L1692" s="21"/>
      <c r="M1692" s="21"/>
      <c r="N1692" s="21"/>
      <c r="O1692" s="21"/>
      <c r="P1692" s="21"/>
      <c r="Q1692" s="21"/>
      <c r="R1692" s="21"/>
      <c r="S1692" s="21"/>
      <c r="T1692" s="21"/>
      <c r="U1692" s="21"/>
      <c r="V1692" s="21"/>
      <c r="W1692" s="563"/>
      <c r="X1692" s="563"/>
      <c r="Y1692" s="563"/>
      <c r="Z1692" s="563"/>
      <c r="AA1692" s="563"/>
      <c r="AB1692" s="563"/>
      <c r="AC1692" s="563"/>
      <c r="AD1692" s="563"/>
      <c r="AE1692" s="563"/>
    </row>
    <row r="1693" spans="2:31" hidden="1" outlineLevel="1" x14ac:dyDescent="0.2">
      <c r="C1693" s="87"/>
      <c r="D1693" s="9"/>
      <c r="E1693" s="44"/>
      <c r="F1693" s="44"/>
      <c r="G1693" s="9"/>
      <c r="H1693" s="9"/>
      <c r="I1693" s="541"/>
      <c r="J1693" s="541"/>
      <c r="K1693" s="541"/>
      <c r="L1693" s="541"/>
      <c r="M1693" s="541"/>
      <c r="N1693" s="541"/>
      <c r="O1693" s="541"/>
      <c r="P1693" s="541"/>
      <c r="Q1693" s="541"/>
      <c r="R1693" s="541"/>
      <c r="S1693" s="541"/>
      <c r="T1693" s="541"/>
      <c r="U1693" s="541"/>
      <c r="V1693" s="541"/>
      <c r="W1693" s="580"/>
      <c r="X1693" s="580"/>
      <c r="Y1693" s="580"/>
      <c r="Z1693" s="580"/>
      <c r="AA1693" s="580"/>
      <c r="AB1693" s="580"/>
      <c r="AC1693" s="580"/>
      <c r="AD1693" s="580"/>
      <c r="AE1693" s="580"/>
    </row>
    <row r="1694" spans="2:31" collapsed="1" x14ac:dyDescent="0.2"/>
    <row r="1695" spans="2:31" x14ac:dyDescent="0.2">
      <c r="B1695" s="24">
        <f>B1634+0.01</f>
        <v>14.529999999999998</v>
      </c>
      <c r="C1695" s="9" t="s">
        <v>768</v>
      </c>
    </row>
    <row r="1696" spans="2:31" x14ac:dyDescent="0.2">
      <c r="C1696" s="1" t="s">
        <v>125</v>
      </c>
      <c r="F1696" s="1" t="s">
        <v>55</v>
      </c>
      <c r="I1696" s="21">
        <f>E1631</f>
        <v>0</v>
      </c>
      <c r="J1696" s="21">
        <f>I1698</f>
        <v>0</v>
      </c>
      <c r="K1696" s="21">
        <f t="shared" ref="K1696:V1696" si="957">J1698</f>
        <v>0</v>
      </c>
      <c r="L1696" s="21">
        <f t="shared" si="957"/>
        <v>0</v>
      </c>
      <c r="M1696" s="21">
        <f t="shared" si="957"/>
        <v>0</v>
      </c>
      <c r="N1696" s="21">
        <f t="shared" si="957"/>
        <v>0</v>
      </c>
      <c r="O1696" s="21">
        <f t="shared" si="957"/>
        <v>0</v>
      </c>
      <c r="P1696" s="21">
        <f t="shared" si="957"/>
        <v>0</v>
      </c>
      <c r="Q1696" s="21">
        <f t="shared" si="957"/>
        <v>0</v>
      </c>
      <c r="R1696" s="21">
        <f t="shared" si="957"/>
        <v>0</v>
      </c>
      <c r="S1696" s="21">
        <f t="shared" si="957"/>
        <v>0</v>
      </c>
      <c r="T1696" s="21">
        <f t="shared" si="957"/>
        <v>0</v>
      </c>
      <c r="U1696" s="21">
        <f t="shared" si="957"/>
        <v>0</v>
      </c>
      <c r="V1696" s="21">
        <f t="shared" si="957"/>
        <v>0</v>
      </c>
      <c r="W1696" s="563"/>
      <c r="X1696" s="563"/>
      <c r="Y1696" s="563"/>
      <c r="Z1696" s="563"/>
      <c r="AA1696" s="563"/>
      <c r="AB1696" s="563"/>
      <c r="AC1696" s="563"/>
      <c r="AD1696" s="563"/>
      <c r="AE1696" s="563"/>
    </row>
    <row r="1697" spans="2:31" x14ac:dyDescent="0.2">
      <c r="C1697" s="1" t="s">
        <v>761</v>
      </c>
      <c r="F1697" s="1" t="s">
        <v>55</v>
      </c>
      <c r="G1697" s="21">
        <f>SUM(I1697:AE1697)</f>
        <v>0</v>
      </c>
      <c r="I1697" s="21">
        <f t="shared" ref="I1697:V1697" si="958">MIN(I1639-I1618,0)</f>
        <v>0</v>
      </c>
      <c r="J1697" s="21">
        <f t="shared" si="958"/>
        <v>0</v>
      </c>
      <c r="K1697" s="21">
        <f t="shared" si="958"/>
        <v>0</v>
      </c>
      <c r="L1697" s="21">
        <f t="shared" si="958"/>
        <v>0</v>
      </c>
      <c r="M1697" s="21">
        <f t="shared" si="958"/>
        <v>0</v>
      </c>
      <c r="N1697" s="21">
        <f t="shared" si="958"/>
        <v>0</v>
      </c>
      <c r="O1697" s="21">
        <f t="shared" si="958"/>
        <v>0</v>
      </c>
      <c r="P1697" s="21">
        <f t="shared" si="958"/>
        <v>0</v>
      </c>
      <c r="Q1697" s="21">
        <f t="shared" si="958"/>
        <v>0</v>
      </c>
      <c r="R1697" s="21">
        <f t="shared" si="958"/>
        <v>0</v>
      </c>
      <c r="S1697" s="21">
        <f t="shared" si="958"/>
        <v>0</v>
      </c>
      <c r="T1697" s="21">
        <f t="shared" si="958"/>
        <v>0</v>
      </c>
      <c r="U1697" s="21">
        <f t="shared" si="958"/>
        <v>0</v>
      </c>
      <c r="V1697" s="21">
        <f t="shared" si="958"/>
        <v>0</v>
      </c>
      <c r="W1697" s="563"/>
      <c r="X1697" s="563"/>
      <c r="Y1697" s="563"/>
      <c r="Z1697" s="563"/>
      <c r="AA1697" s="563"/>
      <c r="AB1697" s="563"/>
      <c r="AC1697" s="563"/>
      <c r="AD1697" s="563"/>
      <c r="AE1697" s="563"/>
    </row>
    <row r="1698" spans="2:31" x14ac:dyDescent="0.2">
      <c r="C1698" s="1" t="s">
        <v>458</v>
      </c>
      <c r="F1698" s="1" t="s">
        <v>55</v>
      </c>
      <c r="I1698" s="21">
        <f>SUM(I1696:I1697)</f>
        <v>0</v>
      </c>
      <c r="J1698" s="21">
        <f>SUM(J1696:J1697)</f>
        <v>0</v>
      </c>
      <c r="K1698" s="21">
        <f t="shared" ref="K1698:V1698" si="959">SUM(K1696:K1697)</f>
        <v>0</v>
      </c>
      <c r="L1698" s="21">
        <f t="shared" si="959"/>
        <v>0</v>
      </c>
      <c r="M1698" s="21">
        <f t="shared" si="959"/>
        <v>0</v>
      </c>
      <c r="N1698" s="21">
        <f t="shared" si="959"/>
        <v>0</v>
      </c>
      <c r="O1698" s="21">
        <f t="shared" si="959"/>
        <v>0</v>
      </c>
      <c r="P1698" s="21">
        <f t="shared" si="959"/>
        <v>0</v>
      </c>
      <c r="Q1698" s="21">
        <f t="shared" si="959"/>
        <v>0</v>
      </c>
      <c r="R1698" s="21">
        <f t="shared" si="959"/>
        <v>0</v>
      </c>
      <c r="S1698" s="21">
        <f t="shared" si="959"/>
        <v>0</v>
      </c>
      <c r="T1698" s="21">
        <f t="shared" si="959"/>
        <v>0</v>
      </c>
      <c r="U1698" s="21">
        <f t="shared" si="959"/>
        <v>0</v>
      </c>
      <c r="V1698" s="21">
        <f t="shared" si="959"/>
        <v>0</v>
      </c>
      <c r="W1698" s="563"/>
      <c r="X1698" s="563"/>
      <c r="Y1698" s="563"/>
      <c r="Z1698" s="563"/>
      <c r="AA1698" s="563"/>
      <c r="AB1698" s="563"/>
      <c r="AC1698" s="563"/>
      <c r="AD1698" s="563"/>
      <c r="AE1698" s="563"/>
    </row>
    <row r="1700" spans="2:31" x14ac:dyDescent="0.2">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row>
    <row r="1702" spans="2:31" x14ac:dyDescent="0.2">
      <c r="B1702" s="10">
        <f>B1614+0.1</f>
        <v>14.599999999999998</v>
      </c>
      <c r="C1702" s="9" t="s">
        <v>966</v>
      </c>
    </row>
    <row r="1703" spans="2:31" x14ac:dyDescent="0.2">
      <c r="C1703" s="1" t="s">
        <v>945</v>
      </c>
      <c r="E1703" s="97">
        <v>10</v>
      </c>
      <c r="F1703" s="1" t="s">
        <v>55</v>
      </c>
    </row>
    <row r="1704" spans="2:31" x14ac:dyDescent="0.2">
      <c r="C1704" s="1" t="s">
        <v>946</v>
      </c>
      <c r="E1704" s="97">
        <v>0</v>
      </c>
      <c r="F1704" s="1" t="s">
        <v>55</v>
      </c>
    </row>
    <row r="1705" spans="2:31" x14ac:dyDescent="0.2">
      <c r="C1705" s="1" t="s">
        <v>191</v>
      </c>
      <c r="E1705" s="97">
        <v>2</v>
      </c>
      <c r="F1705" s="1" t="s">
        <v>116</v>
      </c>
    </row>
    <row r="1706" spans="2:31" x14ac:dyDescent="0.2">
      <c r="C1706" s="1" t="s">
        <v>929</v>
      </c>
      <c r="E1706" s="512">
        <v>44591</v>
      </c>
      <c r="F1706" s="1" t="s">
        <v>922</v>
      </c>
    </row>
    <row r="1707" spans="2:31" x14ac:dyDescent="0.2">
      <c r="C1707" s="5" t="s">
        <v>205</v>
      </c>
      <c r="D1707" s="5"/>
      <c r="E1707" s="512">
        <f>DATE(YEAR(E1706)+E1705,MONTH(E1706),DAY(E1706))</f>
        <v>45321</v>
      </c>
      <c r="F1707" s="1" t="s">
        <v>922</v>
      </c>
    </row>
    <row r="1708" spans="2:31" x14ac:dyDescent="0.2">
      <c r="C1708" s="1" t="s">
        <v>947</v>
      </c>
      <c r="E1708" s="153">
        <f>264.475%/100</f>
        <v>2.6447500000000002E-2</v>
      </c>
      <c r="F1708" s="1" t="s">
        <v>8</v>
      </c>
    </row>
    <row r="1709" spans="2:31" x14ac:dyDescent="0.2">
      <c r="C1709" s="1" t="s">
        <v>948</v>
      </c>
      <c r="E1709" s="153">
        <v>0.1</v>
      </c>
      <c r="F1709" s="1" t="s">
        <v>8</v>
      </c>
    </row>
    <row r="1710" spans="2:31" x14ac:dyDescent="0.2">
      <c r="C1710" s="1" t="s">
        <v>949</v>
      </c>
      <c r="E1710" s="331">
        <f>E1708+E1709</f>
        <v>0.12644750000000002</v>
      </c>
      <c r="F1710" s="1" t="s">
        <v>8</v>
      </c>
    </row>
    <row r="1711" spans="2:31" x14ac:dyDescent="0.2">
      <c r="C1711" s="1" t="s">
        <v>950</v>
      </c>
      <c r="E1711" s="331">
        <f>E1710/4</f>
        <v>3.1611875000000005E-2</v>
      </c>
      <c r="F1711" s="1" t="s">
        <v>8</v>
      </c>
    </row>
    <row r="1712" spans="2:31" x14ac:dyDescent="0.2">
      <c r="C1712" s="1" t="s">
        <v>953</v>
      </c>
      <c r="E1712" s="153">
        <v>0.03</v>
      </c>
      <c r="F1712" s="1" t="s">
        <v>8</v>
      </c>
    </row>
    <row r="1713" spans="3:22" x14ac:dyDescent="0.2">
      <c r="C1713" s="1" t="s">
        <v>952</v>
      </c>
      <c r="E1713" s="153">
        <v>5.0000000000000001E-3</v>
      </c>
      <c r="F1713" s="1" t="s">
        <v>8</v>
      </c>
    </row>
    <row r="1715" spans="3:22" x14ac:dyDescent="0.2">
      <c r="C1715" s="1" t="s">
        <v>457</v>
      </c>
      <c r="I1715" s="45">
        <f>H1718</f>
        <v>0</v>
      </c>
      <c r="J1715" s="21">
        <f>I1718</f>
        <v>3.00687975</v>
      </c>
      <c r="K1715" s="21">
        <f>J1718</f>
        <v>8.9430422499999995</v>
      </c>
      <c r="L1715" s="21">
        <f>K1718</f>
        <v>9.9999422500000001</v>
      </c>
      <c r="M1715" s="21">
        <f>L1718</f>
        <v>9.9999422500000001</v>
      </c>
      <c r="N1715" s="21">
        <f t="shared" ref="N1715:V1715" si="960">M1718</f>
        <v>9.9999422500000001</v>
      </c>
      <c r="O1715" s="21">
        <f t="shared" si="960"/>
        <v>9.9999422500000001</v>
      </c>
      <c r="P1715" s="21">
        <f t="shared" si="960"/>
        <v>9.9999422500000001</v>
      </c>
      <c r="Q1715" s="21">
        <f t="shared" si="960"/>
        <v>9.9999422500000001</v>
      </c>
      <c r="R1715" s="21">
        <f t="shared" si="960"/>
        <v>9.9999422500000001</v>
      </c>
      <c r="S1715" s="21">
        <f t="shared" si="960"/>
        <v>9.9999422500000001</v>
      </c>
      <c r="T1715" s="21">
        <f t="shared" si="960"/>
        <v>9.9999422500000001</v>
      </c>
      <c r="U1715" s="21">
        <f t="shared" si="960"/>
        <v>9.9999422500000001</v>
      </c>
      <c r="V1715" s="21">
        <f t="shared" si="960"/>
        <v>9.9999422500000001</v>
      </c>
    </row>
    <row r="1716" spans="3:22" x14ac:dyDescent="0.2">
      <c r="C1716" s="1" t="s">
        <v>207</v>
      </c>
      <c r="I1716" s="21">
        <f>MIN($E$1703-H1718,I828)</f>
        <v>3.00687975</v>
      </c>
      <c r="J1716" s="21">
        <f>MIN($E$1703-I1718,J828)</f>
        <v>5.9361625</v>
      </c>
      <c r="K1716" s="21">
        <f>MIN($E$1703-J1718,K828)</f>
        <v>1.0569</v>
      </c>
      <c r="L1716" s="21">
        <f>MIN($E$1703-K1718,L828)</f>
        <v>0</v>
      </c>
      <c r="M1716" s="21">
        <f>MIN($E$1703-L1718,M828)</f>
        <v>0</v>
      </c>
      <c r="N1716" s="21">
        <f t="shared" ref="N1716:V1716" si="961">MIN($E$1703-M1718,N828)</f>
        <v>0</v>
      </c>
      <c r="O1716" s="21">
        <f t="shared" si="961"/>
        <v>0</v>
      </c>
      <c r="P1716" s="21">
        <f t="shared" si="961"/>
        <v>0</v>
      </c>
      <c r="Q1716" s="21">
        <f t="shared" si="961"/>
        <v>0</v>
      </c>
      <c r="R1716" s="21">
        <f t="shared" si="961"/>
        <v>0</v>
      </c>
      <c r="S1716" s="21">
        <f t="shared" si="961"/>
        <v>0</v>
      </c>
      <c r="T1716" s="21">
        <f t="shared" si="961"/>
        <v>0</v>
      </c>
      <c r="U1716" s="21">
        <f t="shared" si="961"/>
        <v>0</v>
      </c>
      <c r="V1716" s="21">
        <f t="shared" si="961"/>
        <v>0</v>
      </c>
    </row>
    <row r="1717" spans="3:22" x14ac:dyDescent="0.2">
      <c r="C1717" s="1" t="s">
        <v>208</v>
      </c>
      <c r="I1717" s="45">
        <f t="shared" ref="I1717:V1717" si="962">($E$1707=I3)*1*(-I1715)</f>
        <v>0</v>
      </c>
      <c r="J1717" s="45">
        <f t="shared" si="962"/>
        <v>0</v>
      </c>
      <c r="K1717" s="45">
        <f t="shared" si="962"/>
        <v>0</v>
      </c>
      <c r="L1717" s="45">
        <f t="shared" si="962"/>
        <v>0</v>
      </c>
      <c r="M1717" s="45">
        <f t="shared" si="962"/>
        <v>0</v>
      </c>
      <c r="N1717" s="45">
        <f t="shared" si="962"/>
        <v>0</v>
      </c>
      <c r="O1717" s="45">
        <f t="shared" si="962"/>
        <v>0</v>
      </c>
      <c r="P1717" s="45">
        <f t="shared" si="962"/>
        <v>0</v>
      </c>
      <c r="Q1717" s="45">
        <f t="shared" si="962"/>
        <v>0</v>
      </c>
      <c r="R1717" s="45">
        <f t="shared" si="962"/>
        <v>0</v>
      </c>
      <c r="S1717" s="45">
        <f t="shared" si="962"/>
        <v>0</v>
      </c>
      <c r="T1717" s="45">
        <f t="shared" si="962"/>
        <v>0</v>
      </c>
      <c r="U1717" s="45">
        <f t="shared" si="962"/>
        <v>0</v>
      </c>
      <c r="V1717" s="45">
        <f t="shared" si="962"/>
        <v>0</v>
      </c>
    </row>
    <row r="1718" spans="3:22" x14ac:dyDescent="0.2">
      <c r="C1718" s="1" t="s">
        <v>458</v>
      </c>
      <c r="H1718" s="106">
        <v>0</v>
      </c>
      <c r="I1718" s="21">
        <f>SUM(I1715:I1717)</f>
        <v>3.00687975</v>
      </c>
      <c r="J1718" s="21">
        <f>SUM(J1715:J1717)</f>
        <v>8.9430422499999995</v>
      </c>
      <c r="K1718" s="21">
        <f>SUM(K1715:K1717)</f>
        <v>9.9999422500000001</v>
      </c>
      <c r="L1718" s="21">
        <f>SUM(L1715:L1717)</f>
        <v>9.9999422500000001</v>
      </c>
      <c r="M1718" s="21">
        <f>SUM(M1715:M1717)</f>
        <v>9.9999422500000001</v>
      </c>
      <c r="N1718" s="21">
        <f t="shared" ref="N1718:V1718" si="963">SUM(N1715:N1717)</f>
        <v>9.9999422500000001</v>
      </c>
      <c r="O1718" s="21">
        <f t="shared" si="963"/>
        <v>9.9999422500000001</v>
      </c>
      <c r="P1718" s="21">
        <f t="shared" si="963"/>
        <v>9.9999422500000001</v>
      </c>
      <c r="Q1718" s="21">
        <f t="shared" si="963"/>
        <v>9.9999422500000001</v>
      </c>
      <c r="R1718" s="21">
        <f t="shared" si="963"/>
        <v>9.9999422500000001</v>
      </c>
      <c r="S1718" s="21">
        <f t="shared" si="963"/>
        <v>9.9999422500000001</v>
      </c>
      <c r="T1718" s="21">
        <f t="shared" si="963"/>
        <v>9.9999422500000001</v>
      </c>
      <c r="U1718" s="21">
        <f t="shared" si="963"/>
        <v>9.9999422500000001</v>
      </c>
      <c r="V1718" s="21">
        <f t="shared" si="963"/>
        <v>9.9999422500000001</v>
      </c>
    </row>
    <row r="1720" spans="3:22" x14ac:dyDescent="0.2">
      <c r="C1720" s="1" t="s">
        <v>145</v>
      </c>
      <c r="I1720" s="21">
        <f>I1718*$E$1711</f>
        <v>9.5053106797031259E-2</v>
      </c>
      <c r="J1720" s="21">
        <f t="shared" ref="J1720:V1720" si="964">J1718*$E$1711</f>
        <v>0.28270633372671877</v>
      </c>
      <c r="K1720" s="21">
        <f t="shared" si="964"/>
        <v>0.31611692441421879</v>
      </c>
      <c r="L1720" s="21">
        <f t="shared" si="964"/>
        <v>0.31611692441421879</v>
      </c>
      <c r="M1720" s="21">
        <f t="shared" si="964"/>
        <v>0.31611692441421879</v>
      </c>
      <c r="N1720" s="21">
        <f t="shared" si="964"/>
        <v>0.31611692441421879</v>
      </c>
      <c r="O1720" s="21">
        <f t="shared" si="964"/>
        <v>0.31611692441421879</v>
      </c>
      <c r="P1720" s="21">
        <f t="shared" si="964"/>
        <v>0.31611692441421879</v>
      </c>
      <c r="Q1720" s="21">
        <f t="shared" si="964"/>
        <v>0.31611692441421879</v>
      </c>
      <c r="R1720" s="21">
        <f t="shared" si="964"/>
        <v>0.31611692441421879</v>
      </c>
      <c r="S1720" s="21">
        <f t="shared" si="964"/>
        <v>0.31611692441421879</v>
      </c>
      <c r="T1720" s="21">
        <f t="shared" si="964"/>
        <v>0.31611692441421879</v>
      </c>
      <c r="U1720" s="21">
        <f t="shared" si="964"/>
        <v>0.31611692441421879</v>
      </c>
      <c r="V1720" s="21">
        <f t="shared" si="964"/>
        <v>0.31611692441421879</v>
      </c>
    </row>
    <row r="1722" spans="3:22" x14ac:dyDescent="0.2">
      <c r="C1722" s="1" t="s">
        <v>951</v>
      </c>
      <c r="F1722" s="1" t="s">
        <v>55</v>
      </c>
      <c r="G1722" s="21">
        <f>SUM(I1722:V1722)</f>
        <v>0.3</v>
      </c>
      <c r="I1722" s="21">
        <f>$E$1712*$E$1703/3</f>
        <v>9.9999999999999992E-2</v>
      </c>
      <c r="J1722" s="21">
        <f>$E$1712*$E$1703/3</f>
        <v>9.9999999999999992E-2</v>
      </c>
      <c r="K1722" s="21">
        <f>$E$1712*$E$1703/3</f>
        <v>9.9999999999999992E-2</v>
      </c>
      <c r="L1722" s="534">
        <v>0</v>
      </c>
      <c r="M1722" s="50">
        <v>0</v>
      </c>
      <c r="N1722" s="50">
        <v>0</v>
      </c>
      <c r="O1722" s="50">
        <v>0</v>
      </c>
      <c r="P1722" s="50">
        <v>0</v>
      </c>
      <c r="Q1722" s="50">
        <v>0</v>
      </c>
      <c r="R1722" s="50">
        <v>0</v>
      </c>
      <c r="S1722" s="50">
        <v>0</v>
      </c>
      <c r="T1722" s="50">
        <v>0</v>
      </c>
      <c r="U1722" s="50">
        <v>0</v>
      </c>
      <c r="V1722" s="50">
        <v>0</v>
      </c>
    </row>
    <row r="1723" spans="3:22" x14ac:dyDescent="0.2">
      <c r="C1723" s="1" t="s">
        <v>952</v>
      </c>
      <c r="F1723" s="1" t="s">
        <v>55</v>
      </c>
      <c r="G1723" s="21">
        <f>SUM(I1723:V1723)</f>
        <v>0.05</v>
      </c>
      <c r="I1723" s="21">
        <f>E1713*E1703</f>
        <v>0.05</v>
      </c>
      <c r="J1723" s="534">
        <v>0</v>
      </c>
      <c r="K1723" s="50">
        <v>0</v>
      </c>
      <c r="L1723" s="50">
        <v>0</v>
      </c>
      <c r="M1723" s="50">
        <v>0</v>
      </c>
      <c r="N1723" s="50">
        <v>0</v>
      </c>
      <c r="O1723" s="50">
        <v>0</v>
      </c>
      <c r="P1723" s="50">
        <v>0</v>
      </c>
      <c r="Q1723" s="50">
        <v>0</v>
      </c>
      <c r="R1723" s="50">
        <v>0</v>
      </c>
      <c r="S1723" s="50">
        <v>0</v>
      </c>
      <c r="T1723" s="50">
        <v>0</v>
      </c>
      <c r="U1723" s="50">
        <v>0</v>
      </c>
      <c r="V1723" s="50">
        <v>0</v>
      </c>
    </row>
    <row r="1724" spans="3:22" x14ac:dyDescent="0.2">
      <c r="C1724" s="1" t="s">
        <v>960</v>
      </c>
      <c r="F1724" s="1" t="s">
        <v>55</v>
      </c>
      <c r="G1724" s="21">
        <f>SUM(I1724:V1724)</f>
        <v>0.35</v>
      </c>
      <c r="I1724" s="21">
        <f>SUM(I1722:I1723)</f>
        <v>0.15</v>
      </c>
      <c r="J1724" s="21">
        <f t="shared" ref="J1724:V1724" si="965">SUM(J1722:J1723)</f>
        <v>9.9999999999999992E-2</v>
      </c>
      <c r="K1724" s="21">
        <f t="shared" si="965"/>
        <v>9.9999999999999992E-2</v>
      </c>
      <c r="L1724" s="21">
        <f t="shared" si="965"/>
        <v>0</v>
      </c>
      <c r="M1724" s="21">
        <f t="shared" si="965"/>
        <v>0</v>
      </c>
      <c r="N1724" s="21">
        <f t="shared" si="965"/>
        <v>0</v>
      </c>
      <c r="O1724" s="21">
        <f t="shared" si="965"/>
        <v>0</v>
      </c>
      <c r="P1724" s="21">
        <f t="shared" si="965"/>
        <v>0</v>
      </c>
      <c r="Q1724" s="21">
        <f t="shared" si="965"/>
        <v>0</v>
      </c>
      <c r="R1724" s="21">
        <f t="shared" si="965"/>
        <v>0</v>
      </c>
      <c r="S1724" s="21">
        <f t="shared" si="965"/>
        <v>0</v>
      </c>
      <c r="T1724" s="21">
        <f t="shared" si="965"/>
        <v>0</v>
      </c>
      <c r="U1724" s="21">
        <f t="shared" si="965"/>
        <v>0</v>
      </c>
      <c r="V1724" s="21">
        <f t="shared" si="965"/>
        <v>0</v>
      </c>
    </row>
    <row r="1726" spans="3:22" x14ac:dyDescent="0.2">
      <c r="C1726" s="9" t="s">
        <v>218</v>
      </c>
    </row>
    <row r="1727" spans="3:22" x14ac:dyDescent="0.2">
      <c r="C1727" s="1" t="s">
        <v>219</v>
      </c>
      <c r="F1727" s="1" t="s">
        <v>55</v>
      </c>
      <c r="I1727" s="106">
        <v>0</v>
      </c>
      <c r="J1727" s="21">
        <f>I1730</f>
        <v>6.25E-2</v>
      </c>
      <c r="K1727" s="21">
        <f t="shared" ref="K1727:V1727" si="966">J1730</f>
        <v>7.4999999999999983E-2</v>
      </c>
      <c r="L1727" s="21">
        <f t="shared" si="966"/>
        <v>0.13124999999999998</v>
      </c>
      <c r="M1727" s="21">
        <f t="shared" si="966"/>
        <v>8.7499999999999981E-2</v>
      </c>
      <c r="N1727" s="21">
        <f t="shared" si="966"/>
        <v>4.3749999999999983E-2</v>
      </c>
      <c r="O1727" s="21">
        <f t="shared" si="966"/>
        <v>0</v>
      </c>
      <c r="P1727" s="21">
        <f t="shared" si="966"/>
        <v>-4.3749999999999997E-2</v>
      </c>
      <c r="Q1727" s="21">
        <f t="shared" si="966"/>
        <v>-8.7499999999999994E-2</v>
      </c>
      <c r="R1727" s="21">
        <f t="shared" si="966"/>
        <v>-8.7499999999999994E-2</v>
      </c>
      <c r="S1727" s="21">
        <f t="shared" si="966"/>
        <v>-8.7499999999999994E-2</v>
      </c>
      <c r="T1727" s="21">
        <f t="shared" si="966"/>
        <v>-8.7499999999999994E-2</v>
      </c>
      <c r="U1727" s="21">
        <f t="shared" si="966"/>
        <v>-8.7499999999999994E-2</v>
      </c>
      <c r="V1727" s="21">
        <f t="shared" si="966"/>
        <v>-8.7499999999999994E-2</v>
      </c>
    </row>
    <row r="1728" spans="3:22" x14ac:dyDescent="0.2">
      <c r="C1728" s="1" t="s">
        <v>126</v>
      </c>
      <c r="F1728" s="1" t="s">
        <v>55</v>
      </c>
      <c r="G1728" s="21">
        <f>SUM(I1728:V1728)</f>
        <v>0.35</v>
      </c>
      <c r="I1728" s="21">
        <f>I1722+I1723</f>
        <v>0.15</v>
      </c>
      <c r="J1728" s="21">
        <f t="shared" ref="J1728:V1728" si="967">J1722+J1723</f>
        <v>9.9999999999999992E-2</v>
      </c>
      <c r="K1728" s="21">
        <f t="shared" si="967"/>
        <v>9.9999999999999992E-2</v>
      </c>
      <c r="L1728" s="21">
        <f t="shared" si="967"/>
        <v>0</v>
      </c>
      <c r="M1728" s="21">
        <f t="shared" si="967"/>
        <v>0</v>
      </c>
      <c r="N1728" s="21">
        <f t="shared" si="967"/>
        <v>0</v>
      </c>
      <c r="O1728" s="21">
        <f t="shared" si="967"/>
        <v>0</v>
      </c>
      <c r="P1728" s="21">
        <f t="shared" si="967"/>
        <v>0</v>
      </c>
      <c r="Q1728" s="21">
        <f t="shared" si="967"/>
        <v>0</v>
      </c>
      <c r="R1728" s="21">
        <f t="shared" si="967"/>
        <v>0</v>
      </c>
      <c r="S1728" s="21">
        <f t="shared" si="967"/>
        <v>0</v>
      </c>
      <c r="T1728" s="21">
        <f t="shared" si="967"/>
        <v>0</v>
      </c>
      <c r="U1728" s="21">
        <f t="shared" si="967"/>
        <v>0</v>
      </c>
      <c r="V1728" s="21">
        <f t="shared" si="967"/>
        <v>0</v>
      </c>
    </row>
    <row r="1729" spans="3:22" x14ac:dyDescent="0.2">
      <c r="C1729" s="1" t="s">
        <v>220</v>
      </c>
      <c r="F1729" s="1" t="s">
        <v>55</v>
      </c>
      <c r="G1729" s="21">
        <f>SUM(I1729:V1729)</f>
        <v>-0.43750000000000006</v>
      </c>
      <c r="I1729" s="527">
        <f>SUMIF('Plant model'!$I$3:$AE$3,YEAR('Quarterly Plant Model'!I$3),'Plant model'!$I1729:$AE1729)/2</f>
        <v>-8.7499999999999994E-2</v>
      </c>
      <c r="J1729" s="527">
        <f>SUMIF('Plant model'!$I$3:$AE$3,YEAR('Quarterly Plant Model'!J$3),'Plant model'!$I1729:$AE1729)/2</f>
        <v>-8.7499999999999994E-2</v>
      </c>
      <c r="K1729" s="43">
        <f>SUMIF('Plant model'!$I$3:$AE$3,YEAR('Quarterly Plant Model'!K$3),'Plant model'!$I1729:$AE1729)/4</f>
        <v>-4.3749999999999997E-2</v>
      </c>
      <c r="L1729" s="43">
        <f>SUMIF('Plant model'!$I$3:$AE$3,YEAR('Quarterly Plant Model'!L$3),'Plant model'!$I1729:$AE1729)/4</f>
        <v>-4.3749999999999997E-2</v>
      </c>
      <c r="M1729" s="43">
        <f>SUMIF('Plant model'!$I$3:$AE$3,YEAR('Quarterly Plant Model'!M$3),'Plant model'!$I1729:$AE1729)/4</f>
        <v>-4.3749999999999997E-2</v>
      </c>
      <c r="N1729" s="43">
        <f>SUMIF('Plant model'!$I$3:$AE$3,YEAR('Quarterly Plant Model'!N$3),'Plant model'!$I1729:$AE1729)/4</f>
        <v>-4.3749999999999997E-2</v>
      </c>
      <c r="O1729" s="43">
        <f>SUMIF('Plant model'!$I$3:$AE$3,YEAR('Quarterly Plant Model'!O$3),'Plant model'!$I1729:$AE1729)/4</f>
        <v>-4.3749999999999997E-2</v>
      </c>
      <c r="P1729" s="43">
        <f>SUMIF('Plant model'!$I$3:$AE$3,YEAR('Quarterly Plant Model'!P$3),'Plant model'!$I1729:$AE1729)/4</f>
        <v>-4.3749999999999997E-2</v>
      </c>
      <c r="Q1729" s="43">
        <f>SUMIF('Plant model'!$I$3:$AE$3,YEAR('Quarterly Plant Model'!Q$3),'Plant model'!$I1729:$AE1729)/4</f>
        <v>0</v>
      </c>
      <c r="R1729" s="43">
        <f>SUMIF('Plant model'!$I$3:$AE$3,YEAR('Quarterly Plant Model'!R$3),'Plant model'!$I1729:$AE1729)/4</f>
        <v>0</v>
      </c>
      <c r="S1729" s="43">
        <f>SUMIF('Plant model'!$I$3:$AE$3,YEAR('Quarterly Plant Model'!S$3),'Plant model'!$I1729:$AE1729)/4</f>
        <v>0</v>
      </c>
      <c r="T1729" s="43">
        <f>SUMIF('Plant model'!$I$3:$AE$3,YEAR('Quarterly Plant Model'!T$3),'Plant model'!$I1729:$AE1729)/4</f>
        <v>0</v>
      </c>
      <c r="U1729" s="43">
        <f>SUMIF('Plant model'!$I$3:$AE$3,YEAR('Quarterly Plant Model'!U$3),'Plant model'!$I1729:$AE1729)/4</f>
        <v>0</v>
      </c>
      <c r="V1729" s="43">
        <f>SUMIF('Plant model'!$I$3:$AE$3,YEAR('Quarterly Plant Model'!V$3),'Plant model'!$I1729:$AE1729)/4</f>
        <v>0</v>
      </c>
    </row>
    <row r="1730" spans="3:22" x14ac:dyDescent="0.2">
      <c r="C1730" s="1" t="s">
        <v>127</v>
      </c>
      <c r="F1730" s="1" t="s">
        <v>55</v>
      </c>
      <c r="I1730" s="21">
        <f>SUM(I1727:I1729)</f>
        <v>6.25E-2</v>
      </c>
      <c r="J1730" s="21">
        <f t="shared" ref="J1730:U1730" si="968">SUM(J1727:J1729)</f>
        <v>7.4999999999999983E-2</v>
      </c>
      <c r="K1730" s="21">
        <f t="shared" si="968"/>
        <v>0.13124999999999998</v>
      </c>
      <c r="L1730" s="21">
        <f t="shared" si="968"/>
        <v>8.7499999999999981E-2</v>
      </c>
      <c r="M1730" s="21">
        <f t="shared" si="968"/>
        <v>4.3749999999999983E-2</v>
      </c>
      <c r="N1730" s="21">
        <f t="shared" si="968"/>
        <v>0</v>
      </c>
      <c r="O1730" s="21">
        <f t="shared" si="968"/>
        <v>-4.3749999999999997E-2</v>
      </c>
      <c r="P1730" s="21">
        <f t="shared" si="968"/>
        <v>-8.7499999999999994E-2</v>
      </c>
      <c r="Q1730" s="21">
        <f t="shared" si="968"/>
        <v>-8.7499999999999994E-2</v>
      </c>
      <c r="R1730" s="21">
        <f t="shared" si="968"/>
        <v>-8.7499999999999994E-2</v>
      </c>
      <c r="S1730" s="21">
        <f t="shared" si="968"/>
        <v>-8.7499999999999994E-2</v>
      </c>
      <c r="T1730" s="21">
        <f t="shared" si="968"/>
        <v>-8.7499999999999994E-2</v>
      </c>
      <c r="U1730" s="21">
        <f t="shared" si="968"/>
        <v>-8.7499999999999994E-2</v>
      </c>
      <c r="V1730" s="21">
        <f>SUM(V1727:V1729)</f>
        <v>-8.7499999999999994E-2</v>
      </c>
    </row>
    <row r="1731" spans="3:22" hidden="1" outlineLevel="1" x14ac:dyDescent="0.2"/>
    <row r="1732" spans="3:22" hidden="1" outlineLevel="1" x14ac:dyDescent="0.2"/>
    <row r="1733" spans="3:22" hidden="1" outlineLevel="1" x14ac:dyDescent="0.2"/>
    <row r="1734" spans="3:22" hidden="1" outlineLevel="1" x14ac:dyDescent="0.2"/>
    <row r="1735" spans="3:22" hidden="1" outlineLevel="1" x14ac:dyDescent="0.2"/>
    <row r="1736" spans="3:22" hidden="1" outlineLevel="1" x14ac:dyDescent="0.2"/>
    <row r="1737" spans="3:22" hidden="1" outlineLevel="1" x14ac:dyDescent="0.2"/>
    <row r="1738" spans="3:22" hidden="1" outlineLevel="1" x14ac:dyDescent="0.2"/>
    <row r="1739" spans="3:22" hidden="1" outlineLevel="1" x14ac:dyDescent="0.2"/>
    <row r="1740" spans="3:22" hidden="1" outlineLevel="1" x14ac:dyDescent="0.2"/>
    <row r="1741" spans="3:22" hidden="1" outlineLevel="1" x14ac:dyDescent="0.2"/>
    <row r="1742" spans="3:22" hidden="1" outlineLevel="1" x14ac:dyDescent="0.2"/>
    <row r="1743" spans="3:22" hidden="1" outlineLevel="1" x14ac:dyDescent="0.2"/>
    <row r="1744" spans="3:22" hidden="1" outlineLevel="1" x14ac:dyDescent="0.2"/>
    <row r="1745" hidden="1" outlineLevel="1" x14ac:dyDescent="0.2"/>
    <row r="1746" hidden="1" outlineLevel="1" x14ac:dyDescent="0.2"/>
    <row r="1747" hidden="1" outlineLevel="1" x14ac:dyDescent="0.2"/>
    <row r="1748" hidden="1" outlineLevel="1" x14ac:dyDescent="0.2"/>
    <row r="1749" hidden="1" outlineLevel="1" x14ac:dyDescent="0.2"/>
    <row r="1750" hidden="1" outlineLevel="1" x14ac:dyDescent="0.2"/>
    <row r="1751" hidden="1" outlineLevel="1" x14ac:dyDescent="0.2"/>
    <row r="1752" hidden="1" outlineLevel="1" x14ac:dyDescent="0.2"/>
    <row r="1753" hidden="1" outlineLevel="1" x14ac:dyDescent="0.2"/>
    <row r="1754" hidden="1" outlineLevel="1" x14ac:dyDescent="0.2"/>
    <row r="1755" hidden="1" outlineLevel="1" x14ac:dyDescent="0.2"/>
    <row r="1756" hidden="1" outlineLevel="1" x14ac:dyDescent="0.2"/>
    <row r="1757" hidden="1" outlineLevel="1" x14ac:dyDescent="0.2"/>
    <row r="1758" hidden="1" outlineLevel="1" x14ac:dyDescent="0.2"/>
    <row r="1759" hidden="1" outlineLevel="1" x14ac:dyDescent="0.2"/>
    <row r="1760" hidden="1" outlineLevel="1" x14ac:dyDescent="0.2"/>
    <row r="1761" spans="2:22" collapsed="1" x14ac:dyDescent="0.2"/>
    <row r="1762" spans="2:22" x14ac:dyDescent="0.2">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row>
    <row r="1764" spans="2:22" x14ac:dyDescent="0.2">
      <c r="B1764" s="10">
        <f>B1702+0.1</f>
        <v>14.699999999999998</v>
      </c>
      <c r="C1764" s="9" t="s">
        <v>225</v>
      </c>
      <c r="D1764" s="9"/>
    </row>
    <row r="1766" spans="2:22" x14ac:dyDescent="0.2">
      <c r="B1766" s="24">
        <f>B1764+0.01</f>
        <v>14.709999999999997</v>
      </c>
      <c r="C1766" s="9" t="s">
        <v>226</v>
      </c>
      <c r="D1766" s="9"/>
    </row>
    <row r="1768" spans="2:22" x14ac:dyDescent="0.2">
      <c r="C1768" s="1" t="s">
        <v>935</v>
      </c>
      <c r="E1768" s="21">
        <f>G828</f>
        <v>9.9999422500000001</v>
      </c>
      <c r="F1768" s="1" t="s">
        <v>55</v>
      </c>
      <c r="G1768" s="88">
        <f t="shared" ref="G1768:G1777" si="969">E1768/$E$1777</f>
        <v>2.0478956260545148E-2</v>
      </c>
    </row>
    <row r="1769" spans="2:22" x14ac:dyDescent="0.2">
      <c r="C1769" s="1" t="s">
        <v>954</v>
      </c>
      <c r="E1769" s="52">
        <f>-G1455</f>
        <v>0.35</v>
      </c>
      <c r="F1769" s="1" t="s">
        <v>55</v>
      </c>
      <c r="G1769" s="88">
        <f t="shared" si="969"/>
        <v>7.1676760845201901E-4</v>
      </c>
    </row>
    <row r="1770" spans="2:22" x14ac:dyDescent="0.2">
      <c r="C1770" s="1" t="s">
        <v>961</v>
      </c>
      <c r="E1770" s="52">
        <f>-G1456</f>
        <v>3.2228117602517194</v>
      </c>
      <c r="F1770" s="1" t="s">
        <v>55</v>
      </c>
      <c r="G1770" s="88">
        <f t="shared" si="969"/>
        <v>6.6000202225333328E-3</v>
      </c>
    </row>
    <row r="1771" spans="2:22" x14ac:dyDescent="0.2">
      <c r="C1771" s="1" t="s">
        <v>940</v>
      </c>
      <c r="E1771" s="52">
        <f>MIN(G1616,G1617)</f>
        <v>465.57598916478941</v>
      </c>
      <c r="F1771" s="1" t="s">
        <v>55</v>
      </c>
      <c r="G1771" s="88">
        <f t="shared" si="969"/>
        <v>0.9534565380180835</v>
      </c>
      <c r="H1771" s="21"/>
      <c r="I1771" s="52"/>
    </row>
    <row r="1772" spans="2:22" x14ac:dyDescent="0.2">
      <c r="C1772" s="1" t="s">
        <v>227</v>
      </c>
      <c r="E1772" s="52">
        <f>-G1452</f>
        <v>9.1545728130854211</v>
      </c>
      <c r="F1772" s="1" t="s">
        <v>55</v>
      </c>
      <c r="G1772" s="88">
        <f t="shared" si="969"/>
        <v>1.8747717890386026E-2</v>
      </c>
      <c r="I1772" s="52"/>
    </row>
    <row r="1773" spans="2:22" x14ac:dyDescent="0.2">
      <c r="C1773" s="1" t="s">
        <v>184</v>
      </c>
      <c r="D1773" s="52"/>
      <c r="E1773" s="52">
        <f>IF($F$1442=1,-G1453,0)</f>
        <v>0</v>
      </c>
      <c r="F1773" s="1" t="s">
        <v>55</v>
      </c>
      <c r="G1773" s="88">
        <f t="shared" si="969"/>
        <v>0</v>
      </c>
      <c r="I1773" s="52"/>
      <c r="L1773" s="5"/>
      <c r="M1773" s="5"/>
      <c r="N1773" s="5"/>
    </row>
    <row r="1774" spans="2:22" x14ac:dyDescent="0.2">
      <c r="C1774" s="1" t="s">
        <v>941</v>
      </c>
      <c r="D1774" s="52"/>
      <c r="E1774" s="52">
        <f>IF($F$1442=1,-G1454,0)</f>
        <v>0</v>
      </c>
      <c r="F1774" s="1" t="s">
        <v>55</v>
      </c>
      <c r="G1774" s="88">
        <f t="shared" si="969"/>
        <v>0</v>
      </c>
      <c r="I1774" s="52"/>
      <c r="L1774" s="5"/>
      <c r="M1774" s="5"/>
      <c r="N1774" s="5"/>
    </row>
    <row r="1775" spans="2:22" x14ac:dyDescent="0.2">
      <c r="C1775" s="9" t="s">
        <v>228</v>
      </c>
      <c r="D1775" s="53"/>
      <c r="E1775" s="53">
        <f>SUM(E1768:E1774)</f>
        <v>488.30331598812654</v>
      </c>
      <c r="F1775" s="1" t="s">
        <v>55</v>
      </c>
      <c r="G1775" s="73">
        <f t="shared" si="969"/>
        <v>1</v>
      </c>
      <c r="I1775" s="53"/>
      <c r="L1775" s="5"/>
      <c r="M1775" s="5"/>
      <c r="N1775" s="5"/>
    </row>
    <row r="1776" spans="2:22" x14ac:dyDescent="0.2">
      <c r="B1776" s="103"/>
      <c r="C1776" s="1" t="s">
        <v>773</v>
      </c>
      <c r="D1776" s="52"/>
      <c r="E1776" s="52">
        <f>E1632</f>
        <v>0</v>
      </c>
      <c r="F1776" s="1" t="s">
        <v>55</v>
      </c>
      <c r="G1776" s="88">
        <f t="shared" si="969"/>
        <v>0</v>
      </c>
      <c r="I1776" s="52"/>
      <c r="L1776" s="5"/>
      <c r="M1776" s="5"/>
      <c r="N1776" s="5"/>
    </row>
    <row r="1777" spans="2:14" x14ac:dyDescent="0.2">
      <c r="C1777" s="9" t="s">
        <v>45</v>
      </c>
      <c r="D1777" s="53"/>
      <c r="E1777" s="53">
        <f>E1775+E1776</f>
        <v>488.30331598812654</v>
      </c>
      <c r="F1777" s="9" t="s">
        <v>55</v>
      </c>
      <c r="G1777" s="73">
        <f t="shared" si="969"/>
        <v>1</v>
      </c>
      <c r="I1777" s="53"/>
      <c r="L1777" s="5"/>
      <c r="M1777" s="5"/>
      <c r="N1777" s="5"/>
    </row>
    <row r="1778" spans="2:14" x14ac:dyDescent="0.2">
      <c r="E1778" s="5"/>
      <c r="L1778" s="5"/>
      <c r="M1778" s="5"/>
      <c r="N1778" s="5"/>
    </row>
    <row r="1779" spans="2:14" x14ac:dyDescent="0.2">
      <c r="B1779" s="24">
        <f>B1766+0.01</f>
        <v>14.719999999999997</v>
      </c>
      <c r="C1779" s="9" t="s">
        <v>229</v>
      </c>
      <c r="D1779" s="9"/>
      <c r="E1779" s="5"/>
      <c r="L1779" s="5"/>
      <c r="M1779" s="5"/>
      <c r="N1779" s="5"/>
    </row>
    <row r="1780" spans="2:14" x14ac:dyDescent="0.2">
      <c r="E1780" s="5"/>
      <c r="L1780" s="5"/>
      <c r="M1780" s="5"/>
      <c r="N1780" s="5"/>
    </row>
    <row r="1781" spans="2:14" x14ac:dyDescent="0.2">
      <c r="C1781" s="1" t="s">
        <v>966</v>
      </c>
      <c r="E1781" s="52">
        <f>E1703</f>
        <v>10</v>
      </c>
      <c r="F1781" s="1" t="s">
        <v>55</v>
      </c>
      <c r="G1781" s="88">
        <f>E1781/$E$1785</f>
        <v>2.0479074527200544E-2</v>
      </c>
      <c r="L1781" s="5"/>
      <c r="M1781" s="5"/>
      <c r="N1781" s="5"/>
    </row>
    <row r="1782" spans="2:14" x14ac:dyDescent="0.2">
      <c r="C1782" s="1" t="s">
        <v>161</v>
      </c>
      <c r="E1782" s="52">
        <f>E1521</f>
        <v>330</v>
      </c>
      <c r="F1782" s="1" t="s">
        <v>55</v>
      </c>
      <c r="G1782" s="88">
        <f>E1782/$E$1785</f>
        <v>0.67580945939761794</v>
      </c>
      <c r="I1782" s="52"/>
      <c r="L1782" s="5"/>
      <c r="M1782" s="5"/>
      <c r="N1782" s="5"/>
    </row>
    <row r="1783" spans="2:14" x14ac:dyDescent="0.2">
      <c r="C1783" s="1" t="s">
        <v>470</v>
      </c>
      <c r="E1783" s="52">
        <f>SUMPRODUCT(I1459:V1459,I947:V947)</f>
        <v>11.714318548527149</v>
      </c>
      <c r="F1783" s="1" t="s">
        <v>55</v>
      </c>
      <c r="G1783" s="88">
        <f>E1783/$E$1785</f>
        <v>2.3989840259065517E-2</v>
      </c>
      <c r="I1783" s="52"/>
    </row>
    <row r="1784" spans="2:14" x14ac:dyDescent="0.2">
      <c r="C1784" s="1" t="s">
        <v>231</v>
      </c>
      <c r="D1784" s="21"/>
      <c r="E1784" s="52">
        <f>E1775-E1782-E1783-E1781</f>
        <v>136.58899743959938</v>
      </c>
      <c r="F1784" s="1" t="s">
        <v>55</v>
      </c>
      <c r="G1784" s="88">
        <f>E1784/$E$1785</f>
        <v>0.27972162581611598</v>
      </c>
      <c r="I1784" s="52"/>
    </row>
    <row r="1785" spans="2:14" x14ac:dyDescent="0.2">
      <c r="C1785" s="9" t="s">
        <v>228</v>
      </c>
      <c r="D1785" s="9"/>
      <c r="E1785" s="53">
        <f>SUM(E1781:E1784)</f>
        <v>488.30331598812654</v>
      </c>
      <c r="F1785" s="9" t="s">
        <v>55</v>
      </c>
      <c r="G1785" s="73">
        <f>SUM(G1782:G1784)</f>
        <v>0.97952092547279945</v>
      </c>
      <c r="I1785" s="53"/>
    </row>
    <row r="1786" spans="2:14" x14ac:dyDescent="0.2">
      <c r="C1786" s="9"/>
      <c r="D1786" s="9"/>
      <c r="E1786" s="53"/>
      <c r="F1786" s="9"/>
      <c r="G1786" s="88"/>
      <c r="I1786" s="53"/>
    </row>
    <row r="1787" spans="2:14" x14ac:dyDescent="0.2">
      <c r="C1787" s="1" t="s">
        <v>783</v>
      </c>
      <c r="E1787" s="52">
        <f>MAX(G1618,0)</f>
        <v>0</v>
      </c>
      <c r="F1787" s="1" t="s">
        <v>55</v>
      </c>
      <c r="G1787" s="88" t="e">
        <f>SUM(G1788:G1789)</f>
        <v>#DIV/0!</v>
      </c>
      <c r="I1787" s="52"/>
    </row>
    <row r="1788" spans="2:14" x14ac:dyDescent="0.2">
      <c r="C1788" s="16" t="s">
        <v>230</v>
      </c>
      <c r="E1788" s="52">
        <f>E1630</f>
        <v>0</v>
      </c>
      <c r="F1788" s="1" t="s">
        <v>55</v>
      </c>
      <c r="G1788" s="88" t="e">
        <f>E1788/E1787</f>
        <v>#DIV/0!</v>
      </c>
      <c r="I1788" s="52"/>
    </row>
    <row r="1789" spans="2:14" x14ac:dyDescent="0.2">
      <c r="C1789" s="16" t="s">
        <v>295</v>
      </c>
      <c r="E1789" s="52">
        <f>E1631</f>
        <v>0</v>
      </c>
      <c r="F1789" s="1" t="s">
        <v>55</v>
      </c>
      <c r="G1789" s="88" t="e">
        <f>E1789/E1787</f>
        <v>#DIV/0!</v>
      </c>
      <c r="I1789" s="52"/>
    </row>
    <row r="1790" spans="2:14" x14ac:dyDescent="0.2">
      <c r="E1790" s="52"/>
      <c r="G1790" s="88"/>
      <c r="I1790" s="52"/>
    </row>
    <row r="1791" spans="2:14" x14ac:dyDescent="0.2">
      <c r="C1791" s="1" t="s">
        <v>296</v>
      </c>
      <c r="E1791" s="52">
        <f>E1781+E1782+E1788</f>
        <v>340</v>
      </c>
      <c r="F1791" s="1" t="s">
        <v>55</v>
      </c>
      <c r="G1791" s="88">
        <f>E1791/E1794</f>
        <v>0.69628853392481849</v>
      </c>
      <c r="I1791" s="52"/>
    </row>
    <row r="1792" spans="2:14" x14ac:dyDescent="0.2">
      <c r="C1792" s="1" t="s">
        <v>470</v>
      </c>
      <c r="E1792" s="52">
        <f>E1783</f>
        <v>11.714318548527149</v>
      </c>
      <c r="F1792" s="1" t="s">
        <v>55</v>
      </c>
      <c r="G1792" s="88">
        <f>E1792/E1794</f>
        <v>2.3989840259065517E-2</v>
      </c>
      <c r="I1792" s="52"/>
    </row>
    <row r="1793" spans="2:37" x14ac:dyDescent="0.2">
      <c r="C1793" s="1" t="s">
        <v>232</v>
      </c>
      <c r="E1793" s="52">
        <f>E1784+E1789</f>
        <v>136.58899743959938</v>
      </c>
      <c r="F1793" s="1" t="s">
        <v>55</v>
      </c>
      <c r="G1793" s="88">
        <f>E1793/E1794</f>
        <v>0.27972162581611598</v>
      </c>
      <c r="I1793" s="52"/>
    </row>
    <row r="1794" spans="2:37" x14ac:dyDescent="0.2">
      <c r="C1794" s="9" t="s">
        <v>233</v>
      </c>
      <c r="D1794" s="9"/>
      <c r="E1794" s="53">
        <f>SUM(E1791:E1793)</f>
        <v>488.30331598812654</v>
      </c>
      <c r="F1794" s="9" t="s">
        <v>55</v>
      </c>
      <c r="G1794" s="73">
        <f>SUM(G1791:G1793)</f>
        <v>1</v>
      </c>
      <c r="I1794" s="53"/>
    </row>
    <row r="1795" spans="2:37" x14ac:dyDescent="0.2">
      <c r="C1795" s="5"/>
      <c r="D1795" s="5"/>
    </row>
    <row r="1796" spans="2:37" x14ac:dyDescent="0.2">
      <c r="B1796" s="6"/>
      <c r="C1796" s="6"/>
      <c r="D1796" s="6"/>
      <c r="E1796" s="7"/>
      <c r="F1796" s="6"/>
      <c r="G1796" s="6"/>
      <c r="H1796" s="6"/>
      <c r="I1796" s="6"/>
      <c r="J1796" s="6"/>
      <c r="K1796" s="6"/>
      <c r="L1796" s="6"/>
      <c r="M1796" s="6"/>
      <c r="N1796" s="6"/>
      <c r="O1796" s="6"/>
      <c r="P1796" s="6"/>
      <c r="Q1796" s="6"/>
      <c r="R1796" s="6"/>
      <c r="S1796" s="6"/>
      <c r="T1796" s="6"/>
      <c r="U1796" s="6"/>
      <c r="V1796" s="6"/>
    </row>
    <row r="1797" spans="2:37" x14ac:dyDescent="0.2">
      <c r="C1797" s="5"/>
      <c r="D1797" s="5"/>
      <c r="AK1797" s="5"/>
    </row>
    <row r="1798" spans="2:37" x14ac:dyDescent="0.2">
      <c r="B1798" s="8">
        <f>B1440+1</f>
        <v>15</v>
      </c>
      <c r="C1798" s="20" t="s">
        <v>297</v>
      </c>
      <c r="D1798" s="5"/>
    </row>
    <row r="1799" spans="2:37" x14ac:dyDescent="0.2">
      <c r="C1799" s="5"/>
      <c r="D1799" s="5"/>
    </row>
    <row r="1800" spans="2:37" x14ac:dyDescent="0.2">
      <c r="C1800" s="20" t="s">
        <v>451</v>
      </c>
      <c r="D1800" s="5"/>
    </row>
    <row r="1801" spans="2:37" x14ac:dyDescent="0.2">
      <c r="B1801" s="1">
        <v>1</v>
      </c>
      <c r="C1801" s="21" t="str">
        <f t="shared" ref="C1801:C1814" si="970">C672</f>
        <v>Labor - ex SGA</v>
      </c>
      <c r="D1801" s="20"/>
      <c r="G1801" s="21">
        <f t="shared" ref="G1801:G1814" si="971">G672</f>
        <v>17.965915645537507</v>
      </c>
      <c r="J1801" s="21"/>
    </row>
    <row r="1802" spans="2:37" x14ac:dyDescent="0.2">
      <c r="B1802" s="1">
        <f>B1801+1</f>
        <v>2</v>
      </c>
      <c r="C1802" s="21" t="str">
        <f t="shared" si="970"/>
        <v>Iron Ore Pellets</v>
      </c>
      <c r="D1802" s="5"/>
      <c r="G1802" s="21">
        <f t="shared" si="971"/>
        <v>188.39710433486587</v>
      </c>
      <c r="J1802" s="21"/>
    </row>
    <row r="1803" spans="2:37" x14ac:dyDescent="0.2">
      <c r="B1803" s="1">
        <f t="shared" ref="B1803:B1814" si="972">B1802+1</f>
        <v>3</v>
      </c>
      <c r="C1803" s="21" t="str">
        <f t="shared" si="970"/>
        <v>Lime</v>
      </c>
      <c r="D1803" s="5"/>
      <c r="G1803" s="21">
        <f t="shared" si="971"/>
        <v>7.9920000000000018</v>
      </c>
      <c r="J1803" s="21"/>
    </row>
    <row r="1804" spans="2:37" x14ac:dyDescent="0.2">
      <c r="B1804" s="1">
        <f t="shared" si="972"/>
        <v>4</v>
      </c>
      <c r="C1804" s="21" t="str">
        <f t="shared" si="970"/>
        <v>Briquettes</v>
      </c>
      <c r="D1804" s="5"/>
      <c r="G1804" s="21">
        <f t="shared" si="971"/>
        <v>0.29976503033391522</v>
      </c>
      <c r="J1804" s="21"/>
    </row>
    <row r="1805" spans="2:37" x14ac:dyDescent="0.2">
      <c r="B1805" s="1">
        <f t="shared" si="972"/>
        <v>5</v>
      </c>
      <c r="C1805" s="21" t="str">
        <f t="shared" si="970"/>
        <v>Electricity</v>
      </c>
      <c r="D1805" s="5"/>
      <c r="G1805" s="21">
        <f t="shared" si="971"/>
        <v>18.212375416031385</v>
      </c>
    </row>
    <row r="1806" spans="2:37" x14ac:dyDescent="0.2">
      <c r="B1806" s="1">
        <f t="shared" si="972"/>
        <v>6</v>
      </c>
      <c r="C1806" s="21" t="str">
        <f t="shared" si="970"/>
        <v>Natural Gas</v>
      </c>
      <c r="D1806" s="5"/>
      <c r="G1806" s="21">
        <f t="shared" si="971"/>
        <v>39.47345058632272</v>
      </c>
      <c r="I1806" s="21"/>
      <c r="J1806" s="21"/>
    </row>
    <row r="1807" spans="2:37" x14ac:dyDescent="0.2">
      <c r="B1807" s="1">
        <f t="shared" si="972"/>
        <v>7</v>
      </c>
      <c r="C1807" s="21" t="str">
        <f t="shared" si="970"/>
        <v>Maintenance</v>
      </c>
      <c r="D1807" s="5"/>
      <c r="G1807" s="21">
        <f t="shared" si="971"/>
        <v>6.9207763595009295</v>
      </c>
      <c r="J1807" s="21"/>
    </row>
    <row r="1808" spans="2:37" x14ac:dyDescent="0.2">
      <c r="B1808" s="1">
        <f t="shared" si="972"/>
        <v>8</v>
      </c>
      <c r="C1808" s="21" t="str">
        <f t="shared" si="970"/>
        <v>Electrodes</v>
      </c>
      <c r="D1808" s="5"/>
      <c r="G1808" s="21">
        <f t="shared" si="971"/>
        <v>24</v>
      </c>
      <c r="J1808" s="21"/>
    </row>
    <row r="1809" spans="2:10" x14ac:dyDescent="0.2">
      <c r="B1809" s="1">
        <f t="shared" si="972"/>
        <v>9</v>
      </c>
      <c r="C1809" s="21" t="str">
        <f t="shared" si="970"/>
        <v>Refractories</v>
      </c>
      <c r="D1809" s="5"/>
      <c r="G1809" s="21">
        <f t="shared" si="971"/>
        <v>10.007841911323366</v>
      </c>
    </row>
    <row r="1810" spans="2:10" x14ac:dyDescent="0.2">
      <c r="B1810" s="1">
        <f t="shared" si="972"/>
        <v>10</v>
      </c>
      <c r="C1810" s="21" t="str">
        <f t="shared" si="970"/>
        <v>Slag processing</v>
      </c>
      <c r="D1810" s="5"/>
      <c r="G1810" s="21">
        <f t="shared" si="971"/>
        <v>3.1750616470588238</v>
      </c>
      <c r="H1810" s="21"/>
      <c r="J1810" s="21"/>
    </row>
    <row r="1811" spans="2:10" x14ac:dyDescent="0.2">
      <c r="B1811" s="1">
        <f t="shared" si="972"/>
        <v>11</v>
      </c>
      <c r="C1811" s="21" t="str">
        <f t="shared" si="970"/>
        <v>Other gases and supplies</v>
      </c>
      <c r="D1811" s="5"/>
      <c r="G1811" s="21">
        <f t="shared" si="971"/>
        <v>0.22704096972036183</v>
      </c>
    </row>
    <row r="1812" spans="2:10" x14ac:dyDescent="0.2">
      <c r="B1812" s="1">
        <f t="shared" si="972"/>
        <v>12</v>
      </c>
      <c r="C1812" s="21" t="str">
        <f t="shared" si="970"/>
        <v>General services and mobile equipment</v>
      </c>
      <c r="D1812" s="5"/>
      <c r="G1812" s="21">
        <f t="shared" si="971"/>
        <v>1.75</v>
      </c>
    </row>
    <row r="1813" spans="2:10" x14ac:dyDescent="0.2">
      <c r="B1813" s="1">
        <f t="shared" si="972"/>
        <v>13</v>
      </c>
      <c r="C1813" s="21" t="str">
        <f t="shared" si="970"/>
        <v>Industrial Water</v>
      </c>
      <c r="D1813" s="5"/>
      <c r="G1813" s="21">
        <f t="shared" si="971"/>
        <v>0.44252771362586607</v>
      </c>
    </row>
    <row r="1814" spans="2:10" x14ac:dyDescent="0.2">
      <c r="B1814" s="1">
        <f t="shared" si="972"/>
        <v>14</v>
      </c>
      <c r="C1814" s="21" t="str">
        <f t="shared" si="970"/>
        <v>O2, N2, others</v>
      </c>
      <c r="D1814" s="5"/>
      <c r="G1814" s="21">
        <f t="shared" si="971"/>
        <v>5.05</v>
      </c>
    </row>
    <row r="1815" spans="2:10" x14ac:dyDescent="0.2">
      <c r="C1815" s="44" t="s">
        <v>510</v>
      </c>
      <c r="D1815" s="20"/>
      <c r="E1815" s="9"/>
      <c r="F1815" s="9"/>
      <c r="G1815" s="44">
        <f>SUM(G1801:G1814)</f>
        <v>323.9138596143207</v>
      </c>
      <c r="I1815" s="44"/>
      <c r="J1815" s="21"/>
    </row>
    <row r="1816" spans="2:10" x14ac:dyDescent="0.2">
      <c r="C1816" s="5"/>
      <c r="D1816" s="5"/>
      <c r="G1816" s="21"/>
    </row>
    <row r="1817" spans="2:10" x14ac:dyDescent="0.2">
      <c r="C1817" s="5"/>
      <c r="D1817" s="5"/>
      <c r="J1817" s="5"/>
    </row>
    <row r="1818" spans="2:10" x14ac:dyDescent="0.2">
      <c r="C1818" s="5" t="str">
        <f t="shared" ref="C1818:C1831" si="973">INDEX($C$1801:$C$1814,(MATCH(G1818,$G$1801:$G$1814,0)))</f>
        <v>Iron Ore Pellets</v>
      </c>
      <c r="D1818" s="5"/>
      <c r="F1818" s="1" t="s">
        <v>3</v>
      </c>
      <c r="G1818" s="21">
        <f t="shared" ref="G1818:G1831" si="974">LARGE($G$1801:$G$1814,B1801)</f>
        <v>188.39710433486587</v>
      </c>
      <c r="H1818" s="36">
        <f t="shared" ref="H1818:H1831" si="975">G1818/$G$1832</f>
        <v>0.5816271787789119</v>
      </c>
      <c r="J1818" s="5"/>
    </row>
    <row r="1819" spans="2:10" x14ac:dyDescent="0.2">
      <c r="C1819" s="5" t="str">
        <f t="shared" si="973"/>
        <v>Natural Gas</v>
      </c>
      <c r="D1819" s="5"/>
      <c r="F1819" s="1" t="s">
        <v>3</v>
      </c>
      <c r="G1819" s="21">
        <f t="shared" si="974"/>
        <v>39.47345058632272</v>
      </c>
      <c r="H1819" s="36">
        <f t="shared" si="975"/>
        <v>0.12186403704158617</v>
      </c>
      <c r="J1819" s="5"/>
    </row>
    <row r="1820" spans="2:10" x14ac:dyDescent="0.2">
      <c r="C1820" s="5" t="str">
        <f t="shared" si="973"/>
        <v>Electrodes</v>
      </c>
      <c r="D1820" s="20"/>
      <c r="F1820" s="1" t="s">
        <v>3</v>
      </c>
      <c r="G1820" s="21">
        <f t="shared" si="974"/>
        <v>24</v>
      </c>
      <c r="H1820" s="36">
        <f t="shared" si="975"/>
        <v>7.4093773043785269E-2</v>
      </c>
      <c r="J1820" s="5"/>
    </row>
    <row r="1821" spans="2:10" x14ac:dyDescent="0.2">
      <c r="C1821" s="5" t="str">
        <f t="shared" si="973"/>
        <v>Electricity</v>
      </c>
      <c r="F1821" s="1" t="s">
        <v>3</v>
      </c>
      <c r="G1821" s="21">
        <f t="shared" si="974"/>
        <v>18.212375416031385</v>
      </c>
      <c r="H1821" s="36">
        <f t="shared" si="975"/>
        <v>5.6225983777651818E-2</v>
      </c>
      <c r="J1821" s="5"/>
    </row>
    <row r="1822" spans="2:10" x14ac:dyDescent="0.2">
      <c r="C1822" s="5" t="str">
        <f t="shared" si="973"/>
        <v>Labor - ex SGA</v>
      </c>
      <c r="F1822" s="1" t="s">
        <v>3</v>
      </c>
      <c r="G1822" s="21">
        <f t="shared" si="974"/>
        <v>17.965915645537507</v>
      </c>
      <c r="H1822" s="36">
        <f t="shared" si="975"/>
        <v>5.5465103181843618E-2</v>
      </c>
      <c r="J1822" s="5"/>
    </row>
    <row r="1823" spans="2:10" x14ac:dyDescent="0.2">
      <c r="C1823" s="5" t="str">
        <f t="shared" si="973"/>
        <v>Refractories</v>
      </c>
      <c r="F1823" s="1" t="s">
        <v>3</v>
      </c>
      <c r="G1823" s="21">
        <f t="shared" si="974"/>
        <v>10.007841911323366</v>
      </c>
      <c r="H1823" s="36">
        <f t="shared" si="975"/>
        <v>3.0896615301486484E-2</v>
      </c>
      <c r="J1823" s="5"/>
    </row>
    <row r="1824" spans="2:10" x14ac:dyDescent="0.2">
      <c r="C1824" s="5" t="str">
        <f t="shared" si="973"/>
        <v>Lime</v>
      </c>
      <c r="F1824" s="1" t="s">
        <v>3</v>
      </c>
      <c r="G1824" s="21">
        <f t="shared" si="974"/>
        <v>7.9920000000000018</v>
      </c>
      <c r="H1824" s="36">
        <f t="shared" si="975"/>
        <v>2.46732264235805E-2</v>
      </c>
      <c r="J1824" s="5"/>
    </row>
    <row r="1825" spans="2:10" x14ac:dyDescent="0.2">
      <c r="C1825" s="5" t="str">
        <f t="shared" si="973"/>
        <v>Maintenance</v>
      </c>
      <c r="F1825" s="1" t="s">
        <v>3</v>
      </c>
      <c r="G1825" s="21">
        <f t="shared" si="974"/>
        <v>6.9207763595009295</v>
      </c>
      <c r="H1825" s="36">
        <f t="shared" si="975"/>
        <v>2.136610136948568E-2</v>
      </c>
      <c r="J1825" s="5"/>
    </row>
    <row r="1826" spans="2:10" x14ac:dyDescent="0.2">
      <c r="C1826" s="5" t="str">
        <f t="shared" si="973"/>
        <v>O2, N2, others</v>
      </c>
      <c r="F1826" s="1" t="s">
        <v>3</v>
      </c>
      <c r="G1826" s="21">
        <f t="shared" si="974"/>
        <v>5.05</v>
      </c>
      <c r="H1826" s="36">
        <f t="shared" si="975"/>
        <v>1.5590564744629816E-2</v>
      </c>
    </row>
    <row r="1827" spans="2:10" x14ac:dyDescent="0.2">
      <c r="C1827" s="5" t="str">
        <f t="shared" si="973"/>
        <v>Slag processing</v>
      </c>
      <c r="F1827" s="1" t="s">
        <v>3</v>
      </c>
      <c r="G1827" s="21">
        <f t="shared" si="974"/>
        <v>3.1750616470588238</v>
      </c>
      <c r="H1827" s="36">
        <f t="shared" si="975"/>
        <v>9.80217904488348E-3</v>
      </c>
    </row>
    <row r="1828" spans="2:10" x14ac:dyDescent="0.2">
      <c r="C1828" s="5" t="str">
        <f t="shared" si="973"/>
        <v>General services and mobile equipment</v>
      </c>
      <c r="F1828" s="1" t="s">
        <v>3</v>
      </c>
      <c r="G1828" s="21">
        <f t="shared" si="974"/>
        <v>1.75</v>
      </c>
      <c r="H1828" s="36">
        <f t="shared" si="975"/>
        <v>5.4026709511093424E-3</v>
      </c>
    </row>
    <row r="1829" spans="2:10" x14ac:dyDescent="0.2">
      <c r="C1829" s="5" t="str">
        <f t="shared" si="973"/>
        <v>Industrial Water</v>
      </c>
      <c r="F1829" s="1" t="s">
        <v>3</v>
      </c>
      <c r="G1829" s="21">
        <f t="shared" si="974"/>
        <v>0.44252771362586607</v>
      </c>
      <c r="H1829" s="36">
        <f t="shared" si="975"/>
        <v>1.3661894991241718E-3</v>
      </c>
    </row>
    <row r="1830" spans="2:10" x14ac:dyDescent="0.2">
      <c r="C1830" s="5" t="str">
        <f t="shared" si="973"/>
        <v>Briquettes</v>
      </c>
      <c r="F1830" s="1" t="s">
        <v>3</v>
      </c>
      <c r="G1830" s="21">
        <f t="shared" si="974"/>
        <v>0.29976503033391522</v>
      </c>
      <c r="H1830" s="36">
        <f t="shared" si="975"/>
        <v>9.2544675516768838E-4</v>
      </c>
    </row>
    <row r="1831" spans="2:10" x14ac:dyDescent="0.2">
      <c r="C1831" s="5" t="str">
        <f t="shared" si="973"/>
        <v>Other gases and supplies</v>
      </c>
      <c r="F1831" s="1" t="s">
        <v>3</v>
      </c>
      <c r="G1831" s="21">
        <f t="shared" si="974"/>
        <v>0.22704096972036183</v>
      </c>
      <c r="H1831" s="36">
        <f t="shared" si="975"/>
        <v>7.0093008675422555E-4</v>
      </c>
    </row>
    <row r="1832" spans="2:10" x14ac:dyDescent="0.2">
      <c r="C1832" s="44" t="s">
        <v>510</v>
      </c>
      <c r="F1832" s="9" t="s">
        <v>3</v>
      </c>
      <c r="G1832" s="44">
        <f>SUM(G1818:G1831)</f>
        <v>323.9138596143207</v>
      </c>
      <c r="H1832" s="84">
        <f>SUM(H1818:H1831)</f>
        <v>1.0000000000000002</v>
      </c>
    </row>
    <row r="1835" spans="2:10" x14ac:dyDescent="0.2">
      <c r="C1835" s="20"/>
    </row>
    <row r="1836" spans="2:10" x14ac:dyDescent="0.2">
      <c r="B1836" s="1">
        <v>1</v>
      </c>
      <c r="C1836" s="1" t="str">
        <f t="shared" ref="C1836:C1841" si="976">C696</f>
        <v>Labor</v>
      </c>
      <c r="G1836" s="21">
        <f t="shared" ref="G1836:G1841" si="977">G696</f>
        <v>17.965915645537507</v>
      </c>
    </row>
    <row r="1837" spans="2:10" x14ac:dyDescent="0.2">
      <c r="B1837" s="1">
        <f>B1836+1</f>
        <v>2</v>
      </c>
      <c r="C1837" s="1" t="str">
        <f t="shared" si="976"/>
        <v>Raw Material Costs</v>
      </c>
      <c r="G1837" s="21">
        <f t="shared" si="977"/>
        <v>196.68886936519979</v>
      </c>
    </row>
    <row r="1838" spans="2:10" x14ac:dyDescent="0.2">
      <c r="B1838" s="1">
        <f t="shared" ref="B1838:B1844" si="978">B1837+1</f>
        <v>3</v>
      </c>
      <c r="C1838" s="1" t="str">
        <f t="shared" si="976"/>
        <v>Storage &amp; Cold Processing</v>
      </c>
      <c r="G1838" s="21">
        <f t="shared" si="977"/>
        <v>0.44102329320293865</v>
      </c>
    </row>
    <row r="1839" spans="2:10" x14ac:dyDescent="0.2">
      <c r="B1839" s="1">
        <f t="shared" si="978"/>
        <v>4</v>
      </c>
      <c r="C1839" s="1" t="str">
        <f t="shared" si="976"/>
        <v>Shaft Furnace</v>
      </c>
      <c r="G1839" s="21">
        <f t="shared" si="977"/>
        <v>50.668142776852839</v>
      </c>
    </row>
    <row r="1840" spans="2:10" x14ac:dyDescent="0.2">
      <c r="B1840" s="1">
        <f t="shared" si="978"/>
        <v>5</v>
      </c>
      <c r="C1840" s="1" t="str">
        <f t="shared" si="976"/>
        <v>EAF</v>
      </c>
      <c r="G1840" s="21">
        <f t="shared" si="977"/>
        <v>51.054421937992899</v>
      </c>
    </row>
    <row r="1841" spans="2:8" x14ac:dyDescent="0.2">
      <c r="B1841" s="1">
        <f t="shared" si="978"/>
        <v>6</v>
      </c>
      <c r="C1841" s="1" t="str">
        <f t="shared" si="976"/>
        <v>Auxiliaries</v>
      </c>
      <c r="G1841" s="21">
        <f t="shared" si="977"/>
        <v>7.0954865955347763</v>
      </c>
    </row>
    <row r="1842" spans="2:8" x14ac:dyDescent="0.2">
      <c r="B1842" s="1">
        <f t="shared" si="978"/>
        <v>7</v>
      </c>
      <c r="C1842" s="1" t="s">
        <v>444</v>
      </c>
      <c r="G1842" s="21">
        <f>G805</f>
        <v>15.352560101031592</v>
      </c>
    </row>
    <row r="1843" spans="2:8" x14ac:dyDescent="0.2">
      <c r="B1843" s="1">
        <f t="shared" si="978"/>
        <v>8</v>
      </c>
      <c r="C1843" s="1" t="s">
        <v>508</v>
      </c>
      <c r="G1843" s="52">
        <f>-('Plant model'!$G$1259+'Plant model'!$G$1260)/'Plant model'!$G$104</f>
        <v>55.408227618756499</v>
      </c>
    </row>
    <row r="1844" spans="2:8" x14ac:dyDescent="0.2">
      <c r="B1844" s="1">
        <f t="shared" si="978"/>
        <v>9</v>
      </c>
      <c r="C1844" s="1" t="s">
        <v>145</v>
      </c>
      <c r="G1844" s="52">
        <f>-(G1263+G1264)/G104</f>
        <v>3.5521359274357649</v>
      </c>
    </row>
    <row r="1845" spans="2:8" x14ac:dyDescent="0.2">
      <c r="C1845" s="44" t="str">
        <f>C1815</f>
        <v>Total Pig Iron Production Costs</v>
      </c>
      <c r="G1845" s="44">
        <f>SUM(G1836:G1844)</f>
        <v>398.2267832615446</v>
      </c>
      <c r="H1845" s="21"/>
    </row>
    <row r="1848" spans="2:8" x14ac:dyDescent="0.2">
      <c r="C1848" s="5" t="str">
        <f>INDEX($C$1836:$C$1844,(MATCH(G1848,$G$1836:$G$1844,0)))</f>
        <v>Raw Material Costs</v>
      </c>
      <c r="G1848" s="21">
        <f t="shared" ref="G1848:G1856" si="979">LARGE($G$1836:$G$1844,B1836)</f>
        <v>196.68886936519979</v>
      </c>
      <c r="H1848" s="36">
        <f t="shared" ref="H1848:H1856" si="980">G1848/$G$1857</f>
        <v>0.49391170466809065</v>
      </c>
    </row>
    <row r="1849" spans="2:8" x14ac:dyDescent="0.2">
      <c r="C1849" s="5" t="str">
        <f t="shared" ref="C1849:C1856" si="981">INDEX($C$1836:$C$1844,(MATCH(G1849,$G$1836:$G$1844,0)))</f>
        <v>D&amp;A</v>
      </c>
      <c r="G1849" s="21">
        <f t="shared" si="979"/>
        <v>55.408227618756499</v>
      </c>
      <c r="H1849" s="36">
        <f t="shared" si="980"/>
        <v>0.13913737083416075</v>
      </c>
    </row>
    <row r="1850" spans="2:8" x14ac:dyDescent="0.2">
      <c r="C1850" s="5" t="str">
        <f>INDEX($C$1836:$C$1844,(MATCH(G1850,$G$1836:$G$1844,0)))</f>
        <v>EAF</v>
      </c>
      <c r="G1850" s="21">
        <f t="shared" si="979"/>
        <v>51.054421937992899</v>
      </c>
      <c r="H1850" s="36">
        <f t="shared" si="980"/>
        <v>0.1282043902719163</v>
      </c>
    </row>
    <row r="1851" spans="2:8" x14ac:dyDescent="0.2">
      <c r="C1851" s="5" t="str">
        <f t="shared" si="981"/>
        <v>Shaft Furnace</v>
      </c>
      <c r="G1851" s="21">
        <f t="shared" si="979"/>
        <v>50.668142776852839</v>
      </c>
      <c r="H1851" s="36">
        <f t="shared" si="980"/>
        <v>0.12723439232758829</v>
      </c>
    </row>
    <row r="1852" spans="2:8" x14ac:dyDescent="0.2">
      <c r="C1852" s="5" t="str">
        <f t="shared" si="981"/>
        <v>Labor</v>
      </c>
      <c r="G1852" s="21">
        <f t="shared" si="979"/>
        <v>17.965915645537507</v>
      </c>
      <c r="H1852" s="36">
        <f t="shared" si="980"/>
        <v>4.5114784842932014E-2</v>
      </c>
    </row>
    <row r="1853" spans="2:8" x14ac:dyDescent="0.2">
      <c r="C1853" s="5" t="str">
        <f>INDEX($C$1836:$C$1844,(MATCH(G1853,$G$1836:$G$1844,0)))</f>
        <v>SG&amp;A</v>
      </c>
      <c r="G1853" s="21">
        <f t="shared" si="979"/>
        <v>15.352560101031592</v>
      </c>
      <c r="H1853" s="36">
        <f t="shared" si="980"/>
        <v>3.8552304230497832E-2</v>
      </c>
    </row>
    <row r="1854" spans="2:8" x14ac:dyDescent="0.2">
      <c r="C1854" s="5" t="str">
        <f t="shared" si="981"/>
        <v>Auxiliaries</v>
      </c>
      <c r="G1854" s="21">
        <f t="shared" si="979"/>
        <v>7.0954865955347763</v>
      </c>
      <c r="H1854" s="36">
        <f t="shared" si="980"/>
        <v>1.7817703112335995E-2</v>
      </c>
    </row>
    <row r="1855" spans="2:8" x14ac:dyDescent="0.2">
      <c r="C1855" s="5" t="str">
        <f t="shared" si="981"/>
        <v>Interest</v>
      </c>
      <c r="G1855" s="21">
        <f t="shared" si="979"/>
        <v>3.5521359274357649</v>
      </c>
      <c r="H1855" s="36">
        <f t="shared" si="980"/>
        <v>8.9198820288860815E-3</v>
      </c>
    </row>
    <row r="1856" spans="2:8" x14ac:dyDescent="0.2">
      <c r="C1856" s="5" t="str">
        <f t="shared" si="981"/>
        <v>Storage &amp; Cold Processing</v>
      </c>
      <c r="G1856" s="21">
        <f t="shared" si="979"/>
        <v>0.44102329320293865</v>
      </c>
      <c r="H1856" s="36">
        <f t="shared" si="980"/>
        <v>1.1074676835919556E-3</v>
      </c>
    </row>
    <row r="1857" spans="2:37" x14ac:dyDescent="0.2">
      <c r="C1857" s="44" t="str">
        <f>C1832</f>
        <v>Total Pig Iron Production Costs</v>
      </c>
      <c r="G1857" s="44">
        <f>SUM(G1848:G1856)</f>
        <v>398.22678326154465</v>
      </c>
      <c r="H1857" s="84">
        <f>SUM(H1848:H1856)</f>
        <v>0.99999999999999978</v>
      </c>
    </row>
    <row r="1859" spans="2:37" hidden="1" outlineLevel="1" x14ac:dyDescent="0.2">
      <c r="B1859" s="6"/>
      <c r="C1859" s="6"/>
      <c r="D1859" s="6"/>
      <c r="E1859" s="7"/>
      <c r="F1859" s="6"/>
      <c r="G1859" s="6"/>
      <c r="H1859" s="6"/>
      <c r="I1859" s="6"/>
      <c r="J1859" s="6"/>
      <c r="K1859" s="6"/>
      <c r="L1859" s="6"/>
      <c r="M1859" s="6"/>
      <c r="N1859" s="6"/>
      <c r="O1859" s="6"/>
      <c r="P1859" s="6"/>
      <c r="Q1859" s="6"/>
      <c r="R1859" s="6"/>
      <c r="S1859" s="6"/>
      <c r="T1859" s="6"/>
      <c r="U1859" s="6"/>
      <c r="V1859" s="6"/>
    </row>
    <row r="1860" spans="2:37" hidden="1" outlineLevel="1" x14ac:dyDescent="0.2">
      <c r="AK1860" s="5"/>
    </row>
    <row r="1861" spans="2:37" hidden="1" outlineLevel="1" x14ac:dyDescent="0.2">
      <c r="B1861" s="8">
        <f>B1798+1</f>
        <v>16</v>
      </c>
      <c r="C1861" s="9" t="s">
        <v>298</v>
      </c>
    </row>
    <row r="1862" spans="2:37" hidden="1" outlineLevel="1" x14ac:dyDescent="0.2">
      <c r="E1862" s="21"/>
    </row>
    <row r="1863" spans="2:37" hidden="1" outlineLevel="1" x14ac:dyDescent="0.2">
      <c r="B1863" s="10">
        <f>B1861+0.1</f>
        <v>16.100000000000001</v>
      </c>
      <c r="C1863" s="9" t="s">
        <v>299</v>
      </c>
    </row>
    <row r="1864" spans="2:37" hidden="1" outlineLevel="1" x14ac:dyDescent="0.2">
      <c r="B1864" s="110"/>
    </row>
    <row r="1865" spans="2:37" hidden="1" outlineLevel="1" x14ac:dyDescent="0.2">
      <c r="B1865" s="110"/>
      <c r="C1865" s="1" t="s">
        <v>300</v>
      </c>
      <c r="E1865" s="49"/>
      <c r="F1865" s="1" t="s">
        <v>55</v>
      </c>
      <c r="G1865" s="21">
        <f>SUM(I1865:AE1865)</f>
        <v>475.57593141478941</v>
      </c>
      <c r="H1865" s="21"/>
      <c r="I1865" s="21">
        <f t="shared" ref="I1865:V1865" si="982">-I1450</f>
        <v>3.00687975</v>
      </c>
      <c r="J1865" s="21">
        <f t="shared" si="982"/>
        <v>5.9361625</v>
      </c>
      <c r="K1865" s="21">
        <f t="shared" si="982"/>
        <v>1.0569</v>
      </c>
      <c r="L1865" s="21">
        <f t="shared" si="982"/>
        <v>46.557598916478945</v>
      </c>
      <c r="M1865" s="21">
        <f t="shared" si="982"/>
        <v>58.196998645598669</v>
      </c>
      <c r="N1865" s="21">
        <f t="shared" si="982"/>
        <v>69.836398374718414</v>
      </c>
      <c r="O1865" s="21">
        <f t="shared" si="982"/>
        <v>69.836398374718414</v>
      </c>
      <c r="P1865" s="21">
        <f t="shared" si="982"/>
        <v>69.836398374718414</v>
      </c>
      <c r="Q1865" s="21">
        <f t="shared" si="982"/>
        <v>69.836398374718414</v>
      </c>
      <c r="R1865" s="21">
        <f t="shared" si="982"/>
        <v>58.196998645598669</v>
      </c>
      <c r="S1865" s="21">
        <f t="shared" si="982"/>
        <v>23.278799458239472</v>
      </c>
      <c r="T1865" s="21">
        <f t="shared" si="982"/>
        <v>0</v>
      </c>
      <c r="U1865" s="21">
        <f t="shared" si="982"/>
        <v>0</v>
      </c>
      <c r="V1865" s="21">
        <f t="shared" si="982"/>
        <v>0</v>
      </c>
      <c r="W1865" s="563"/>
      <c r="X1865" s="563"/>
      <c r="Y1865" s="563"/>
      <c r="Z1865" s="563"/>
      <c r="AA1865" s="563"/>
      <c r="AB1865" s="563"/>
      <c r="AC1865" s="563"/>
      <c r="AD1865" s="563"/>
      <c r="AE1865" s="563"/>
    </row>
    <row r="1866" spans="2:37" hidden="1" outlineLevel="1" x14ac:dyDescent="0.2">
      <c r="B1866" s="110"/>
      <c r="C1866" s="1" t="s">
        <v>301</v>
      </c>
      <c r="E1866" s="49"/>
      <c r="F1866" s="1" t="s">
        <v>55</v>
      </c>
      <c r="G1866" s="21">
        <f>SUM(I1866:AE1866)</f>
        <v>0</v>
      </c>
      <c r="H1866" s="21"/>
      <c r="I1866" s="21">
        <f t="shared" ref="I1866:V1866" si="983">-I1380*(I1865=0)</f>
        <v>0</v>
      </c>
      <c r="J1866" s="21">
        <f t="shared" si="983"/>
        <v>0</v>
      </c>
      <c r="K1866" s="21">
        <f t="shared" si="983"/>
        <v>0</v>
      </c>
      <c r="L1866" s="21">
        <f t="shared" si="983"/>
        <v>0</v>
      </c>
      <c r="M1866" s="21">
        <f t="shared" si="983"/>
        <v>0</v>
      </c>
      <c r="N1866" s="21">
        <f t="shared" si="983"/>
        <v>0</v>
      </c>
      <c r="O1866" s="21">
        <f t="shared" si="983"/>
        <v>0</v>
      </c>
      <c r="P1866" s="21">
        <f t="shared" si="983"/>
        <v>0</v>
      </c>
      <c r="Q1866" s="21">
        <f t="shared" si="983"/>
        <v>0</v>
      </c>
      <c r="R1866" s="21">
        <f t="shared" si="983"/>
        <v>0</v>
      </c>
      <c r="S1866" s="21">
        <f t="shared" si="983"/>
        <v>0</v>
      </c>
      <c r="T1866" s="21">
        <f t="shared" si="983"/>
        <v>0</v>
      </c>
      <c r="U1866" s="21">
        <f t="shared" si="983"/>
        <v>0</v>
      </c>
      <c r="V1866" s="21">
        <f t="shared" si="983"/>
        <v>0</v>
      </c>
      <c r="W1866" s="563"/>
      <c r="X1866" s="563"/>
      <c r="Y1866" s="563"/>
      <c r="Z1866" s="563"/>
      <c r="AA1866" s="563"/>
      <c r="AB1866" s="563"/>
      <c r="AC1866" s="563"/>
      <c r="AD1866" s="563"/>
      <c r="AE1866" s="563"/>
    </row>
    <row r="1867" spans="2:37" hidden="1" outlineLevel="1" x14ac:dyDescent="0.2">
      <c r="B1867" s="110"/>
      <c r="C1867" s="9" t="s">
        <v>302</v>
      </c>
      <c r="D1867" s="9"/>
      <c r="E1867" s="145"/>
      <c r="F1867" s="9" t="s">
        <v>55</v>
      </c>
      <c r="G1867" s="44">
        <f>SUM(I1867:AE1867)</f>
        <v>475.57593141478941</v>
      </c>
      <c r="H1867" s="44"/>
      <c r="I1867" s="44">
        <f>SUM(I1865:I1866)</f>
        <v>3.00687975</v>
      </c>
      <c r="J1867" s="44">
        <f t="shared" ref="J1867:V1867" si="984">SUM(J1865:J1866)</f>
        <v>5.9361625</v>
      </c>
      <c r="K1867" s="44">
        <f>SUM(K1865:K1866)</f>
        <v>1.0569</v>
      </c>
      <c r="L1867" s="44">
        <f t="shared" si="984"/>
        <v>46.557598916478945</v>
      </c>
      <c r="M1867" s="44">
        <f t="shared" si="984"/>
        <v>58.196998645598669</v>
      </c>
      <c r="N1867" s="44">
        <f t="shared" si="984"/>
        <v>69.836398374718414</v>
      </c>
      <c r="O1867" s="44">
        <f t="shared" si="984"/>
        <v>69.836398374718414</v>
      </c>
      <c r="P1867" s="44">
        <f t="shared" si="984"/>
        <v>69.836398374718414</v>
      </c>
      <c r="Q1867" s="44">
        <f t="shared" si="984"/>
        <v>69.836398374718414</v>
      </c>
      <c r="R1867" s="44">
        <f t="shared" si="984"/>
        <v>58.196998645598669</v>
      </c>
      <c r="S1867" s="44">
        <f t="shared" si="984"/>
        <v>23.278799458239472</v>
      </c>
      <c r="T1867" s="44">
        <f t="shared" si="984"/>
        <v>0</v>
      </c>
      <c r="U1867" s="44">
        <f t="shared" si="984"/>
        <v>0</v>
      </c>
      <c r="V1867" s="44">
        <f t="shared" si="984"/>
        <v>0</v>
      </c>
      <c r="W1867" s="580"/>
      <c r="X1867" s="580"/>
      <c r="Y1867" s="580"/>
      <c r="Z1867" s="580"/>
      <c r="AA1867" s="580"/>
      <c r="AB1867" s="580"/>
      <c r="AC1867" s="580"/>
      <c r="AD1867" s="580"/>
      <c r="AE1867" s="580"/>
    </row>
    <row r="1868" spans="2:37" hidden="1" outlineLevel="1" x14ac:dyDescent="0.2">
      <c r="B1868" s="110"/>
      <c r="E1868" s="49"/>
      <c r="G1868" s="21"/>
      <c r="H1868" s="21"/>
      <c r="I1868" s="21"/>
      <c r="J1868" s="21"/>
      <c r="K1868" s="21"/>
      <c r="L1868" s="21"/>
      <c r="M1868" s="21"/>
      <c r="N1868" s="21"/>
      <c r="O1868" s="21"/>
      <c r="P1868" s="21"/>
      <c r="Q1868" s="21"/>
      <c r="R1868" s="21"/>
      <c r="S1868" s="21"/>
      <c r="T1868" s="21"/>
      <c r="U1868" s="21"/>
      <c r="V1868" s="21"/>
      <c r="W1868" s="563"/>
      <c r="X1868" s="563"/>
      <c r="Y1868" s="563"/>
      <c r="Z1868" s="563"/>
      <c r="AA1868" s="563"/>
      <c r="AB1868" s="563"/>
      <c r="AC1868" s="563"/>
      <c r="AD1868" s="563"/>
      <c r="AE1868" s="563"/>
    </row>
    <row r="1869" spans="2:37" hidden="1" outlineLevel="1" x14ac:dyDescent="0.2">
      <c r="B1869" s="110"/>
      <c r="C1869" s="1" t="s">
        <v>19</v>
      </c>
      <c r="E1869" s="49"/>
      <c r="F1869" s="1" t="s">
        <v>55</v>
      </c>
      <c r="G1869" s="21">
        <f t="shared" ref="G1869:G1874" si="985">SUM(I1869:AE1869)</f>
        <v>66.3834741604241</v>
      </c>
      <c r="H1869" s="21"/>
      <c r="I1869" s="21">
        <f t="shared" ref="I1869:V1869" si="986">I657</f>
        <v>0</v>
      </c>
      <c r="J1869" s="21">
        <f t="shared" si="986"/>
        <v>0</v>
      </c>
      <c r="K1869" s="21">
        <f t="shared" si="986"/>
        <v>0</v>
      </c>
      <c r="L1869" s="21">
        <f t="shared" si="986"/>
        <v>0</v>
      </c>
      <c r="M1869" s="21">
        <f t="shared" si="986"/>
        <v>0</v>
      </c>
      <c r="N1869" s="21">
        <f t="shared" si="986"/>
        <v>0</v>
      </c>
      <c r="O1869" s="21">
        <f t="shared" si="986"/>
        <v>0</v>
      </c>
      <c r="P1869" s="21">
        <f t="shared" si="986"/>
        <v>0</v>
      </c>
      <c r="Q1869" s="21">
        <f t="shared" si="986"/>
        <v>0</v>
      </c>
      <c r="R1869" s="21">
        <f t="shared" si="986"/>
        <v>0</v>
      </c>
      <c r="S1869" s="21">
        <f t="shared" si="986"/>
        <v>10.212842178526785</v>
      </c>
      <c r="T1869" s="21">
        <f t="shared" si="986"/>
        <v>15.319263267790175</v>
      </c>
      <c r="U1869" s="21">
        <f t="shared" si="986"/>
        <v>20.425684357053569</v>
      </c>
      <c r="V1869" s="21">
        <f t="shared" si="986"/>
        <v>20.425684357053569</v>
      </c>
      <c r="W1869" s="563"/>
      <c r="X1869" s="563"/>
      <c r="Y1869" s="563"/>
      <c r="Z1869" s="563"/>
      <c r="AA1869" s="563"/>
      <c r="AB1869" s="563"/>
      <c r="AC1869" s="563"/>
      <c r="AD1869" s="563"/>
      <c r="AE1869" s="563"/>
    </row>
    <row r="1870" spans="2:37" hidden="1" outlineLevel="1" x14ac:dyDescent="0.2">
      <c r="B1870" s="110"/>
      <c r="C1870" s="1" t="s">
        <v>21</v>
      </c>
      <c r="E1870" s="49"/>
      <c r="F1870" s="1" t="s">
        <v>55</v>
      </c>
      <c r="G1870" s="21">
        <f t="shared" si="985"/>
        <v>6.4173000805847202</v>
      </c>
      <c r="H1870" s="21"/>
      <c r="I1870" s="21">
        <f t="shared" ref="I1870:V1870" si="987">I660</f>
        <v>0</v>
      </c>
      <c r="J1870" s="21">
        <f t="shared" si="987"/>
        <v>0</v>
      </c>
      <c r="K1870" s="21">
        <f t="shared" si="987"/>
        <v>0</v>
      </c>
      <c r="L1870" s="21">
        <f t="shared" si="987"/>
        <v>0</v>
      </c>
      <c r="M1870" s="21">
        <f t="shared" si="987"/>
        <v>0</v>
      </c>
      <c r="N1870" s="21">
        <f t="shared" si="987"/>
        <v>0</v>
      </c>
      <c r="O1870" s="21">
        <f t="shared" si="987"/>
        <v>0</v>
      </c>
      <c r="P1870" s="21">
        <f t="shared" si="987"/>
        <v>0</v>
      </c>
      <c r="Q1870" s="21">
        <f t="shared" si="987"/>
        <v>0</v>
      </c>
      <c r="R1870" s="21">
        <f t="shared" si="987"/>
        <v>0</v>
      </c>
      <c r="S1870" s="21">
        <f t="shared" si="987"/>
        <v>0.98727693547457229</v>
      </c>
      <c r="T1870" s="21">
        <f t="shared" si="987"/>
        <v>1.4809154032118585</v>
      </c>
      <c r="U1870" s="21">
        <f t="shared" si="987"/>
        <v>1.9745538709491446</v>
      </c>
      <c r="V1870" s="21">
        <f t="shared" si="987"/>
        <v>1.9745538709491446</v>
      </c>
      <c r="W1870" s="563"/>
      <c r="X1870" s="563"/>
      <c r="Y1870" s="563"/>
      <c r="Z1870" s="563"/>
      <c r="AA1870" s="563"/>
      <c r="AB1870" s="563"/>
      <c r="AC1870" s="563"/>
      <c r="AD1870" s="563"/>
      <c r="AE1870" s="563"/>
    </row>
    <row r="1871" spans="2:37" hidden="1" outlineLevel="1" x14ac:dyDescent="0.2">
      <c r="B1871" s="110"/>
      <c r="C1871" s="1" t="s">
        <v>23</v>
      </c>
      <c r="E1871" s="49"/>
      <c r="F1871" s="1" t="s">
        <v>55</v>
      </c>
      <c r="G1871" s="21">
        <f t="shared" si="985"/>
        <v>13.908837910599393</v>
      </c>
      <c r="H1871" s="21"/>
      <c r="I1871" s="21">
        <f t="shared" ref="I1871:V1871" si="988">I661</f>
        <v>0</v>
      </c>
      <c r="J1871" s="21">
        <f t="shared" si="988"/>
        <v>0</v>
      </c>
      <c r="K1871" s="21">
        <f t="shared" si="988"/>
        <v>0</v>
      </c>
      <c r="L1871" s="21">
        <f t="shared" si="988"/>
        <v>0</v>
      </c>
      <c r="M1871" s="21">
        <f t="shared" si="988"/>
        <v>0</v>
      </c>
      <c r="N1871" s="21">
        <f t="shared" si="988"/>
        <v>0</v>
      </c>
      <c r="O1871" s="21">
        <f t="shared" si="988"/>
        <v>0</v>
      </c>
      <c r="P1871" s="21">
        <f t="shared" si="988"/>
        <v>0</v>
      </c>
      <c r="Q1871" s="21">
        <f t="shared" si="988"/>
        <v>0</v>
      </c>
      <c r="R1871" s="21">
        <f t="shared" si="988"/>
        <v>0</v>
      </c>
      <c r="S1871" s="21">
        <f t="shared" si="988"/>
        <v>2.1742994281397183</v>
      </c>
      <c r="T1871" s="21">
        <f t="shared" si="988"/>
        <v>3.2614491422095773</v>
      </c>
      <c r="U1871" s="21">
        <f t="shared" si="988"/>
        <v>4.3485988562794367</v>
      </c>
      <c r="V1871" s="21">
        <f t="shared" si="988"/>
        <v>4.1244904839706624</v>
      </c>
      <c r="W1871" s="563"/>
      <c r="X1871" s="563"/>
      <c r="Y1871" s="563"/>
      <c r="Z1871" s="563"/>
      <c r="AA1871" s="563"/>
      <c r="AB1871" s="563"/>
      <c r="AC1871" s="563"/>
      <c r="AD1871" s="563"/>
      <c r="AE1871" s="563"/>
    </row>
    <row r="1872" spans="2:37" hidden="1" outlineLevel="1" x14ac:dyDescent="0.2">
      <c r="B1872" s="110"/>
      <c r="C1872" s="1" t="s">
        <v>47</v>
      </c>
      <c r="E1872" s="49"/>
      <c r="F1872" s="1" t="s">
        <v>55</v>
      </c>
      <c r="G1872" s="21">
        <f t="shared" si="985"/>
        <v>6.3304576852945891</v>
      </c>
      <c r="H1872" s="21"/>
      <c r="I1872" s="21">
        <f t="shared" ref="I1872:V1872" si="989">I656</f>
        <v>0</v>
      </c>
      <c r="J1872" s="21">
        <f t="shared" si="989"/>
        <v>0</v>
      </c>
      <c r="K1872" s="21">
        <f t="shared" si="989"/>
        <v>0</v>
      </c>
      <c r="L1872" s="21">
        <f t="shared" si="989"/>
        <v>0</v>
      </c>
      <c r="M1872" s="21">
        <f t="shared" si="989"/>
        <v>0</v>
      </c>
      <c r="N1872" s="21">
        <f t="shared" si="989"/>
        <v>0</v>
      </c>
      <c r="O1872" s="21">
        <f t="shared" si="989"/>
        <v>0</v>
      </c>
      <c r="P1872" s="21">
        <f t="shared" si="989"/>
        <v>0</v>
      </c>
      <c r="Q1872" s="21">
        <f t="shared" si="989"/>
        <v>0</v>
      </c>
      <c r="R1872" s="21">
        <f t="shared" si="989"/>
        <v>0</v>
      </c>
      <c r="S1872" s="21">
        <f t="shared" si="989"/>
        <v>1.5826144213236473</v>
      </c>
      <c r="T1872" s="21">
        <f t="shared" si="989"/>
        <v>1.5826144213236473</v>
      </c>
      <c r="U1872" s="21">
        <f t="shared" si="989"/>
        <v>1.5826144213236473</v>
      </c>
      <c r="V1872" s="21">
        <f t="shared" si="989"/>
        <v>1.5826144213236473</v>
      </c>
      <c r="W1872" s="563"/>
      <c r="X1872" s="563"/>
      <c r="Y1872" s="563"/>
      <c r="Z1872" s="563"/>
      <c r="AA1872" s="563"/>
      <c r="AB1872" s="563"/>
      <c r="AC1872" s="563"/>
      <c r="AD1872" s="563"/>
      <c r="AE1872" s="563"/>
    </row>
    <row r="1873" spans="2:31" hidden="1" outlineLevel="1" x14ac:dyDescent="0.2">
      <c r="B1873" s="110"/>
      <c r="C1873" s="1" t="s">
        <v>444</v>
      </c>
      <c r="E1873" s="49"/>
      <c r="F1873" s="1" t="s">
        <v>55</v>
      </c>
      <c r="G1873" s="21">
        <f>SUM(I1873:AE1873)</f>
        <v>5.4096175223144218</v>
      </c>
      <c r="H1873" s="21"/>
      <c r="I1873" s="21">
        <f t="shared" ref="I1873:V1873" si="990">I804</f>
        <v>0</v>
      </c>
      <c r="J1873" s="21">
        <f t="shared" si="990"/>
        <v>0</v>
      </c>
      <c r="K1873" s="21">
        <f t="shared" si="990"/>
        <v>0</v>
      </c>
      <c r="L1873" s="21">
        <f t="shared" si="990"/>
        <v>0</v>
      </c>
      <c r="M1873" s="21">
        <f t="shared" si="990"/>
        <v>0</v>
      </c>
      <c r="N1873" s="21">
        <f t="shared" si="990"/>
        <v>0</v>
      </c>
      <c r="O1873" s="21">
        <f t="shared" si="990"/>
        <v>0</v>
      </c>
      <c r="P1873" s="21">
        <f t="shared" si="990"/>
        <v>0</v>
      </c>
      <c r="Q1873" s="21">
        <f t="shared" si="990"/>
        <v>0</v>
      </c>
      <c r="R1873" s="21">
        <f t="shared" si="990"/>
        <v>0</v>
      </c>
      <c r="S1873" s="21">
        <f t="shared" si="990"/>
        <v>1.0088540508911055</v>
      </c>
      <c r="T1873" s="21">
        <f t="shared" si="990"/>
        <v>1.2836943146411057</v>
      </c>
      <c r="U1873" s="21">
        <f t="shared" si="990"/>
        <v>1.5585345783911055</v>
      </c>
      <c r="V1873" s="21">
        <f t="shared" si="990"/>
        <v>1.5585345783911055</v>
      </c>
      <c r="W1873" s="563"/>
      <c r="X1873" s="563"/>
      <c r="Y1873" s="563"/>
      <c r="Z1873" s="563"/>
      <c r="AA1873" s="563"/>
      <c r="AB1873" s="563"/>
      <c r="AC1873" s="563"/>
      <c r="AD1873" s="563"/>
      <c r="AE1873" s="563"/>
    </row>
    <row r="1874" spans="2:31" hidden="1" outlineLevel="1" x14ac:dyDescent="0.2">
      <c r="B1874" s="110"/>
      <c r="C1874" s="9" t="s">
        <v>303</v>
      </c>
      <c r="D1874" s="9"/>
      <c r="E1874" s="49"/>
      <c r="F1874" s="9" t="s">
        <v>55</v>
      </c>
      <c r="G1874" s="44">
        <f t="shared" si="985"/>
        <v>98.449687359217222</v>
      </c>
      <c r="H1874" s="44"/>
      <c r="I1874" s="44">
        <f>SUM(I1869:I1873)</f>
        <v>0</v>
      </c>
      <c r="J1874" s="44">
        <f t="shared" ref="J1874:V1874" si="991">SUM(J1869:J1873)</f>
        <v>0</v>
      </c>
      <c r="K1874" s="44">
        <f t="shared" si="991"/>
        <v>0</v>
      </c>
      <c r="L1874" s="44">
        <f t="shared" si="991"/>
        <v>0</v>
      </c>
      <c r="M1874" s="44">
        <f t="shared" si="991"/>
        <v>0</v>
      </c>
      <c r="N1874" s="44">
        <f t="shared" si="991"/>
        <v>0</v>
      </c>
      <c r="O1874" s="44">
        <f t="shared" si="991"/>
        <v>0</v>
      </c>
      <c r="P1874" s="44">
        <f t="shared" si="991"/>
        <v>0</v>
      </c>
      <c r="Q1874" s="44">
        <f t="shared" si="991"/>
        <v>0</v>
      </c>
      <c r="R1874" s="44">
        <f t="shared" si="991"/>
        <v>0</v>
      </c>
      <c r="S1874" s="44">
        <f t="shared" si="991"/>
        <v>15.965887014355829</v>
      </c>
      <c r="T1874" s="44">
        <f t="shared" si="991"/>
        <v>22.927936549176366</v>
      </c>
      <c r="U1874" s="44">
        <f t="shared" si="991"/>
        <v>29.889986083996902</v>
      </c>
      <c r="V1874" s="44">
        <f t="shared" si="991"/>
        <v>29.665877711688125</v>
      </c>
      <c r="W1874" s="580"/>
      <c r="X1874" s="580"/>
      <c r="Y1874" s="580"/>
      <c r="Z1874" s="580"/>
      <c r="AA1874" s="580"/>
      <c r="AB1874" s="580"/>
      <c r="AC1874" s="580"/>
      <c r="AD1874" s="580"/>
      <c r="AE1874" s="580"/>
    </row>
    <row r="1875" spans="2:31" hidden="1" outlineLevel="1" x14ac:dyDescent="0.2">
      <c r="B1875" s="110"/>
      <c r="E1875" s="49"/>
    </row>
    <row r="1876" spans="2:31" hidden="1" outlineLevel="1" x14ac:dyDescent="0.2">
      <c r="B1876" s="10">
        <f>B1863+0.1</f>
        <v>16.200000000000003</v>
      </c>
      <c r="C1876" s="9" t="s">
        <v>304</v>
      </c>
      <c r="E1876" s="49"/>
    </row>
    <row r="1877" spans="2:31" hidden="1" outlineLevel="1" x14ac:dyDescent="0.2">
      <c r="B1877" s="110"/>
      <c r="E1877" s="49"/>
    </row>
    <row r="1878" spans="2:31" hidden="1" outlineLevel="1" x14ac:dyDescent="0.2">
      <c r="B1878" s="110"/>
      <c r="C1878" s="1" t="s">
        <v>114</v>
      </c>
      <c r="E1878" s="49"/>
      <c r="F1878" s="1" t="s">
        <v>55</v>
      </c>
      <c r="G1878" s="21">
        <f>SUM(I1878:AE1878)</f>
        <v>0</v>
      </c>
      <c r="I1878" s="21">
        <f t="shared" ref="I1878:V1878" si="992">I1204</f>
        <v>0</v>
      </c>
      <c r="J1878" s="21">
        <f t="shared" si="992"/>
        <v>0</v>
      </c>
      <c r="K1878" s="21">
        <f t="shared" si="992"/>
        <v>0</v>
      </c>
      <c r="L1878" s="21">
        <f t="shared" si="992"/>
        <v>0</v>
      </c>
      <c r="M1878" s="21">
        <f t="shared" si="992"/>
        <v>0</v>
      </c>
      <c r="N1878" s="21">
        <f t="shared" si="992"/>
        <v>0</v>
      </c>
      <c r="O1878" s="21">
        <f t="shared" si="992"/>
        <v>0</v>
      </c>
      <c r="P1878" s="21">
        <f t="shared" si="992"/>
        <v>0</v>
      </c>
      <c r="Q1878" s="21">
        <f t="shared" si="992"/>
        <v>0</v>
      </c>
      <c r="R1878" s="21">
        <f t="shared" si="992"/>
        <v>0</v>
      </c>
      <c r="S1878" s="21">
        <f t="shared" si="992"/>
        <v>0</v>
      </c>
      <c r="T1878" s="21">
        <f t="shared" si="992"/>
        <v>0</v>
      </c>
      <c r="U1878" s="21">
        <f t="shared" si="992"/>
        <v>0</v>
      </c>
      <c r="V1878" s="21">
        <f t="shared" si="992"/>
        <v>0</v>
      </c>
      <c r="W1878" s="563"/>
      <c r="X1878" s="563"/>
      <c r="Y1878" s="563"/>
      <c r="Z1878" s="563"/>
      <c r="AA1878" s="563"/>
      <c r="AB1878" s="563"/>
      <c r="AC1878" s="563"/>
      <c r="AD1878" s="563"/>
      <c r="AE1878" s="563"/>
    </row>
    <row r="1879" spans="2:31" hidden="1" outlineLevel="1" x14ac:dyDescent="0.2">
      <c r="B1879" s="110"/>
      <c r="C1879" s="1" t="s">
        <v>244</v>
      </c>
      <c r="E1879" s="49"/>
      <c r="F1879" s="1" t="s">
        <v>55</v>
      </c>
      <c r="G1879" s="21">
        <f>SUM(I1879:AE1879)</f>
        <v>0</v>
      </c>
      <c r="I1879" s="21">
        <f t="shared" ref="I1879:V1879" si="993">I1205</f>
        <v>0</v>
      </c>
      <c r="J1879" s="21">
        <f t="shared" si="993"/>
        <v>0</v>
      </c>
      <c r="K1879" s="21">
        <f t="shared" si="993"/>
        <v>0</v>
      </c>
      <c r="L1879" s="21">
        <f t="shared" si="993"/>
        <v>0</v>
      </c>
      <c r="M1879" s="21">
        <f t="shared" si="993"/>
        <v>0</v>
      </c>
      <c r="N1879" s="21">
        <f t="shared" si="993"/>
        <v>0</v>
      </c>
      <c r="O1879" s="21">
        <f t="shared" si="993"/>
        <v>0</v>
      </c>
      <c r="P1879" s="21">
        <f t="shared" si="993"/>
        <v>0</v>
      </c>
      <c r="Q1879" s="21">
        <f t="shared" si="993"/>
        <v>0</v>
      </c>
      <c r="R1879" s="21">
        <f t="shared" si="993"/>
        <v>0</v>
      </c>
      <c r="S1879" s="21">
        <f t="shared" si="993"/>
        <v>0</v>
      </c>
      <c r="T1879" s="21">
        <f t="shared" si="993"/>
        <v>0</v>
      </c>
      <c r="U1879" s="21">
        <f t="shared" si="993"/>
        <v>0</v>
      </c>
      <c r="V1879" s="21">
        <f t="shared" si="993"/>
        <v>0</v>
      </c>
      <c r="W1879" s="563"/>
      <c r="X1879" s="563"/>
      <c r="Y1879" s="563"/>
      <c r="Z1879" s="563"/>
      <c r="AA1879" s="563"/>
      <c r="AB1879" s="563"/>
      <c r="AC1879" s="563"/>
      <c r="AD1879" s="563"/>
      <c r="AE1879" s="563"/>
    </row>
    <row r="1880" spans="2:31" hidden="1" outlineLevel="1" x14ac:dyDescent="0.2">
      <c r="B1880" s="110"/>
      <c r="C1880" s="1" t="s">
        <v>118</v>
      </c>
      <c r="E1880" s="49"/>
      <c r="F1880" s="1" t="s">
        <v>55</v>
      </c>
      <c r="G1880" s="21">
        <f>SUM(I1880:AE1880)</f>
        <v>0</v>
      </c>
      <c r="I1880" s="21">
        <f t="shared" ref="I1880:V1880" si="994">I1206</f>
        <v>0</v>
      </c>
      <c r="J1880" s="21">
        <f t="shared" si="994"/>
        <v>0</v>
      </c>
      <c r="K1880" s="21">
        <f t="shared" si="994"/>
        <v>0</v>
      </c>
      <c r="L1880" s="21">
        <f t="shared" si="994"/>
        <v>0</v>
      </c>
      <c r="M1880" s="21">
        <f t="shared" si="994"/>
        <v>0</v>
      </c>
      <c r="N1880" s="21">
        <f t="shared" si="994"/>
        <v>0</v>
      </c>
      <c r="O1880" s="21">
        <f t="shared" si="994"/>
        <v>0</v>
      </c>
      <c r="P1880" s="21">
        <f t="shared" si="994"/>
        <v>0</v>
      </c>
      <c r="Q1880" s="21">
        <f t="shared" si="994"/>
        <v>0</v>
      </c>
      <c r="R1880" s="21">
        <f t="shared" si="994"/>
        <v>0</v>
      </c>
      <c r="S1880" s="21">
        <f t="shared" si="994"/>
        <v>0</v>
      </c>
      <c r="T1880" s="21">
        <f t="shared" si="994"/>
        <v>0</v>
      </c>
      <c r="U1880" s="21">
        <f t="shared" si="994"/>
        <v>0</v>
      </c>
      <c r="V1880" s="21">
        <f t="shared" si="994"/>
        <v>0</v>
      </c>
      <c r="W1880" s="563"/>
      <c r="X1880" s="563"/>
      <c r="Y1880" s="563"/>
      <c r="Z1880" s="563"/>
      <c r="AA1880" s="563"/>
      <c r="AB1880" s="563"/>
      <c r="AC1880" s="563"/>
      <c r="AD1880" s="563"/>
      <c r="AE1880" s="563"/>
    </row>
    <row r="1881" spans="2:31" hidden="1" outlineLevel="1" x14ac:dyDescent="0.2">
      <c r="B1881" s="110"/>
      <c r="C1881" s="9" t="s">
        <v>45</v>
      </c>
      <c r="E1881" s="49"/>
      <c r="F1881" s="9" t="s">
        <v>55</v>
      </c>
      <c r="G1881" s="44">
        <f>SUM(I1881:AE1881)</f>
        <v>0</v>
      </c>
      <c r="I1881" s="44">
        <f>SUM(I1878:I1880)</f>
        <v>0</v>
      </c>
      <c r="J1881" s="44">
        <f t="shared" ref="J1881:V1881" si="995">SUM(J1878:J1880)</f>
        <v>0</v>
      </c>
      <c r="K1881" s="44">
        <f>SUM(K1878:K1880)</f>
        <v>0</v>
      </c>
      <c r="L1881" s="44">
        <f t="shared" si="995"/>
        <v>0</v>
      </c>
      <c r="M1881" s="44">
        <f t="shared" si="995"/>
        <v>0</v>
      </c>
      <c r="N1881" s="44">
        <f t="shared" si="995"/>
        <v>0</v>
      </c>
      <c r="O1881" s="44">
        <f t="shared" si="995"/>
        <v>0</v>
      </c>
      <c r="P1881" s="44">
        <f t="shared" si="995"/>
        <v>0</v>
      </c>
      <c r="Q1881" s="44">
        <f t="shared" si="995"/>
        <v>0</v>
      </c>
      <c r="R1881" s="44">
        <f t="shared" si="995"/>
        <v>0</v>
      </c>
      <c r="S1881" s="44">
        <f t="shared" si="995"/>
        <v>0</v>
      </c>
      <c r="T1881" s="44">
        <f t="shared" si="995"/>
        <v>0</v>
      </c>
      <c r="U1881" s="44">
        <f t="shared" si="995"/>
        <v>0</v>
      </c>
      <c r="V1881" s="44">
        <f t="shared" si="995"/>
        <v>0</v>
      </c>
      <c r="W1881" s="580"/>
      <c r="X1881" s="580"/>
      <c r="Y1881" s="580"/>
      <c r="Z1881" s="580"/>
      <c r="AA1881" s="580"/>
      <c r="AB1881" s="580"/>
      <c r="AC1881" s="580"/>
      <c r="AD1881" s="580"/>
      <c r="AE1881" s="580"/>
    </row>
    <row r="1882" spans="2:31" hidden="1" outlineLevel="1" x14ac:dyDescent="0.2">
      <c r="B1882" s="110"/>
      <c r="E1882" s="49"/>
    </row>
    <row r="1883" spans="2:31" hidden="1" outlineLevel="1" x14ac:dyDescent="0.2">
      <c r="B1883" s="10">
        <f>B1876+0.1</f>
        <v>16.300000000000004</v>
      </c>
      <c r="C1883" s="9" t="s">
        <v>307</v>
      </c>
    </row>
    <row r="1884" spans="2:31" hidden="1" outlineLevel="1" x14ac:dyDescent="0.2"/>
    <row r="1885" spans="2:31" hidden="1" outlineLevel="1" x14ac:dyDescent="0.2">
      <c r="C1885" s="1" t="s">
        <v>111</v>
      </c>
      <c r="F1885" s="1" t="s">
        <v>55</v>
      </c>
      <c r="G1885" s="21">
        <f>SUM(I1885:AE1885)</f>
        <v>475.57593141478941</v>
      </c>
      <c r="I1885" s="21">
        <f t="shared" ref="I1885:V1885" si="996">I1867</f>
        <v>3.00687975</v>
      </c>
      <c r="J1885" s="21">
        <f t="shared" si="996"/>
        <v>5.9361625</v>
      </c>
      <c r="K1885" s="21">
        <f t="shared" si="996"/>
        <v>1.0569</v>
      </c>
      <c r="L1885" s="21">
        <f t="shared" si="996"/>
        <v>46.557598916478945</v>
      </c>
      <c r="M1885" s="21">
        <f t="shared" si="996"/>
        <v>58.196998645598669</v>
      </c>
      <c r="N1885" s="21">
        <f t="shared" si="996"/>
        <v>69.836398374718414</v>
      </c>
      <c r="O1885" s="21">
        <f t="shared" si="996"/>
        <v>69.836398374718414</v>
      </c>
      <c r="P1885" s="21">
        <f t="shared" si="996"/>
        <v>69.836398374718414</v>
      </c>
      <c r="Q1885" s="21">
        <f t="shared" si="996"/>
        <v>69.836398374718414</v>
      </c>
      <c r="R1885" s="21">
        <f t="shared" si="996"/>
        <v>58.196998645598669</v>
      </c>
      <c r="S1885" s="21">
        <f t="shared" si="996"/>
        <v>23.278799458239472</v>
      </c>
      <c r="T1885" s="21">
        <f t="shared" si="996"/>
        <v>0</v>
      </c>
      <c r="U1885" s="21">
        <f t="shared" si="996"/>
        <v>0</v>
      </c>
      <c r="V1885" s="21">
        <f t="shared" si="996"/>
        <v>0</v>
      </c>
      <c r="W1885" s="563"/>
      <c r="X1885" s="563"/>
      <c r="Y1885" s="563"/>
      <c r="Z1885" s="563"/>
      <c r="AA1885" s="563"/>
      <c r="AB1885" s="563"/>
      <c r="AC1885" s="563"/>
      <c r="AD1885" s="563"/>
      <c r="AE1885" s="563"/>
    </row>
    <row r="1886" spans="2:31" hidden="1" outlineLevel="1" x14ac:dyDescent="0.2">
      <c r="C1886" s="1" t="s">
        <v>306</v>
      </c>
      <c r="F1886" s="1" t="s">
        <v>55</v>
      </c>
      <c r="G1886" s="21">
        <f>SUM(I1886:AE1886)</f>
        <v>98.449687359217222</v>
      </c>
      <c r="I1886" s="21">
        <f>I1874</f>
        <v>0</v>
      </c>
      <c r="J1886" s="21">
        <f t="shared" ref="J1886:V1886" si="997">J1874</f>
        <v>0</v>
      </c>
      <c r="K1886" s="21">
        <f>K1874</f>
        <v>0</v>
      </c>
      <c r="L1886" s="21">
        <f t="shared" si="997"/>
        <v>0</v>
      </c>
      <c r="M1886" s="21">
        <f t="shared" si="997"/>
        <v>0</v>
      </c>
      <c r="N1886" s="21">
        <f t="shared" si="997"/>
        <v>0</v>
      </c>
      <c r="O1886" s="21">
        <f t="shared" si="997"/>
        <v>0</v>
      </c>
      <c r="P1886" s="21">
        <f t="shared" si="997"/>
        <v>0</v>
      </c>
      <c r="Q1886" s="21">
        <f t="shared" si="997"/>
        <v>0</v>
      </c>
      <c r="R1886" s="21">
        <f t="shared" si="997"/>
        <v>0</v>
      </c>
      <c r="S1886" s="21">
        <f t="shared" si="997"/>
        <v>15.965887014355829</v>
      </c>
      <c r="T1886" s="21">
        <f t="shared" si="997"/>
        <v>22.927936549176366</v>
      </c>
      <c r="U1886" s="21">
        <f t="shared" si="997"/>
        <v>29.889986083996902</v>
      </c>
      <c r="V1886" s="21">
        <f t="shared" si="997"/>
        <v>29.665877711688125</v>
      </c>
      <c r="W1886" s="563"/>
      <c r="X1886" s="563"/>
      <c r="Y1886" s="563"/>
      <c r="Z1886" s="563"/>
      <c r="AA1886" s="563"/>
      <c r="AB1886" s="563"/>
      <c r="AC1886" s="563"/>
      <c r="AD1886" s="563"/>
      <c r="AE1886" s="563"/>
    </row>
    <row r="1887" spans="2:31" hidden="1" outlineLevel="1" x14ac:dyDescent="0.2">
      <c r="C1887" s="1" t="s">
        <v>304</v>
      </c>
      <c r="F1887" s="1" t="s">
        <v>55</v>
      </c>
      <c r="G1887" s="21">
        <f>SUM(I1887:AE1887)</f>
        <v>0</v>
      </c>
      <c r="I1887" s="21">
        <f>I1881</f>
        <v>0</v>
      </c>
      <c r="J1887" s="21">
        <f t="shared" ref="J1887:V1887" si="998">J1881</f>
        <v>0</v>
      </c>
      <c r="K1887" s="21">
        <f>K1881</f>
        <v>0</v>
      </c>
      <c r="L1887" s="21">
        <f t="shared" si="998"/>
        <v>0</v>
      </c>
      <c r="M1887" s="21">
        <f t="shared" si="998"/>
        <v>0</v>
      </c>
      <c r="N1887" s="21">
        <f t="shared" si="998"/>
        <v>0</v>
      </c>
      <c r="O1887" s="21">
        <f t="shared" si="998"/>
        <v>0</v>
      </c>
      <c r="P1887" s="21">
        <f t="shared" si="998"/>
        <v>0</v>
      </c>
      <c r="Q1887" s="21">
        <f t="shared" si="998"/>
        <v>0</v>
      </c>
      <c r="R1887" s="21">
        <f t="shared" si="998"/>
        <v>0</v>
      </c>
      <c r="S1887" s="21">
        <f t="shared" si="998"/>
        <v>0</v>
      </c>
      <c r="T1887" s="21">
        <f t="shared" si="998"/>
        <v>0</v>
      </c>
      <c r="U1887" s="21">
        <f t="shared" si="998"/>
        <v>0</v>
      </c>
      <c r="V1887" s="21">
        <f t="shared" si="998"/>
        <v>0</v>
      </c>
      <c r="W1887" s="563"/>
      <c r="X1887" s="563"/>
      <c r="Y1887" s="563"/>
      <c r="Z1887" s="563"/>
      <c r="AA1887" s="563"/>
      <c r="AB1887" s="563"/>
      <c r="AC1887" s="563"/>
      <c r="AD1887" s="563"/>
      <c r="AE1887" s="563"/>
    </row>
    <row r="1888" spans="2:31" hidden="1" outlineLevel="1" x14ac:dyDescent="0.2">
      <c r="C1888" s="9" t="s">
        <v>45</v>
      </c>
      <c r="F1888" s="9" t="s">
        <v>55</v>
      </c>
      <c r="G1888" s="44">
        <f>SUM(I1888:AE1888)</f>
        <v>574.0256187740066</v>
      </c>
      <c r="I1888" s="44">
        <f>SUM(I1885:I1887)</f>
        <v>3.00687975</v>
      </c>
      <c r="J1888" s="44">
        <f t="shared" ref="J1888:V1888" si="999">SUM(J1885:J1887)</f>
        <v>5.9361625</v>
      </c>
      <c r="K1888" s="44">
        <f>SUM(K1885:K1887)</f>
        <v>1.0569</v>
      </c>
      <c r="L1888" s="44">
        <f t="shared" si="999"/>
        <v>46.557598916478945</v>
      </c>
      <c r="M1888" s="44">
        <f t="shared" si="999"/>
        <v>58.196998645598669</v>
      </c>
      <c r="N1888" s="44">
        <f t="shared" si="999"/>
        <v>69.836398374718414</v>
      </c>
      <c r="O1888" s="44">
        <f t="shared" si="999"/>
        <v>69.836398374718414</v>
      </c>
      <c r="P1888" s="44">
        <f t="shared" si="999"/>
        <v>69.836398374718414</v>
      </c>
      <c r="Q1888" s="44">
        <f t="shared" si="999"/>
        <v>69.836398374718414</v>
      </c>
      <c r="R1888" s="44">
        <f t="shared" si="999"/>
        <v>58.196998645598669</v>
      </c>
      <c r="S1888" s="44">
        <f t="shared" si="999"/>
        <v>39.244686472595305</v>
      </c>
      <c r="T1888" s="44">
        <f t="shared" si="999"/>
        <v>22.927936549176366</v>
      </c>
      <c r="U1888" s="44">
        <f t="shared" si="999"/>
        <v>29.889986083996902</v>
      </c>
      <c r="V1888" s="44">
        <f t="shared" si="999"/>
        <v>29.665877711688125</v>
      </c>
      <c r="W1888" s="580"/>
      <c r="X1888" s="580"/>
      <c r="Y1888" s="580"/>
      <c r="Z1888" s="580"/>
      <c r="AA1888" s="580"/>
      <c r="AB1888" s="580"/>
      <c r="AC1888" s="580"/>
      <c r="AD1888" s="580"/>
      <c r="AE1888" s="580"/>
    </row>
    <row r="1889" collapsed="1" x14ac:dyDescent="0.2"/>
  </sheetData>
  <dataValidations count="2">
    <dataValidation type="whole" allowBlank="1" showInputMessage="1" showErrorMessage="1" prompt="Choose 0 to reset financing routine" sqref="F1442" xr:uid="{988D2C7E-8024-4A18-9D4D-F024B2B64EEA}">
      <formula1>0</formula1>
      <formula2>1</formula2>
    </dataValidation>
    <dataValidation type="whole" allowBlank="1" showInputMessage="1" showErrorMessage="1" sqref="E980 E965 D200:E201 E10 D193:E195 E1529:E1530" xr:uid="{C2F37389-C8C8-4469-BAF5-F4D65E28499E}">
      <formula1>0</formula1>
      <formula2>1</formula2>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J58"/>
  <sheetViews>
    <sheetView showGridLines="0" topLeftCell="A4" zoomScale="70" zoomScaleNormal="70" zoomScaleSheetLayoutView="64" zoomScalePageLayoutView="115" workbookViewId="0">
      <selection activeCell="N23" sqref="N23"/>
    </sheetView>
  </sheetViews>
  <sheetFormatPr defaultColWidth="0" defaultRowHeight="12.75" x14ac:dyDescent="0.2"/>
  <cols>
    <col min="1" max="1" width="1.7109375" style="1" customWidth="1"/>
    <col min="2" max="2" width="8.7109375" style="1" customWidth="1"/>
    <col min="3" max="3" width="75.42578125" style="1" bestFit="1" customWidth="1"/>
    <col min="4" max="5" width="13" style="1" customWidth="1"/>
    <col min="6" max="6" width="23.140625" style="1" customWidth="1"/>
    <col min="7" max="7" width="20.7109375" style="1" customWidth="1"/>
    <col min="8" max="8" width="18.85546875" style="1" customWidth="1"/>
    <col min="9" max="10" width="12.42578125" style="1" customWidth="1"/>
    <col min="11" max="11" width="15.7109375" style="1" customWidth="1"/>
    <col min="12" max="12" width="12.42578125" style="1" customWidth="1"/>
    <col min="13" max="13" width="18.5703125" style="1" customWidth="1"/>
    <col min="14" max="14" width="18.140625" style="1" customWidth="1"/>
    <col min="15" max="30" width="12.42578125" style="1" customWidth="1"/>
    <col min="31" max="31" width="8.7109375" style="5" customWidth="1"/>
    <col min="32" max="35" width="8.7109375" style="1" customWidth="1"/>
    <col min="36" max="36" width="0" style="1" hidden="1" customWidth="1"/>
    <col min="37" max="16384" width="8.7109375" style="1" hidden="1"/>
  </cols>
  <sheetData>
    <row r="1" spans="2:30" x14ac:dyDescent="0.2">
      <c r="D1" s="2"/>
      <c r="E1" s="264"/>
      <c r="F1" s="264"/>
      <c r="G1" s="264"/>
      <c r="H1" s="264"/>
      <c r="I1" s="265"/>
      <c r="J1" s="265"/>
      <c r="K1" s="265"/>
      <c r="L1" s="265"/>
      <c r="M1" s="265"/>
      <c r="N1" s="265"/>
      <c r="O1" s="265"/>
      <c r="P1" s="265"/>
      <c r="Q1" s="265"/>
      <c r="R1" s="265"/>
      <c r="S1" s="265"/>
      <c r="T1" s="265"/>
      <c r="U1" s="265"/>
      <c r="V1" s="265"/>
      <c r="W1" s="265"/>
      <c r="X1" s="265"/>
      <c r="Y1" s="265"/>
      <c r="Z1" s="265"/>
      <c r="AA1" s="265"/>
      <c r="AB1" s="265"/>
      <c r="AC1" s="265"/>
      <c r="AD1" s="265"/>
    </row>
    <row r="2" spans="2:30" x14ac:dyDescent="0.2">
      <c r="D2" s="2"/>
      <c r="E2" s="266"/>
      <c r="F2" s="266"/>
      <c r="G2" s="266"/>
      <c r="H2" s="266"/>
      <c r="I2" s="267"/>
      <c r="J2" s="267"/>
      <c r="K2" s="267"/>
      <c r="L2" s="267"/>
      <c r="M2" s="267"/>
      <c r="N2" s="267"/>
      <c r="O2" s="267"/>
      <c r="P2" s="267"/>
      <c r="Q2" s="267"/>
      <c r="R2" s="267"/>
      <c r="S2" s="267"/>
      <c r="T2" s="267"/>
      <c r="U2" s="267"/>
      <c r="V2" s="267"/>
      <c r="W2" s="267"/>
      <c r="X2" s="267"/>
      <c r="Y2" s="267"/>
      <c r="Z2" s="267"/>
      <c r="AA2" s="267"/>
      <c r="AB2" s="267"/>
      <c r="AC2" s="267"/>
      <c r="AD2" s="267"/>
    </row>
    <row r="3" spans="2:30" x14ac:dyDescent="0.2">
      <c r="D3" s="2"/>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row>
    <row r="4" spans="2:30" x14ac:dyDescent="0.2">
      <c r="B4" s="6"/>
      <c r="C4" s="6"/>
      <c r="D4" s="7"/>
      <c r="E4" s="6"/>
      <c r="F4" s="6"/>
      <c r="G4" s="6"/>
      <c r="H4" s="6"/>
      <c r="I4" s="6"/>
      <c r="J4" s="6"/>
      <c r="K4" s="6"/>
      <c r="L4" s="6"/>
      <c r="M4" s="6"/>
      <c r="N4" s="6"/>
      <c r="O4" s="6"/>
      <c r="P4" s="6"/>
      <c r="Q4" s="6"/>
      <c r="R4" s="6"/>
      <c r="S4" s="6"/>
      <c r="T4" s="6"/>
      <c r="U4" s="6"/>
      <c r="V4" s="6"/>
      <c r="W4" s="6"/>
      <c r="X4" s="6"/>
      <c r="Y4" s="6"/>
      <c r="Z4" s="6"/>
      <c r="AA4" s="6"/>
      <c r="AB4" s="6"/>
      <c r="AC4" s="6"/>
      <c r="AD4" s="6"/>
    </row>
    <row r="5" spans="2:30" ht="15.75" x14ac:dyDescent="0.25">
      <c r="C5" s="335"/>
      <c r="D5" s="337"/>
      <c r="E5" s="336"/>
    </row>
    <row r="6" spans="2:30" x14ac:dyDescent="0.2">
      <c r="B6" s="9">
        <v>1</v>
      </c>
      <c r="C6" s="9" t="s">
        <v>78</v>
      </c>
      <c r="K6" s="1" t="s">
        <v>891</v>
      </c>
      <c r="M6" s="501">
        <v>1.25</v>
      </c>
    </row>
    <row r="8" spans="2:30" ht="39" thickBot="1" x14ac:dyDescent="0.25">
      <c r="C8" s="384" t="s">
        <v>581</v>
      </c>
      <c r="D8" s="385" t="s">
        <v>582</v>
      </c>
      <c r="E8" s="385" t="s">
        <v>624</v>
      </c>
      <c r="F8" s="386" t="s">
        <v>583</v>
      </c>
      <c r="G8" s="386" t="s">
        <v>584</v>
      </c>
      <c r="H8" s="386" t="s">
        <v>585</v>
      </c>
      <c r="I8" s="386" t="s">
        <v>586</v>
      </c>
      <c r="J8" s="386" t="s">
        <v>587</v>
      </c>
      <c r="K8" s="386" t="s">
        <v>588</v>
      </c>
      <c r="L8" s="383"/>
      <c r="M8" s="386" t="s">
        <v>589</v>
      </c>
    </row>
    <row r="9" spans="2:30" ht="13.5" thickTop="1" x14ac:dyDescent="0.2">
      <c r="C9" s="339"/>
      <c r="D9" s="340"/>
      <c r="E9" s="341"/>
      <c r="F9" s="342"/>
      <c r="G9" s="342"/>
      <c r="H9" s="342"/>
      <c r="I9" s="342"/>
      <c r="J9" s="342"/>
      <c r="K9" s="343"/>
      <c r="L9" s="344"/>
      <c r="M9" s="343"/>
    </row>
    <row r="10" spans="2:30" x14ac:dyDescent="0.2">
      <c r="C10" s="345"/>
      <c r="D10" s="345"/>
      <c r="E10" s="345"/>
      <c r="F10" s="345"/>
      <c r="G10" s="345"/>
      <c r="H10" s="345"/>
      <c r="I10" s="345"/>
      <c r="J10" s="345"/>
      <c r="K10" s="345"/>
      <c r="L10" s="344"/>
      <c r="M10" s="345"/>
    </row>
    <row r="11" spans="2:30" x14ac:dyDescent="0.2">
      <c r="C11" s="346" t="s">
        <v>590</v>
      </c>
      <c r="D11" s="347">
        <v>33765.020036449998</v>
      </c>
      <c r="E11" s="348">
        <f>175.851791210396*1.2</f>
        <v>211.02214945247519</v>
      </c>
      <c r="F11" s="370">
        <f>D11*E11</f>
        <v>7125167.1043975707</v>
      </c>
      <c r="G11" s="349">
        <v>0</v>
      </c>
      <c r="H11" s="349">
        <v>2744451.7274000002</v>
      </c>
      <c r="I11" s="349">
        <v>0</v>
      </c>
      <c r="J11" s="349">
        <v>0</v>
      </c>
      <c r="K11" s="370">
        <f>SUM(F11:J11)</f>
        <v>9869618.83179757</v>
      </c>
      <c r="L11" s="350"/>
      <c r="M11" s="349">
        <v>6890548.3976703603</v>
      </c>
    </row>
    <row r="12" spans="2:30" x14ac:dyDescent="0.2">
      <c r="C12" s="346" t="s">
        <v>591</v>
      </c>
      <c r="D12" s="347">
        <v>15450</v>
      </c>
      <c r="E12" s="348">
        <f>160*1.2</f>
        <v>192</v>
      </c>
      <c r="F12" s="370">
        <f t="shared" ref="F12:F21" si="0">D12*E12</f>
        <v>2966400</v>
      </c>
      <c r="G12" s="349">
        <v>0</v>
      </c>
      <c r="H12" s="349">
        <v>1456000</v>
      </c>
      <c r="I12" s="349">
        <v>0</v>
      </c>
      <c r="J12" s="349">
        <v>2293200</v>
      </c>
      <c r="K12" s="370">
        <f t="shared" ref="K12:K21" si="1">SUM(F12:J12)</f>
        <v>6715600</v>
      </c>
      <c r="L12" s="350"/>
      <c r="M12" s="349">
        <v>4937460.3174603172</v>
      </c>
    </row>
    <row r="13" spans="2:30" x14ac:dyDescent="0.2">
      <c r="C13" s="346" t="s">
        <v>592</v>
      </c>
      <c r="D13" s="347">
        <v>121484.00598949005</v>
      </c>
      <c r="E13" s="348">
        <f>115*1.2</f>
        <v>138</v>
      </c>
      <c r="F13" s="370">
        <f t="shared" si="0"/>
        <v>16764792.826549627</v>
      </c>
      <c r="G13" s="349">
        <v>0</v>
      </c>
      <c r="H13" s="349">
        <v>7426478.0678909589</v>
      </c>
      <c r="I13" s="349">
        <v>0</v>
      </c>
      <c r="J13" s="349">
        <v>0</v>
      </c>
      <c r="K13" s="370">
        <f t="shared" si="1"/>
        <v>24191270.894440584</v>
      </c>
      <c r="L13" s="350"/>
      <c r="M13" s="349">
        <v>16981856.156097073</v>
      </c>
    </row>
    <row r="14" spans="2:30" x14ac:dyDescent="0.2">
      <c r="C14" s="346" t="s">
        <v>593</v>
      </c>
      <c r="D14" s="347">
        <v>83588.303242500027</v>
      </c>
      <c r="E14" s="348">
        <f>145*1.2</f>
        <v>174</v>
      </c>
      <c r="F14" s="370">
        <f t="shared" si="0"/>
        <v>14544364.764195004</v>
      </c>
      <c r="G14" s="349">
        <v>0</v>
      </c>
      <c r="H14" s="349">
        <v>16274899.28756538</v>
      </c>
      <c r="I14" s="349">
        <v>0</v>
      </c>
      <c r="J14" s="349">
        <v>0</v>
      </c>
      <c r="K14" s="370">
        <f t="shared" si="1"/>
        <v>30819264.051760383</v>
      </c>
      <c r="L14" s="350"/>
      <c r="M14" s="349">
        <v>22535875.601371329</v>
      </c>
    </row>
    <row r="15" spans="2:30" x14ac:dyDescent="0.2">
      <c r="C15" s="346" t="s">
        <v>594</v>
      </c>
      <c r="D15" s="347">
        <v>28705.110000000004</v>
      </c>
      <c r="E15" s="348">
        <f>145*1.2</f>
        <v>174</v>
      </c>
      <c r="F15" s="370">
        <f t="shared" si="0"/>
        <v>4994689.1400000006</v>
      </c>
      <c r="G15" s="349">
        <v>0</v>
      </c>
      <c r="H15" s="349">
        <v>0</v>
      </c>
      <c r="I15" s="349">
        <v>0</v>
      </c>
      <c r="J15" s="349">
        <v>0</v>
      </c>
      <c r="K15" s="370">
        <f t="shared" si="1"/>
        <v>4994689.1400000006</v>
      </c>
      <c r="L15" s="350"/>
      <c r="M15" s="349">
        <v>3303365.8333333335</v>
      </c>
    </row>
    <row r="16" spans="2:30" x14ac:dyDescent="0.2">
      <c r="C16" s="346" t="s">
        <v>595</v>
      </c>
      <c r="D16" s="347">
        <v>60092.862454710579</v>
      </c>
      <c r="E16" s="348">
        <f>125.21167684269*1.2</f>
        <v>150.254012211228</v>
      </c>
      <c r="F16" s="370">
        <f t="shared" si="0"/>
        <v>9029193.6890777275</v>
      </c>
      <c r="G16" s="349">
        <v>0</v>
      </c>
      <c r="H16" s="349">
        <v>5902851.6720752269</v>
      </c>
      <c r="I16" s="349">
        <v>0</v>
      </c>
      <c r="J16" s="349">
        <v>0</v>
      </c>
      <c r="K16" s="370">
        <f t="shared" si="1"/>
        <v>14932045.361152954</v>
      </c>
      <c r="L16" s="350"/>
      <c r="M16" s="349">
        <v>10656491.86214814</v>
      </c>
    </row>
    <row r="17" spans="3:15" x14ac:dyDescent="0.2">
      <c r="C17" s="346" t="s">
        <v>596</v>
      </c>
      <c r="D17" s="347">
        <v>218798.03699999998</v>
      </c>
      <c r="E17" s="348">
        <f>129.337911637662*1.2</f>
        <v>155.20549396519439</v>
      </c>
      <c r="F17" s="370">
        <f t="shared" si="0"/>
        <v>33958657.411199875</v>
      </c>
      <c r="G17" s="349">
        <v>2880172</v>
      </c>
      <c r="H17" s="349">
        <v>564126</v>
      </c>
      <c r="I17" s="349">
        <v>0</v>
      </c>
      <c r="J17" s="349">
        <v>0</v>
      </c>
      <c r="K17" s="370">
        <f t="shared" si="1"/>
        <v>37402955.411199875</v>
      </c>
      <c r="L17" s="350"/>
      <c r="M17" s="349">
        <v>25192999.34603174</v>
      </c>
      <c r="O17" s="422"/>
    </row>
    <row r="18" spans="3:15" x14ac:dyDescent="0.2">
      <c r="C18" s="346" t="s">
        <v>976</v>
      </c>
      <c r="D18" s="347">
        <v>0</v>
      </c>
      <c r="E18" s="348"/>
      <c r="F18" s="370">
        <f t="shared" si="0"/>
        <v>0</v>
      </c>
      <c r="G18" s="349">
        <f>180709200+(60000000*M6)</f>
        <v>255709200</v>
      </c>
      <c r="H18" s="349">
        <v>0</v>
      </c>
      <c r="I18" s="349">
        <v>0</v>
      </c>
      <c r="J18" s="349">
        <v>0</v>
      </c>
      <c r="K18" s="370">
        <f>SUM(F18:J18)</f>
        <v>255709200</v>
      </c>
      <c r="L18" s="350"/>
      <c r="M18" s="349">
        <f>143420000+80000000</f>
        <v>223420000</v>
      </c>
      <c r="O18" s="422"/>
    </row>
    <row r="19" spans="3:15" x14ac:dyDescent="0.2">
      <c r="C19" s="346" t="s">
        <v>597</v>
      </c>
      <c r="D19" s="347">
        <v>166514.00959999999</v>
      </c>
      <c r="E19" s="348">
        <f>129.982098618566*1.2</f>
        <v>155.97851834227919</v>
      </c>
      <c r="F19" s="370">
        <f t="shared" si="0"/>
        <v>25972608.50064005</v>
      </c>
      <c r="G19" s="349">
        <v>0</v>
      </c>
      <c r="H19" s="349">
        <v>7180768.5999999996</v>
      </c>
      <c r="I19" s="349">
        <v>3361701.1999999997</v>
      </c>
      <c r="J19" s="349">
        <v>2478169.2000000002</v>
      </c>
      <c r="K19" s="370">
        <f t="shared" si="1"/>
        <v>38993247.500640057</v>
      </c>
      <c r="L19" s="350"/>
      <c r="M19" s="349">
        <v>27511491.600952376</v>
      </c>
    </row>
    <row r="20" spans="3:15" x14ac:dyDescent="0.2">
      <c r="C20" s="346" t="s">
        <v>598</v>
      </c>
      <c r="D20" s="347">
        <v>96664.251299999945</v>
      </c>
      <c r="E20" s="348">
        <f>118.493905390648*1.2</f>
        <v>142.19268646877759</v>
      </c>
      <c r="F20" s="370">
        <f t="shared" si="0"/>
        <v>13744949.577840019</v>
      </c>
      <c r="G20" s="349">
        <v>32577143.52</v>
      </c>
      <c r="H20" s="349">
        <v>4880227.3645999916</v>
      </c>
      <c r="I20" s="349">
        <v>0</v>
      </c>
      <c r="J20" s="349">
        <v>0</v>
      </c>
      <c r="K20" s="370">
        <f t="shared" si="1"/>
        <v>51202320.462440014</v>
      </c>
      <c r="L20" s="350"/>
      <c r="M20" s="349">
        <v>38818647.248253956</v>
      </c>
    </row>
    <row r="21" spans="3:15" x14ac:dyDescent="0.2">
      <c r="C21" s="346" t="s">
        <v>599</v>
      </c>
      <c r="D21" s="347">
        <v>39000</v>
      </c>
      <c r="E21" s="348">
        <f>110*1.2</f>
        <v>132</v>
      </c>
      <c r="F21" s="370">
        <f t="shared" si="0"/>
        <v>5148000</v>
      </c>
      <c r="G21" s="349">
        <v>100000</v>
      </c>
      <c r="H21" s="349">
        <v>2750000</v>
      </c>
      <c r="I21" s="349">
        <v>0</v>
      </c>
      <c r="J21" s="349">
        <v>0</v>
      </c>
      <c r="K21" s="370">
        <f t="shared" si="1"/>
        <v>7998000</v>
      </c>
      <c r="L21" s="350"/>
      <c r="M21" s="349">
        <v>5666666.666666667</v>
      </c>
    </row>
    <row r="22" spans="3:15" ht="15" x14ac:dyDescent="0.2">
      <c r="C22" s="351" t="s">
        <v>600</v>
      </c>
      <c r="D22" s="352">
        <f>SUM(D11:D21)</f>
        <v>864061.59962315066</v>
      </c>
      <c r="E22" s="353">
        <f>F22/D22</f>
        <v>155.36950498951782</v>
      </c>
      <c r="F22" s="354">
        <f t="shared" ref="F22:K22" si="2">SUM(F11:F21)</f>
        <v>134248823.01389986</v>
      </c>
      <c r="G22" s="354">
        <f t="shared" si="2"/>
        <v>291266515.51999998</v>
      </c>
      <c r="H22" s="354">
        <f t="shared" si="2"/>
        <v>49179802.719531566</v>
      </c>
      <c r="I22" s="354">
        <f t="shared" si="2"/>
        <v>3361701.1999999997</v>
      </c>
      <c r="J22" s="354">
        <f t="shared" si="2"/>
        <v>4771369.2</v>
      </c>
      <c r="K22" s="354">
        <f t="shared" si="2"/>
        <v>482828211.65343142</v>
      </c>
      <c r="L22" s="355"/>
      <c r="M22" s="354">
        <f>SUM(M11:M21)</f>
        <v>385915403.02998531</v>
      </c>
      <c r="N22" s="338" t="s">
        <v>969</v>
      </c>
      <c r="O22" s="422"/>
    </row>
    <row r="23" spans="3:15" x14ac:dyDescent="0.2">
      <c r="C23" s="356"/>
      <c r="D23" s="357"/>
      <c r="E23" s="358"/>
      <c r="F23" s="356"/>
      <c r="G23" s="359"/>
      <c r="H23" s="359"/>
      <c r="I23" s="359"/>
      <c r="J23" s="359"/>
      <c r="K23" s="359"/>
      <c r="L23" s="344"/>
      <c r="M23" s="359"/>
      <c r="O23" s="422"/>
    </row>
    <row r="24" spans="3:15" x14ac:dyDescent="0.2">
      <c r="C24" s="344" t="s">
        <v>695</v>
      </c>
      <c r="D24" s="357"/>
      <c r="E24" s="358"/>
      <c r="F24" s="356"/>
      <c r="G24" s="359"/>
      <c r="H24" s="359"/>
      <c r="I24" s="359"/>
      <c r="J24" s="359"/>
      <c r="K24" s="426">
        <f>K22/M22*M24</f>
        <v>4904867.0776282027</v>
      </c>
      <c r="L24" s="344"/>
      <c r="M24" s="349">
        <v>3920366.9325562734</v>
      </c>
      <c r="O24" s="422"/>
    </row>
    <row r="25" spans="3:15" x14ac:dyDescent="0.2">
      <c r="C25" s="345"/>
      <c r="D25" s="345"/>
      <c r="E25" s="345"/>
      <c r="F25" s="345"/>
      <c r="G25" s="345"/>
      <c r="H25" s="345"/>
      <c r="I25" s="345"/>
      <c r="J25" s="345"/>
      <c r="K25" s="345"/>
      <c r="L25" s="344"/>
      <c r="M25" s="345"/>
      <c r="O25" s="422"/>
    </row>
    <row r="26" spans="3:15" x14ac:dyDescent="0.2">
      <c r="C26" s="346" t="s">
        <v>601</v>
      </c>
      <c r="D26" s="360"/>
      <c r="E26" s="361">
        <v>0.03</v>
      </c>
      <c r="F26" s="362" t="s">
        <v>602</v>
      </c>
      <c r="G26" s="362"/>
      <c r="H26" s="362"/>
      <c r="I26" s="362"/>
      <c r="J26" s="362"/>
      <c r="K26" s="363">
        <f>ROUND(E26*$K$22,-3)</f>
        <v>14485000</v>
      </c>
      <c r="L26" s="364"/>
      <c r="M26" s="362">
        <f>E26*SUM(M11:M21)</f>
        <v>11577462.090899559</v>
      </c>
      <c r="N26" s="338"/>
    </row>
    <row r="27" spans="3:15" x14ac:dyDescent="0.2">
      <c r="C27" s="346" t="s">
        <v>603</v>
      </c>
      <c r="D27" s="360"/>
      <c r="E27" s="365"/>
      <c r="F27" s="362" t="s">
        <v>604</v>
      </c>
      <c r="G27" s="362"/>
      <c r="H27" s="362"/>
      <c r="I27" s="362"/>
      <c r="J27" s="362"/>
      <c r="K27" s="349">
        <v>0</v>
      </c>
      <c r="L27" s="366"/>
      <c r="M27" s="349">
        <v>0</v>
      </c>
      <c r="O27" s="422"/>
    </row>
    <row r="28" spans="3:15" x14ac:dyDescent="0.2">
      <c r="C28" s="346" t="s">
        <v>605</v>
      </c>
      <c r="D28" s="360"/>
      <c r="E28" s="367"/>
      <c r="F28" s="362"/>
      <c r="G28" s="362"/>
      <c r="H28" s="362"/>
      <c r="I28" s="362"/>
      <c r="J28" s="362"/>
      <c r="K28" s="349">
        <v>4107332</v>
      </c>
      <c r="L28" s="350"/>
      <c r="M28" s="349">
        <v>3259787.3015873018</v>
      </c>
      <c r="O28" s="422"/>
    </row>
    <row r="29" spans="3:15" x14ac:dyDescent="0.2">
      <c r="C29" s="346" t="s">
        <v>606</v>
      </c>
      <c r="D29" s="360"/>
      <c r="E29" s="361">
        <v>0.08</v>
      </c>
      <c r="F29" s="362" t="s">
        <v>607</v>
      </c>
      <c r="G29" s="362"/>
      <c r="H29" s="362"/>
      <c r="I29" s="362"/>
      <c r="J29" s="362"/>
      <c r="K29" s="363">
        <f>ROUND(E29*$K$22,-3)</f>
        <v>38626000</v>
      </c>
      <c r="L29" s="371"/>
      <c r="M29" s="363">
        <f>$E$29*SUM(M11:M21)</f>
        <v>30873232.242398825</v>
      </c>
    </row>
    <row r="30" spans="3:15" x14ac:dyDescent="0.2">
      <c r="C30" s="346" t="s">
        <v>608</v>
      </c>
      <c r="D30" s="360"/>
      <c r="E30" s="367"/>
      <c r="F30" s="362" t="s">
        <v>609</v>
      </c>
      <c r="G30" s="362"/>
      <c r="H30" s="362"/>
      <c r="I30" s="362"/>
      <c r="J30" s="362"/>
      <c r="K30" s="349">
        <v>0</v>
      </c>
      <c r="L30" s="350"/>
      <c r="M30" s="349">
        <v>0</v>
      </c>
    </row>
    <row r="31" spans="3:15" x14ac:dyDescent="0.2">
      <c r="C31" s="346" t="s">
        <v>610</v>
      </c>
      <c r="D31" s="360"/>
      <c r="E31" s="367"/>
      <c r="F31" s="362" t="s">
        <v>609</v>
      </c>
      <c r="G31" s="362"/>
      <c r="H31" s="362"/>
      <c r="I31" s="362"/>
      <c r="J31" s="362"/>
      <c r="K31" s="349">
        <v>0</v>
      </c>
      <c r="L31" s="350"/>
      <c r="M31" s="349">
        <v>0</v>
      </c>
    </row>
    <row r="32" spans="3:15" x14ac:dyDescent="0.2">
      <c r="C32" s="346" t="s">
        <v>611</v>
      </c>
      <c r="D32" s="360"/>
      <c r="E32" s="367"/>
      <c r="F32" s="362" t="s">
        <v>609</v>
      </c>
      <c r="G32" s="362"/>
      <c r="H32" s="362"/>
      <c r="I32" s="362"/>
      <c r="J32" s="362"/>
      <c r="K32" s="349">
        <v>0</v>
      </c>
      <c r="L32" s="350"/>
      <c r="M32" s="349">
        <v>0</v>
      </c>
    </row>
    <row r="33" spans="3:35" x14ac:dyDescent="0.2">
      <c r="C33" s="346" t="s">
        <v>612</v>
      </c>
      <c r="D33" s="360"/>
      <c r="E33" s="367"/>
      <c r="F33" s="362" t="s">
        <v>609</v>
      </c>
      <c r="G33" s="362"/>
      <c r="H33" s="362"/>
      <c r="I33" s="362"/>
      <c r="J33" s="362"/>
      <c r="K33" s="349">
        <v>0</v>
      </c>
      <c r="L33" s="350"/>
      <c r="M33" s="349">
        <v>0</v>
      </c>
    </row>
    <row r="34" spans="3:35" x14ac:dyDescent="0.2">
      <c r="C34" s="346" t="s">
        <v>447</v>
      </c>
      <c r="D34" s="360"/>
      <c r="E34" s="361">
        <v>7.0000000000000007E-2</v>
      </c>
      <c r="F34" s="362" t="s">
        <v>892</v>
      </c>
      <c r="G34" s="362"/>
      <c r="H34" s="362"/>
      <c r="I34" s="362"/>
      <c r="J34" s="362"/>
      <c r="K34" s="370">
        <f>ROUND(E34*($G$22-$G$18-19939432),0)</f>
        <v>1093252</v>
      </c>
      <c r="L34" s="371"/>
      <c r="M34" s="374">
        <v>867660.3174603174</v>
      </c>
    </row>
    <row r="35" spans="3:35" x14ac:dyDescent="0.2">
      <c r="C35" s="346" t="s">
        <v>613</v>
      </c>
      <c r="D35" s="360"/>
      <c r="E35" s="373"/>
      <c r="F35" s="362"/>
      <c r="G35" s="362"/>
      <c r="H35" s="362"/>
      <c r="I35" s="362"/>
      <c r="J35" s="362"/>
      <c r="K35" s="363"/>
      <c r="L35" s="350"/>
      <c r="M35" s="374">
        <v>0</v>
      </c>
      <c r="P35" s="422"/>
    </row>
    <row r="36" spans="3:35" x14ac:dyDescent="0.2">
      <c r="C36" s="346" t="s">
        <v>614</v>
      </c>
      <c r="D36" s="360"/>
      <c r="E36" s="361">
        <v>0.02</v>
      </c>
      <c r="F36" s="362" t="s">
        <v>893</v>
      </c>
      <c r="G36" s="362"/>
      <c r="H36" s="362"/>
      <c r="I36" s="362"/>
      <c r="J36" s="362"/>
      <c r="K36" s="370">
        <f>ROUND(E36*($G$22-$G$18-19939432),0)</f>
        <v>312358</v>
      </c>
      <c r="L36" s="350"/>
      <c r="M36" s="374">
        <v>247903.17460317462</v>
      </c>
    </row>
    <row r="37" spans="3:35" x14ac:dyDescent="0.2">
      <c r="C37" s="346" t="s">
        <v>615</v>
      </c>
      <c r="D37" s="360"/>
      <c r="E37" s="373"/>
      <c r="F37" s="362" t="s">
        <v>894</v>
      </c>
      <c r="G37" s="362"/>
      <c r="H37" s="362"/>
      <c r="I37" s="362"/>
      <c r="J37" s="362"/>
      <c r="K37" s="349">
        <v>0</v>
      </c>
      <c r="L37" s="350"/>
      <c r="M37" s="374">
        <v>0</v>
      </c>
    </row>
    <row r="38" spans="3:35" x14ac:dyDescent="0.2">
      <c r="C38" s="346" t="s">
        <v>616</v>
      </c>
      <c r="D38" s="360"/>
      <c r="E38" s="361">
        <v>5.0000000000000001E-3</v>
      </c>
      <c r="F38" s="362" t="s">
        <v>895</v>
      </c>
      <c r="G38" s="362"/>
      <c r="H38" s="362"/>
      <c r="I38" s="362"/>
      <c r="J38" s="362"/>
      <c r="K38" s="370">
        <f>ROUND(E38*($G$22-$G$18-19939432),0)</f>
        <v>78089</v>
      </c>
      <c r="L38" s="350"/>
      <c r="M38" s="374">
        <v>61975.396825396827</v>
      </c>
    </row>
    <row r="39" spans="3:35" x14ac:dyDescent="0.2">
      <c r="C39" s="346" t="s">
        <v>617</v>
      </c>
      <c r="D39" s="360"/>
      <c r="E39" s="361">
        <v>0.03</v>
      </c>
      <c r="F39" s="362" t="s">
        <v>895</v>
      </c>
      <c r="G39" s="362"/>
      <c r="H39" s="362"/>
      <c r="I39" s="362"/>
      <c r="J39" s="362"/>
      <c r="K39" s="370">
        <f>ROUND(E39*($G$22-$G$18-19939432),0)</f>
        <v>468537</v>
      </c>
      <c r="L39" s="350"/>
      <c r="M39" s="374">
        <v>371854.76190476189</v>
      </c>
    </row>
    <row r="40" spans="3:35" x14ac:dyDescent="0.2">
      <c r="C40" s="346" t="s">
        <v>618</v>
      </c>
      <c r="D40" s="360"/>
      <c r="E40" s="367"/>
      <c r="F40" s="362" t="s">
        <v>619</v>
      </c>
      <c r="G40" s="362"/>
      <c r="H40" s="362"/>
      <c r="I40" s="362"/>
      <c r="J40" s="362"/>
      <c r="K40" s="363"/>
      <c r="L40" s="350"/>
      <c r="M40" s="374">
        <v>0</v>
      </c>
    </row>
    <row r="41" spans="3:35" x14ac:dyDescent="0.2">
      <c r="C41" s="346" t="s">
        <v>620</v>
      </c>
      <c r="D41" s="360"/>
      <c r="E41" s="365"/>
      <c r="F41" s="362" t="s">
        <v>621</v>
      </c>
      <c r="G41" s="362"/>
      <c r="H41" s="362"/>
      <c r="I41" s="362"/>
      <c r="J41" s="362"/>
      <c r="K41" s="349">
        <v>1780200</v>
      </c>
      <c r="L41" s="350"/>
      <c r="M41" s="374">
        <v>1412857.142857143</v>
      </c>
    </row>
    <row r="42" spans="3:35" x14ac:dyDescent="0.2">
      <c r="C42" s="346" t="s">
        <v>336</v>
      </c>
      <c r="D42" s="360"/>
      <c r="E42" s="361">
        <v>8.5000000000000006E-2</v>
      </c>
      <c r="F42" s="362" t="s">
        <v>622</v>
      </c>
      <c r="G42" s="362"/>
      <c r="H42" s="362"/>
      <c r="I42" s="362"/>
      <c r="J42" s="362"/>
      <c r="K42" s="363">
        <f>ROUND($E$42*SUM(K22:K41),-3)</f>
        <v>46638000</v>
      </c>
      <c r="L42" s="371"/>
      <c r="M42" s="363">
        <f>ROUND($E$42*SUM(M22:M41),-3)</f>
        <v>37273000</v>
      </c>
    </row>
    <row r="43" spans="3:35" s="256" customFormat="1" ht="15" x14ac:dyDescent="0.2">
      <c r="C43" s="372" t="s">
        <v>623</v>
      </c>
      <c r="D43" s="352"/>
      <c r="E43" s="353"/>
      <c r="F43" s="354"/>
      <c r="G43" s="354"/>
      <c r="H43" s="354"/>
      <c r="I43" s="354"/>
      <c r="J43" s="354"/>
      <c r="K43" s="354">
        <f>SUM(K26:K42)</f>
        <v>107588768</v>
      </c>
      <c r="L43" s="355"/>
      <c r="M43" s="354">
        <f>SUM(M26:M42)</f>
        <v>85945732.428536475</v>
      </c>
      <c r="AE43" s="70"/>
    </row>
    <row r="44" spans="3:35" x14ac:dyDescent="0.2">
      <c r="C44" s="356"/>
      <c r="D44" s="368"/>
      <c r="E44" s="369"/>
      <c r="F44" s="359"/>
      <c r="G44" s="359"/>
      <c r="H44" s="359"/>
      <c r="I44" s="359"/>
      <c r="J44" s="359"/>
      <c r="K44" s="359"/>
      <c r="L44" s="344"/>
      <c r="M44" s="359"/>
      <c r="N44" s="256"/>
      <c r="O44" s="256"/>
      <c r="P44" s="256"/>
    </row>
    <row r="45" spans="3:35" ht="15" x14ac:dyDescent="0.2">
      <c r="C45" s="376" t="s">
        <v>628</v>
      </c>
      <c r="D45" s="377"/>
      <c r="E45" s="378"/>
      <c r="F45" s="379"/>
      <c r="G45" s="379"/>
      <c r="H45" s="379"/>
      <c r="I45" s="379"/>
      <c r="J45" s="379"/>
      <c r="K45" s="380">
        <f>K43+K24+K22</f>
        <v>595321846.73105955</v>
      </c>
      <c r="L45" s="381"/>
      <c r="M45" s="382">
        <f>M43+M24+M22</f>
        <v>475781502.39107805</v>
      </c>
      <c r="N45" s="256"/>
      <c r="O45" s="256"/>
      <c r="P45" s="256"/>
    </row>
    <row r="46" spans="3:35" x14ac:dyDescent="0.2">
      <c r="C46" s="256"/>
      <c r="D46" s="256"/>
      <c r="E46" s="256"/>
      <c r="F46" s="256"/>
      <c r="G46" s="256"/>
      <c r="H46" s="256"/>
      <c r="I46" s="256"/>
      <c r="J46" s="256"/>
      <c r="K46" s="256"/>
      <c r="L46" s="256"/>
      <c r="M46" s="256"/>
      <c r="N46" s="256"/>
      <c r="O46" s="256"/>
      <c r="P46" s="256"/>
    </row>
    <row r="47" spans="3:35" x14ac:dyDescent="0.2">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row>
    <row r="48" spans="3:35" x14ac:dyDescent="0.2">
      <c r="C48" s="256"/>
      <c r="D48" s="256"/>
      <c r="E48" s="256"/>
      <c r="F48" s="256"/>
      <c r="G48" s="256"/>
      <c r="H48" s="256"/>
      <c r="I48" s="256"/>
      <c r="J48" s="256"/>
      <c r="K48" s="256"/>
      <c r="N48" s="256"/>
      <c r="O48" s="256"/>
      <c r="P48" s="256"/>
    </row>
    <row r="49" spans="2:16" x14ac:dyDescent="0.2">
      <c r="B49" s="9">
        <f>B6+0.1</f>
        <v>1.1000000000000001</v>
      </c>
      <c r="C49" s="388" t="s">
        <v>630</v>
      </c>
      <c r="D49" s="256"/>
      <c r="E49" s="256"/>
      <c r="F49" s="256"/>
      <c r="G49" s="256"/>
      <c r="H49" s="256"/>
      <c r="I49" s="256"/>
      <c r="J49" s="256"/>
      <c r="K49" s="256"/>
      <c r="O49" s="256"/>
      <c r="P49" s="256"/>
    </row>
    <row r="50" spans="2:16" x14ac:dyDescent="0.2">
      <c r="D50" s="256"/>
      <c r="E50" s="256"/>
      <c r="F50" s="256"/>
      <c r="G50" s="256"/>
      <c r="H50" s="256"/>
      <c r="I50" s="256"/>
      <c r="J50" s="256"/>
      <c r="K50" s="256"/>
      <c r="M50" s="256"/>
    </row>
    <row r="51" spans="2:16" x14ac:dyDescent="0.2">
      <c r="C51" s="329" t="s">
        <v>631</v>
      </c>
      <c r="D51" s="393" t="s">
        <v>632</v>
      </c>
      <c r="E51" s="394" t="s">
        <v>636</v>
      </c>
      <c r="F51" s="393" t="s">
        <v>633</v>
      </c>
      <c r="G51" s="395" t="s">
        <v>637</v>
      </c>
      <c r="H51" s="256"/>
      <c r="I51" s="256"/>
      <c r="J51" s="256"/>
      <c r="K51" s="256"/>
      <c r="L51" s="256"/>
      <c r="M51" s="256"/>
    </row>
    <row r="52" spans="2:16" x14ac:dyDescent="0.2">
      <c r="C52" s="256" t="s">
        <v>629</v>
      </c>
      <c r="D52" s="389">
        <f>1/M6</f>
        <v>0.8</v>
      </c>
      <c r="E52" s="41">
        <f>'Plant model'!E14</f>
        <v>0.77</v>
      </c>
      <c r="F52" s="391">
        <v>0.57199999999999995</v>
      </c>
      <c r="G52" s="392">
        <f>(E52/D52-1)*F52*$M$45/1000000</f>
        <v>-10.205513226288618</v>
      </c>
      <c r="H52" s="256"/>
      <c r="I52" s="256"/>
      <c r="J52" s="392"/>
      <c r="K52" s="256"/>
      <c r="L52" s="256"/>
      <c r="M52" s="256"/>
    </row>
    <row r="53" spans="2:16" x14ac:dyDescent="0.2">
      <c r="C53" s="256" t="s">
        <v>634</v>
      </c>
      <c r="D53" s="389">
        <f>1.56/1.26</f>
        <v>1.2380952380952381</v>
      </c>
      <c r="E53" s="34">
        <f>D53</f>
        <v>1.2380952380952381</v>
      </c>
      <c r="F53" s="391">
        <v>2.9000000000000001E-2</v>
      </c>
      <c r="G53" s="392">
        <f>(E53/D53-1)*F53*$M$45/1000000</f>
        <v>0</v>
      </c>
      <c r="H53" s="256"/>
      <c r="I53" s="256"/>
      <c r="J53" s="256"/>
      <c r="K53" s="256"/>
      <c r="L53" s="256"/>
      <c r="M53" s="256"/>
    </row>
    <row r="54" spans="2:16" x14ac:dyDescent="0.2">
      <c r="C54" s="256" t="s">
        <v>635</v>
      </c>
      <c r="D54" s="256">
        <v>1</v>
      </c>
      <c r="E54" s="1">
        <v>1</v>
      </c>
      <c r="F54" s="391">
        <v>0.39900000000000002</v>
      </c>
      <c r="G54" s="392">
        <f>(E54/D54-1)*F54*$M$45/1000000</f>
        <v>0</v>
      </c>
      <c r="H54" s="256"/>
      <c r="I54" s="256"/>
      <c r="J54" s="256"/>
      <c r="K54" s="256"/>
      <c r="L54" s="256"/>
      <c r="M54" s="256"/>
    </row>
    <row r="55" spans="2:16" x14ac:dyDescent="0.2">
      <c r="C55" s="256"/>
      <c r="D55" s="256"/>
      <c r="F55" s="390">
        <f>SUM(F52:F54)</f>
        <v>1</v>
      </c>
      <c r="G55" s="392">
        <f>SUM(G52:G54)</f>
        <v>-10.205513226288618</v>
      </c>
      <c r="H55" s="256"/>
      <c r="I55" s="256"/>
      <c r="J55" s="256"/>
      <c r="K55" s="256"/>
      <c r="L55" s="256"/>
      <c r="M55" s="256"/>
      <c r="N55" s="256"/>
    </row>
    <row r="58" spans="2:16" x14ac:dyDescent="0.2">
      <c r="G58" s="338"/>
    </row>
  </sheetData>
  <pageMargins left="0.7" right="0.7" top="0.75" bottom="0.75" header="0.3" footer="0.3"/>
  <pageSetup scale="54"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4:Q68"/>
  <sheetViews>
    <sheetView workbookViewId="0">
      <selection activeCell="K21" sqref="K21"/>
    </sheetView>
  </sheetViews>
  <sheetFormatPr defaultColWidth="8.7109375" defaultRowHeight="15" x14ac:dyDescent="0.25"/>
  <cols>
    <col min="4" max="4" width="12.5703125" bestFit="1" customWidth="1"/>
  </cols>
  <sheetData>
    <row r="4" spans="2:17" x14ac:dyDescent="0.25">
      <c r="N4" t="s">
        <v>499</v>
      </c>
    </row>
    <row r="5" spans="2:17" x14ac:dyDescent="0.25">
      <c r="B5" s="293" t="s">
        <v>384</v>
      </c>
      <c r="C5" s="293" t="s">
        <v>498</v>
      </c>
      <c r="D5" s="293" t="s">
        <v>499</v>
      </c>
      <c r="E5" s="293" t="s">
        <v>500</v>
      </c>
      <c r="F5" s="293" t="s">
        <v>497</v>
      </c>
      <c r="G5" s="293" t="s">
        <v>501</v>
      </c>
      <c r="H5" s="293" t="s">
        <v>502</v>
      </c>
      <c r="I5" s="293" t="s">
        <v>143</v>
      </c>
      <c r="M5" t="s">
        <v>384</v>
      </c>
      <c r="N5" s="294" t="s">
        <v>503</v>
      </c>
      <c r="O5" s="294" t="s">
        <v>504</v>
      </c>
      <c r="P5" s="294" t="s">
        <v>505</v>
      </c>
      <c r="Q5" s="294" t="s">
        <v>506</v>
      </c>
    </row>
    <row r="6" spans="2:17" x14ac:dyDescent="0.25">
      <c r="B6" s="292">
        <v>40360</v>
      </c>
      <c r="C6" s="283">
        <v>459.5</v>
      </c>
      <c r="D6" s="283">
        <v>0</v>
      </c>
      <c r="E6" s="133">
        <f>C6+D6</f>
        <v>459.5</v>
      </c>
      <c r="F6" s="283">
        <f>126.36-'Plant model'!E220</f>
        <v>124.64571428571429</v>
      </c>
      <c r="G6" s="127">
        <f>'Plant model'!$E$220</f>
        <v>1.7142857142857142</v>
      </c>
      <c r="H6" s="139">
        <f>F6-G6</f>
        <v>122.93142857142858</v>
      </c>
      <c r="I6" s="114" t="e">
        <f ca="1">IF(AND($E6='Plant model'!$E$21,'EBITDA Backtest'!$H6='Plant model'!$E$206),'Plant model'!$M$1257,'EBITDA Backtest'!I6)</f>
        <v>#NAME?</v>
      </c>
      <c r="M6" s="292">
        <f t="shared" ref="M6:M37" si="0">B6</f>
        <v>40360</v>
      </c>
      <c r="N6" s="133">
        <f t="shared" ref="N6:Q25" ca="1" si="1">IF(N$5=$D$6,$I6,N6)</f>
        <v>78.895636610989399</v>
      </c>
      <c r="O6" s="133">
        <f t="shared" ca="1" si="1"/>
        <v>70.523142914989421</v>
      </c>
      <c r="P6" s="133">
        <f t="shared" ca="1" si="1"/>
        <v>70.523142914989421</v>
      </c>
      <c r="Q6" s="133">
        <f t="shared" ca="1" si="1"/>
        <v>37.033168130989409</v>
      </c>
    </row>
    <row r="7" spans="2:17" x14ac:dyDescent="0.25">
      <c r="B7" s="292">
        <v>40391</v>
      </c>
      <c r="C7" s="283">
        <v>449.72222222222223</v>
      </c>
      <c r="D7" s="139">
        <f>D6</f>
        <v>0</v>
      </c>
      <c r="E7" s="133">
        <f t="shared" ref="E7:E66" si="2">C7+D7</f>
        <v>449.72222222222223</v>
      </c>
      <c r="F7" s="283">
        <v>145.34</v>
      </c>
      <c r="G7" s="127">
        <f>'Plant model'!$E$220</f>
        <v>1.7142857142857142</v>
      </c>
      <c r="H7" s="139">
        <f t="shared" ref="H7:H66" si="3">F7-G7</f>
        <v>143.62571428571428</v>
      </c>
      <c r="I7" s="114" t="e">
        <f ca="1">IF(AND($E7='Plant model'!$E$21,'EBITDA Backtest'!$H7='Plant model'!$E$206),'Plant model'!$M$1257,'EBITDA Backtest'!I7)</f>
        <v>#NAME?</v>
      </c>
      <c r="M7" s="292">
        <f t="shared" si="0"/>
        <v>40391</v>
      </c>
      <c r="N7" s="133">
        <f t="shared" ca="1" si="1"/>
        <v>55.608155290581522</v>
      </c>
      <c r="O7" s="133">
        <f t="shared" ca="1" si="1"/>
        <v>47.235661594581508</v>
      </c>
      <c r="P7" s="133">
        <f t="shared" ca="1" si="1"/>
        <v>38.863167898581523</v>
      </c>
      <c r="Q7" s="133">
        <f t="shared" ca="1" si="1"/>
        <v>13.745686810581523</v>
      </c>
    </row>
    <row r="8" spans="2:17" x14ac:dyDescent="0.25">
      <c r="B8" s="292">
        <v>40422</v>
      </c>
      <c r="C8" s="283">
        <v>453.75</v>
      </c>
      <c r="D8" s="139">
        <f t="shared" ref="D8:D66" si="4">D7</f>
        <v>0</v>
      </c>
      <c r="E8" s="133">
        <f t="shared" si="2"/>
        <v>453.75</v>
      </c>
      <c r="F8" s="283">
        <v>140.63</v>
      </c>
      <c r="G8" s="127">
        <f>'Plant model'!$E$220</f>
        <v>1.7142857142857142</v>
      </c>
      <c r="H8" s="139">
        <f t="shared" si="3"/>
        <v>138.91571428571427</v>
      </c>
      <c r="I8" s="114" t="e">
        <f ca="1">IF(AND($E8='Plant model'!$E$21,'EBITDA Backtest'!$H8='Plant model'!$E$206),'Plant model'!$M$1257,'EBITDA Backtest'!I8)</f>
        <v>#NAME?</v>
      </c>
      <c r="M8" s="292">
        <f t="shared" si="0"/>
        <v>40422</v>
      </c>
      <c r="N8" s="133">
        <f t="shared" ca="1" si="1"/>
        <v>60.501075677450935</v>
      </c>
      <c r="O8" s="133">
        <f t="shared" ca="1" si="1"/>
        <v>52.128581981450921</v>
      </c>
      <c r="P8" s="133">
        <f t="shared" ca="1" si="1"/>
        <v>43.756088285450915</v>
      </c>
      <c r="Q8" s="133">
        <f t="shared" ca="1" si="1"/>
        <v>18.638607197450938</v>
      </c>
    </row>
    <row r="9" spans="2:17" x14ac:dyDescent="0.25">
      <c r="B9" s="292">
        <v>40452</v>
      </c>
      <c r="C9" s="283">
        <v>446.61111111111109</v>
      </c>
      <c r="D9" s="139">
        <f t="shared" si="4"/>
        <v>0</v>
      </c>
      <c r="E9" s="133">
        <f t="shared" si="2"/>
        <v>446.61111111111109</v>
      </c>
      <c r="F9" s="283">
        <v>148.47999999999999</v>
      </c>
      <c r="G9" s="127">
        <f>'Plant model'!$E$220</f>
        <v>1.7142857142857142</v>
      </c>
      <c r="H9" s="139">
        <f t="shared" si="3"/>
        <v>146.76571428571427</v>
      </c>
      <c r="I9" s="114" t="e">
        <f ca="1">IF(AND($E9='Plant model'!$E$21,'EBITDA Backtest'!$H9='Plant model'!$E$206),'Plant model'!$M$1257,'EBITDA Backtest'!I9)</f>
        <v>#NAME?</v>
      </c>
      <c r="M9" s="292">
        <f t="shared" si="0"/>
        <v>40452</v>
      </c>
      <c r="N9" s="133">
        <f t="shared" ca="1" si="1"/>
        <v>51.895865020251527</v>
      </c>
      <c r="O9" s="133">
        <f t="shared" ca="1" si="1"/>
        <v>43.523371324251542</v>
      </c>
      <c r="P9" s="133">
        <f t="shared" ca="1" si="1"/>
        <v>35.150877628251536</v>
      </c>
      <c r="Q9" s="133">
        <f t="shared" ca="1" si="1"/>
        <v>10.033396540251534</v>
      </c>
    </row>
    <row r="10" spans="2:17" x14ac:dyDescent="0.25">
      <c r="B10" s="292">
        <v>40483</v>
      </c>
      <c r="C10" s="283">
        <v>459.8125</v>
      </c>
      <c r="D10" s="139">
        <f t="shared" si="4"/>
        <v>0</v>
      </c>
      <c r="E10" s="133">
        <f t="shared" si="2"/>
        <v>459.8125</v>
      </c>
      <c r="F10" s="283">
        <v>160.55000000000001</v>
      </c>
      <c r="G10" s="127">
        <f>'Plant model'!$E$220</f>
        <v>1.7142857142857142</v>
      </c>
      <c r="H10" s="139">
        <f t="shared" si="3"/>
        <v>158.83571428571429</v>
      </c>
      <c r="I10" s="114" t="e">
        <f ca="1">IF(AND($E10='Plant model'!$E$21,'EBITDA Backtest'!$H10='Plant model'!$E$206),'Plant model'!$M$1257,'EBITDA Backtest'!I10)</f>
        <v>#NAME?</v>
      </c>
      <c r="M10" s="292">
        <f t="shared" si="0"/>
        <v>40483</v>
      </c>
      <c r="N10" s="133">
        <f t="shared" ca="1" si="1"/>
        <v>48.835385517984847</v>
      </c>
      <c r="O10" s="133">
        <f t="shared" ca="1" si="1"/>
        <v>40.462891821984833</v>
      </c>
      <c r="P10" s="133">
        <f t="shared" ca="1" si="1"/>
        <v>32.090398125984848</v>
      </c>
      <c r="Q10" s="133">
        <f t="shared" ca="1" si="1"/>
        <v>6.972917037984848</v>
      </c>
    </row>
    <row r="11" spans="2:17" x14ac:dyDescent="0.25">
      <c r="B11" s="292">
        <v>40513</v>
      </c>
      <c r="C11" s="283">
        <v>492.07142857142856</v>
      </c>
      <c r="D11" s="139">
        <f t="shared" si="4"/>
        <v>0</v>
      </c>
      <c r="E11" s="133">
        <f t="shared" si="2"/>
        <v>492.07142857142856</v>
      </c>
      <c r="F11" s="283">
        <v>168.53</v>
      </c>
      <c r="G11" s="127">
        <f>'Plant model'!$E$220</f>
        <v>1.7142857142857142</v>
      </c>
      <c r="H11" s="139">
        <f t="shared" si="3"/>
        <v>166.81571428571428</v>
      </c>
      <c r="I11" s="114" t="e">
        <f ca="1">IF(AND($E11='Plant model'!$E$21,'EBITDA Backtest'!$H11='Plant model'!$E$206),'Plant model'!$M$1257,'EBITDA Backtest'!I11)</f>
        <v>#NAME?</v>
      </c>
      <c r="M11" s="292">
        <f t="shared" si="0"/>
        <v>40513</v>
      </c>
      <c r="N11" s="133">
        <f t="shared" ca="1" si="1"/>
        <v>56.662593185396624</v>
      </c>
      <c r="O11" s="133">
        <f t="shared" ca="1" si="1"/>
        <v>48.290099489396617</v>
      </c>
      <c r="P11" s="133">
        <f t="shared" ca="1" si="1"/>
        <v>39.917605793396604</v>
      </c>
      <c r="Q11" s="133">
        <f t="shared" ca="1" si="1"/>
        <v>14.800124705396602</v>
      </c>
    </row>
    <row r="12" spans="2:17" x14ac:dyDescent="0.25">
      <c r="B12" s="292">
        <v>40544</v>
      </c>
      <c r="C12" s="283">
        <v>543.3125</v>
      </c>
      <c r="D12" s="139">
        <f t="shared" si="4"/>
        <v>0</v>
      </c>
      <c r="E12" s="133">
        <f t="shared" si="2"/>
        <v>543.3125</v>
      </c>
      <c r="F12" s="283">
        <v>179.63</v>
      </c>
      <c r="G12" s="127">
        <f>'Plant model'!$E$220</f>
        <v>1.7142857142857142</v>
      </c>
      <c r="H12" s="139">
        <f t="shared" si="3"/>
        <v>177.91571428571427</v>
      </c>
      <c r="I12" s="114" t="e">
        <f ca="1">IF(AND($E12='Plant model'!$E$21,'EBITDA Backtest'!$H12='Plant model'!$E$206),'Plant model'!$M$1257,'EBITDA Backtest'!I12)</f>
        <v>#NAME?</v>
      </c>
      <c r="M12" s="292">
        <f t="shared" si="0"/>
        <v>40544</v>
      </c>
      <c r="N12" s="133">
        <f t="shared" ca="1" si="1"/>
        <v>70.216546609937765</v>
      </c>
      <c r="O12" s="133">
        <f t="shared" ca="1" si="1"/>
        <v>61.84405291393778</v>
      </c>
      <c r="P12" s="133">
        <f t="shared" ca="1" si="1"/>
        <v>53.471559217937795</v>
      </c>
      <c r="Q12" s="133">
        <f t="shared" ca="1" si="1"/>
        <v>28.354078129937793</v>
      </c>
    </row>
    <row r="13" spans="2:17" x14ac:dyDescent="0.25">
      <c r="B13" s="292">
        <v>40575</v>
      </c>
      <c r="C13" s="283">
        <v>546</v>
      </c>
      <c r="D13" s="139">
        <f t="shared" si="4"/>
        <v>0</v>
      </c>
      <c r="E13" s="133">
        <f t="shared" si="2"/>
        <v>546</v>
      </c>
      <c r="F13" s="283">
        <v>187.18</v>
      </c>
      <c r="G13" s="127">
        <f>'Plant model'!$E$220</f>
        <v>1.7142857142857142</v>
      </c>
      <c r="H13" s="139">
        <f t="shared" si="3"/>
        <v>185.46571428571428</v>
      </c>
      <c r="I13" s="114" t="e">
        <f ca="1">IF(AND($E13='Plant model'!$E$21,'EBITDA Backtest'!$H13='Plant model'!$E$206),'Plant model'!$M$1257,'EBITDA Backtest'!I13)</f>
        <v>#NAME?</v>
      </c>
      <c r="M13" s="292">
        <f t="shared" si="0"/>
        <v>40575</v>
      </c>
      <c r="N13" s="133">
        <f t="shared" ca="1" si="1"/>
        <v>64.978190557501549</v>
      </c>
      <c r="O13" s="133">
        <f t="shared" ca="1" si="1"/>
        <v>56.605696861501514</v>
      </c>
      <c r="P13" s="133">
        <f t="shared" ca="1" si="1"/>
        <v>48.233203165501529</v>
      </c>
      <c r="Q13" s="133">
        <f t="shared" ca="1" si="1"/>
        <v>23.115722077501555</v>
      </c>
    </row>
    <row r="14" spans="2:17" x14ac:dyDescent="0.25">
      <c r="B14" s="292">
        <v>40603</v>
      </c>
      <c r="C14" s="283">
        <v>548.88888888888891</v>
      </c>
      <c r="D14" s="139">
        <f t="shared" si="4"/>
        <v>0</v>
      </c>
      <c r="E14" s="133">
        <f t="shared" si="2"/>
        <v>548.88888888888891</v>
      </c>
      <c r="F14" s="283">
        <v>169.36</v>
      </c>
      <c r="G14" s="127">
        <f>'Plant model'!$E$220</f>
        <v>1.7142857142857142</v>
      </c>
      <c r="H14" s="139">
        <f t="shared" si="3"/>
        <v>167.64571428571429</v>
      </c>
      <c r="I14" s="114" t="e">
        <f ca="1">IF(AND($E14='Plant model'!$E$21,'EBITDA Backtest'!$H14='Plant model'!$E$206),'Plant model'!$M$1257,'EBITDA Backtest'!I14)</f>
        <v>#NAME?</v>
      </c>
      <c r="M14" s="292">
        <f t="shared" si="0"/>
        <v>40603</v>
      </c>
      <c r="N14" s="133">
        <f t="shared" ca="1" si="1"/>
        <v>78.833149880568826</v>
      </c>
      <c r="O14" s="133">
        <f t="shared" ca="1" si="1"/>
        <v>70.460656184568847</v>
      </c>
      <c r="P14" s="133">
        <f t="shared" ca="1" si="1"/>
        <v>62.088162488568862</v>
      </c>
      <c r="Q14" s="133">
        <f t="shared" ca="1" si="1"/>
        <v>36.970681400568886</v>
      </c>
    </row>
    <row r="15" spans="2:17" x14ac:dyDescent="0.25">
      <c r="B15" s="292">
        <v>40634</v>
      </c>
      <c r="C15" s="283">
        <v>550.27777777777783</v>
      </c>
      <c r="D15" s="139">
        <f t="shared" si="4"/>
        <v>0</v>
      </c>
      <c r="E15" s="133">
        <f t="shared" si="2"/>
        <v>550.27777777777783</v>
      </c>
      <c r="F15" s="283">
        <v>179.26</v>
      </c>
      <c r="G15" s="127">
        <f>'Plant model'!$E$220</f>
        <v>1.7142857142857142</v>
      </c>
      <c r="H15" s="139">
        <f t="shared" si="3"/>
        <v>177.54571428571427</v>
      </c>
      <c r="I15" s="114" t="e">
        <f ca="1">IF(AND($E15='Plant model'!$E$21,'EBITDA Backtest'!$H15='Plant model'!$E$206),'Plant model'!$M$1257,'EBITDA Backtest'!I15)</f>
        <v>#NAME?</v>
      </c>
      <c r="M15" s="292">
        <f t="shared" si="0"/>
        <v>40634</v>
      </c>
      <c r="N15" s="133">
        <f t="shared" ca="1" si="1"/>
        <v>72.371459800255124</v>
      </c>
      <c r="O15" s="133">
        <f t="shared" ca="1" si="1"/>
        <v>63.998966104255139</v>
      </c>
      <c r="P15" s="133">
        <f t="shared" ca="1" si="1"/>
        <v>55.626472408255161</v>
      </c>
      <c r="Q15" s="133">
        <f t="shared" ca="1" si="1"/>
        <v>30.508991320255184</v>
      </c>
    </row>
    <row r="16" spans="2:17" x14ac:dyDescent="0.25">
      <c r="B16" s="292">
        <v>40664</v>
      </c>
      <c r="C16" s="283">
        <v>548.27777777777783</v>
      </c>
      <c r="D16" s="139">
        <f t="shared" si="4"/>
        <v>0</v>
      </c>
      <c r="E16" s="133">
        <f t="shared" si="2"/>
        <v>548.27777777777783</v>
      </c>
      <c r="F16" s="283">
        <v>177.1</v>
      </c>
      <c r="G16" s="127">
        <f>'Plant model'!$E$220</f>
        <v>1.7142857142857142</v>
      </c>
      <c r="H16" s="139">
        <f t="shared" si="3"/>
        <v>175.38571428571427</v>
      </c>
      <c r="I16" s="114" t="e">
        <f ca="1">IF(AND($E16='Plant model'!$E$21,'EBITDA Backtest'!$H16='Plant model'!$E$206),'Plant model'!$M$1257,'EBITDA Backtest'!I16)</f>
        <v>#NAME?</v>
      </c>
      <c r="M16" s="292">
        <f t="shared" si="0"/>
        <v>40664</v>
      </c>
      <c r="N16" s="133">
        <f t="shared" ca="1" si="1"/>
        <v>71.390641149380912</v>
      </c>
      <c r="O16" s="133">
        <f t="shared" ca="1" si="1"/>
        <v>63.018147453380934</v>
      </c>
      <c r="P16" s="133">
        <f t="shared" ca="1" si="1"/>
        <v>54.645653757380892</v>
      </c>
      <c r="Q16" s="133">
        <f t="shared" ca="1" si="1"/>
        <v>29.528172669380947</v>
      </c>
    </row>
    <row r="17" spans="2:17" x14ac:dyDescent="0.25">
      <c r="B17" s="292">
        <v>40695</v>
      </c>
      <c r="C17" s="283">
        <v>552.0625</v>
      </c>
      <c r="D17" s="139">
        <f t="shared" si="4"/>
        <v>0</v>
      </c>
      <c r="E17" s="133">
        <f t="shared" si="2"/>
        <v>552.0625</v>
      </c>
      <c r="F17" s="283">
        <v>170.88</v>
      </c>
      <c r="G17" s="127">
        <f>'Plant model'!$E$220</f>
        <v>1.7142857142857142</v>
      </c>
      <c r="H17" s="139">
        <f t="shared" si="3"/>
        <v>169.16571428571427</v>
      </c>
      <c r="I17" s="114" t="e">
        <f ca="1">IF(AND($E17='Plant model'!$E$21,'EBITDA Backtest'!$H17='Plant model'!$E$206),'Plant model'!$M$1257,'EBITDA Backtest'!I17)</f>
        <v>#NAME?</v>
      </c>
      <c r="M17" s="292">
        <f t="shared" si="0"/>
        <v>40695</v>
      </c>
      <c r="N17" s="133">
        <f t="shared" ca="1" si="1"/>
        <v>78.392233166585726</v>
      </c>
      <c r="O17" s="133">
        <f t="shared" ca="1" si="1"/>
        <v>70.019739470585733</v>
      </c>
      <c r="P17" s="133">
        <f t="shared" ca="1" si="1"/>
        <v>61.647245774585755</v>
      </c>
      <c r="Q17" s="133">
        <f t="shared" ca="1" si="1"/>
        <v>36.52976468658575</v>
      </c>
    </row>
    <row r="18" spans="2:17" x14ac:dyDescent="0.25">
      <c r="B18" s="292">
        <v>40725</v>
      </c>
      <c r="C18" s="283">
        <v>555.5</v>
      </c>
      <c r="D18" s="139">
        <f t="shared" si="4"/>
        <v>0</v>
      </c>
      <c r="E18" s="133">
        <f t="shared" si="2"/>
        <v>555.5</v>
      </c>
      <c r="F18" s="283">
        <v>172.98</v>
      </c>
      <c r="G18" s="127">
        <f>'Plant model'!$E$220</f>
        <v>1.7142857142857142</v>
      </c>
      <c r="H18" s="139">
        <f t="shared" si="3"/>
        <v>171.26571428571427</v>
      </c>
      <c r="I18" s="114" t="e">
        <f ca="1">IF(AND($E18='Plant model'!$E$21,'EBITDA Backtest'!$H18='Plant model'!$E$206),'Plant model'!$M$1257,'EBITDA Backtest'!I18)</f>
        <v>#NAME?</v>
      </c>
      <c r="M18" s="292">
        <f t="shared" si="0"/>
        <v>40725</v>
      </c>
      <c r="N18" s="133">
        <f t="shared" ca="1" si="1"/>
        <v>78.337261800115158</v>
      </c>
      <c r="O18" s="133">
        <f t="shared" ca="1" si="1"/>
        <v>69.964768104115123</v>
      </c>
      <c r="P18" s="133">
        <f t="shared" ca="1" si="1"/>
        <v>61.592274408115138</v>
      </c>
      <c r="Q18" s="133">
        <f t="shared" ca="1" si="1"/>
        <v>36.474793320115161</v>
      </c>
    </row>
    <row r="19" spans="2:17" x14ac:dyDescent="0.25">
      <c r="B19" s="292">
        <v>40756</v>
      </c>
      <c r="C19" s="283">
        <v>553.94444444444446</v>
      </c>
      <c r="D19" s="139">
        <f t="shared" si="4"/>
        <v>0</v>
      </c>
      <c r="E19" s="133">
        <f t="shared" si="2"/>
        <v>553.94444444444446</v>
      </c>
      <c r="F19" s="283">
        <v>177.45</v>
      </c>
      <c r="G19" s="127">
        <f>'Plant model'!$E$220</f>
        <v>1.7142857142857142</v>
      </c>
      <c r="H19" s="139">
        <f t="shared" si="3"/>
        <v>175.73571428571427</v>
      </c>
      <c r="I19" s="114" t="e">
        <f ca="1">IF(AND($E19='Plant model'!$E$21,'EBITDA Backtest'!$H19='Plant model'!$E$206),'Plant model'!$M$1257,'EBITDA Backtest'!I19)</f>
        <v>#NAME?</v>
      </c>
      <c r="M19" s="292">
        <f t="shared" si="0"/>
        <v>40756</v>
      </c>
      <c r="N19" s="133">
        <f t="shared" ca="1" si="1"/>
        <v>74.37797656199993</v>
      </c>
      <c r="O19" s="133">
        <f t="shared" ca="1" si="1"/>
        <v>66.005482865999895</v>
      </c>
      <c r="P19" s="133">
        <f t="shared" ca="1" si="1"/>
        <v>57.63298916999991</v>
      </c>
      <c r="Q19" s="133">
        <f t="shared" ca="1" si="1"/>
        <v>32.515508081999933</v>
      </c>
    </row>
    <row r="20" spans="2:17" x14ac:dyDescent="0.25">
      <c r="B20" s="292">
        <v>40787</v>
      </c>
      <c r="C20" s="283">
        <v>536.38888888888891</v>
      </c>
      <c r="D20" s="139">
        <f t="shared" si="4"/>
        <v>0</v>
      </c>
      <c r="E20" s="133">
        <f t="shared" si="2"/>
        <v>536.38888888888891</v>
      </c>
      <c r="F20" s="283">
        <v>177.23</v>
      </c>
      <c r="G20" s="127">
        <f>'Plant model'!$E$220</f>
        <v>1.7142857142857142</v>
      </c>
      <c r="H20" s="139">
        <f t="shared" si="3"/>
        <v>175.51571428571427</v>
      </c>
      <c r="I20" s="114" t="e">
        <f ca="1">IF(AND($E20='Plant model'!$E$21,'EBITDA Backtest'!$H20='Plant model'!$E$206),'Plant model'!$M$1257,'EBITDA Backtest'!I20)</f>
        <v>#NAME?</v>
      </c>
      <c r="M20" s="292">
        <f t="shared" si="0"/>
        <v>40787</v>
      </c>
      <c r="N20" s="133">
        <f t="shared" ca="1" si="1"/>
        <v>66.513201864279267</v>
      </c>
      <c r="O20" s="133">
        <f t="shared" ca="1" si="1"/>
        <v>58.140708168279232</v>
      </c>
      <c r="P20" s="133">
        <f t="shared" ca="1" si="1"/>
        <v>49.768214472279247</v>
      </c>
      <c r="Q20" s="133">
        <f t="shared" ca="1" si="1"/>
        <v>24.65073338427927</v>
      </c>
    </row>
    <row r="21" spans="2:17" x14ac:dyDescent="0.25">
      <c r="B21" s="292">
        <v>40817</v>
      </c>
      <c r="C21" s="283">
        <v>504.25</v>
      </c>
      <c r="D21" s="139">
        <f t="shared" si="4"/>
        <v>0</v>
      </c>
      <c r="E21" s="133">
        <f t="shared" si="2"/>
        <v>504.25</v>
      </c>
      <c r="F21" s="283">
        <v>150.43</v>
      </c>
      <c r="G21" s="127">
        <f>'Plant model'!$E$220</f>
        <v>1.7142857142857142</v>
      </c>
      <c r="H21" s="139">
        <f t="shared" si="3"/>
        <v>148.71571428571428</v>
      </c>
      <c r="I21" s="114" t="e">
        <f ca="1">IF(AND($E21='Plant model'!$E$21,'EBITDA Backtest'!$H21='Plant model'!$E$206),'Plant model'!$M$1257,'EBITDA Backtest'!I21)</f>
        <v>#NAME?</v>
      </c>
      <c r="M21" s="292">
        <f t="shared" si="0"/>
        <v>40817</v>
      </c>
      <c r="N21" s="133">
        <f t="shared" ca="1" si="1"/>
        <v>72.125275208875323</v>
      </c>
      <c r="O21" s="133">
        <f t="shared" ca="1" si="1"/>
        <v>63.752781512875345</v>
      </c>
      <c r="P21" s="133">
        <f t="shared" ca="1" si="1"/>
        <v>55.380287816875331</v>
      </c>
      <c r="Q21" s="133">
        <f t="shared" ca="1" si="1"/>
        <v>30.262806728875329</v>
      </c>
    </row>
    <row r="22" spans="2:17" x14ac:dyDescent="0.25">
      <c r="B22" s="292">
        <v>40848</v>
      </c>
      <c r="C22" s="283">
        <v>461.875</v>
      </c>
      <c r="D22" s="139">
        <f t="shared" si="4"/>
        <v>0</v>
      </c>
      <c r="E22" s="133">
        <f t="shared" si="2"/>
        <v>461.875</v>
      </c>
      <c r="F22" s="283">
        <v>135.54</v>
      </c>
      <c r="G22" s="127">
        <f>'Plant model'!$E$220</f>
        <v>1.7142857142857142</v>
      </c>
      <c r="H22" s="139">
        <f t="shared" si="3"/>
        <v>133.82571428571427</v>
      </c>
      <c r="I22" s="114" t="e">
        <f ca="1">IF(AND($E22='Plant model'!$E$21,'EBITDA Backtest'!$H22='Plant model'!$E$206),'Plant model'!$M$1257,'EBITDA Backtest'!I22)</f>
        <v>#NAME?</v>
      </c>
      <c r="M22" s="292">
        <f t="shared" si="0"/>
        <v>40848</v>
      </c>
      <c r="N22" s="133">
        <f t="shared" ca="1" si="1"/>
        <v>64.979181094192995</v>
      </c>
      <c r="O22" s="133">
        <f t="shared" ca="1" si="1"/>
        <v>56.60668739819301</v>
      </c>
      <c r="P22" s="133">
        <f t="shared" ca="1" si="1"/>
        <v>48.234193702193004</v>
      </c>
      <c r="Q22" s="133">
        <f t="shared" ca="1" si="1"/>
        <v>23.116712614192998</v>
      </c>
    </row>
    <row r="23" spans="2:17" x14ac:dyDescent="0.25">
      <c r="B23" s="292">
        <v>40878</v>
      </c>
      <c r="C23" s="283">
        <v>481.05555555555554</v>
      </c>
      <c r="D23" s="139">
        <f t="shared" si="4"/>
        <v>0</v>
      </c>
      <c r="E23" s="133">
        <f t="shared" si="2"/>
        <v>481.05555555555554</v>
      </c>
      <c r="F23" s="283">
        <v>136.46</v>
      </c>
      <c r="G23" s="127">
        <f>'Plant model'!$E$220</f>
        <v>1.7142857142857142</v>
      </c>
      <c r="H23" s="139">
        <f t="shared" si="3"/>
        <v>134.74571428571429</v>
      </c>
      <c r="I23" s="114" t="e">
        <f ca="1">IF(AND($E23='Plant model'!$E$21,'EBITDA Backtest'!$H23='Plant model'!$E$206),'Plant model'!$M$1257,'EBITDA Backtest'!I23)</f>
        <v>#NAME?</v>
      </c>
      <c r="M23" s="292">
        <f t="shared" si="0"/>
        <v>40878</v>
      </c>
      <c r="N23" s="133">
        <f t="shared" ca="1" si="1"/>
        <v>72.274111748167073</v>
      </c>
      <c r="O23" s="133">
        <f t="shared" ca="1" si="1"/>
        <v>63.901618052167052</v>
      </c>
      <c r="P23" s="133">
        <f t="shared" ca="1" si="1"/>
        <v>55.529124356167046</v>
      </c>
      <c r="Q23" s="133">
        <f t="shared" ca="1" si="1"/>
        <v>30.41164326816704</v>
      </c>
    </row>
    <row r="24" spans="2:17" x14ac:dyDescent="0.25">
      <c r="B24" s="292">
        <v>40909</v>
      </c>
      <c r="C24" s="283">
        <v>498.5</v>
      </c>
      <c r="D24" s="139">
        <f t="shared" si="4"/>
        <v>0</v>
      </c>
      <c r="E24" s="133">
        <f t="shared" si="2"/>
        <v>498.5</v>
      </c>
      <c r="F24" s="283">
        <v>140.35</v>
      </c>
      <c r="G24" s="127">
        <f>'Plant model'!$E$220</f>
        <v>1.7142857142857142</v>
      </c>
      <c r="H24" s="139">
        <f t="shared" si="3"/>
        <v>138.63571428571427</v>
      </c>
      <c r="I24" s="114" t="e">
        <f ca="1">IF(AND($E24='Plant model'!$E$21,'EBITDA Backtest'!$H24='Plant model'!$E$206),'Plant model'!$M$1257,'EBITDA Backtest'!I24)</f>
        <v>#NAME?</v>
      </c>
      <c r="M24" s="292">
        <f t="shared" si="0"/>
        <v>40909</v>
      </c>
      <c r="N24" s="133">
        <f t="shared" ca="1" si="1"/>
        <v>77.149391593534176</v>
      </c>
      <c r="O24" s="133">
        <f t="shared" ca="1" si="1"/>
        <v>68.77689789753417</v>
      </c>
      <c r="P24" s="133">
        <f t="shared" ca="1" si="1"/>
        <v>60.404404201534192</v>
      </c>
      <c r="Q24" s="133">
        <f t="shared" ca="1" si="1"/>
        <v>35.286923113534186</v>
      </c>
    </row>
    <row r="25" spans="2:17" x14ac:dyDescent="0.25">
      <c r="B25" s="292">
        <v>40940</v>
      </c>
      <c r="C25" s="283">
        <v>486.75</v>
      </c>
      <c r="D25" s="139">
        <f t="shared" si="4"/>
        <v>0</v>
      </c>
      <c r="E25" s="133">
        <f t="shared" si="2"/>
        <v>486.75</v>
      </c>
      <c r="F25" s="283">
        <v>140.4</v>
      </c>
      <c r="G25" s="127">
        <f>'Plant model'!$E$220</f>
        <v>1.7142857142857142</v>
      </c>
      <c r="H25" s="139">
        <f t="shared" si="3"/>
        <v>138.68571428571428</v>
      </c>
      <c r="I25" s="114" t="e">
        <f ca="1">IF(AND($E25='Plant model'!$E$21,'EBITDA Backtest'!$H25='Plant model'!$E$206),'Plant model'!$M$1257,'EBITDA Backtest'!I25)</f>
        <v>#NAME?</v>
      </c>
      <c r="M25" s="292">
        <f t="shared" si="0"/>
        <v>40940</v>
      </c>
      <c r="N25" s="133">
        <f t="shared" ca="1" si="1"/>
        <v>72.895083824998423</v>
      </c>
      <c r="O25" s="133">
        <f t="shared" ca="1" si="1"/>
        <v>64.522590128998445</v>
      </c>
      <c r="P25" s="133">
        <f t="shared" ca="1" si="1"/>
        <v>56.150096432998438</v>
      </c>
      <c r="Q25" s="133">
        <f t="shared" ca="1" si="1"/>
        <v>31.032615344998433</v>
      </c>
    </row>
    <row r="26" spans="2:17" x14ac:dyDescent="0.25">
      <c r="B26" s="292">
        <v>40969</v>
      </c>
      <c r="C26" s="283">
        <v>481.33333333333331</v>
      </c>
      <c r="D26" s="139">
        <f t="shared" si="4"/>
        <v>0</v>
      </c>
      <c r="E26" s="133">
        <f t="shared" si="2"/>
        <v>481.33333333333331</v>
      </c>
      <c r="F26" s="283">
        <v>144.66</v>
      </c>
      <c r="G26" s="127">
        <f>'Plant model'!$E$220</f>
        <v>1.7142857142857142</v>
      </c>
      <c r="H26" s="139">
        <f t="shared" si="3"/>
        <v>142.94571428571427</v>
      </c>
      <c r="I26" s="114" t="e">
        <f ca="1">IF(AND($E26='Plant model'!$E$21,'EBITDA Backtest'!$H26='Plant model'!$E$206),'Plant model'!$M$1257,'EBITDA Backtest'!I26)</f>
        <v>#NAME?</v>
      </c>
      <c r="M26" s="292">
        <f t="shared" si="0"/>
        <v>40969</v>
      </c>
      <c r="N26" s="133">
        <f t="shared" ref="N26:Q45" ca="1" si="5">IF(N$5=$D$6,$I26,N26)</f>
        <v>67.980917281555875</v>
      </c>
      <c r="O26" s="133">
        <f t="shared" ca="1" si="5"/>
        <v>59.60842358555589</v>
      </c>
      <c r="P26" s="133">
        <f t="shared" ca="1" si="5"/>
        <v>51.235929889555884</v>
      </c>
      <c r="Q26" s="133">
        <f t="shared" ca="1" si="5"/>
        <v>26.118448801555907</v>
      </c>
    </row>
    <row r="27" spans="2:17" x14ac:dyDescent="0.25">
      <c r="B27" s="292">
        <v>41000</v>
      </c>
      <c r="C27" s="283">
        <v>482.1875</v>
      </c>
      <c r="D27" s="139">
        <f t="shared" si="4"/>
        <v>0</v>
      </c>
      <c r="E27" s="133">
        <f t="shared" si="2"/>
        <v>482.1875</v>
      </c>
      <c r="F27" s="283">
        <v>147.65</v>
      </c>
      <c r="G27" s="127">
        <f>'Plant model'!$E$220</f>
        <v>1.7142857142857142</v>
      </c>
      <c r="H27" s="139">
        <f t="shared" si="3"/>
        <v>145.93571428571428</v>
      </c>
      <c r="I27" s="114" t="e">
        <f ca="1">IF(AND($E27='Plant model'!$E$21,'EBITDA Backtest'!$H27='Plant model'!$E$206),'Plant model'!$M$1257,'EBITDA Backtest'!I27)</f>
        <v>#NAME?</v>
      </c>
      <c r="M27" s="292">
        <f t="shared" si="0"/>
        <v>41000</v>
      </c>
      <c r="N27" s="133">
        <f t="shared" ca="1" si="5"/>
        <v>67.10746259829979</v>
      </c>
      <c r="O27" s="133">
        <f t="shared" ca="1" si="5"/>
        <v>58.734968902299777</v>
      </c>
      <c r="P27" s="133">
        <f t="shared" ca="1" si="5"/>
        <v>50.36247520629977</v>
      </c>
      <c r="Q27" s="133">
        <f t="shared" ca="1" si="5"/>
        <v>25.244994118299793</v>
      </c>
    </row>
    <row r="28" spans="2:17" x14ac:dyDescent="0.25">
      <c r="B28" s="292">
        <v>41030</v>
      </c>
      <c r="C28" s="283">
        <v>483.05555555555554</v>
      </c>
      <c r="D28" s="139">
        <f t="shared" si="4"/>
        <v>0</v>
      </c>
      <c r="E28" s="133">
        <f t="shared" si="2"/>
        <v>483.05555555555554</v>
      </c>
      <c r="F28" s="283">
        <v>136.27000000000001</v>
      </c>
      <c r="G28" s="127">
        <f>'Plant model'!$E$220</f>
        <v>1.7142857142857142</v>
      </c>
      <c r="H28" s="139">
        <f t="shared" si="3"/>
        <v>134.55571428571429</v>
      </c>
      <c r="I28" s="114" t="e">
        <f ca="1">IF(AND($E28='Plant model'!$E$21,'EBITDA Backtest'!$H28='Plant model'!$E$206),'Plant model'!$M$1257,'EBITDA Backtest'!I28)</f>
        <v>#NAME?</v>
      </c>
      <c r="M28" s="292">
        <f t="shared" si="0"/>
        <v>41030</v>
      </c>
      <c r="N28" s="133">
        <f t="shared" ca="1" si="5"/>
        <v>76.046946205882918</v>
      </c>
      <c r="O28" s="133">
        <f t="shared" ca="1" si="5"/>
        <v>67.674452509882911</v>
      </c>
      <c r="P28" s="133">
        <f t="shared" ca="1" si="5"/>
        <v>59.301958813882905</v>
      </c>
      <c r="Q28" s="133">
        <f t="shared" ca="1" si="5"/>
        <v>34.184477725882928</v>
      </c>
    </row>
    <row r="29" spans="2:17" x14ac:dyDescent="0.25">
      <c r="B29" s="292">
        <v>41061</v>
      </c>
      <c r="C29" s="283">
        <v>454.66666666666669</v>
      </c>
      <c r="D29" s="139">
        <f t="shared" si="4"/>
        <v>0</v>
      </c>
      <c r="E29" s="133">
        <f t="shared" si="2"/>
        <v>454.66666666666669</v>
      </c>
      <c r="F29" s="283">
        <v>134.62</v>
      </c>
      <c r="G29" s="127">
        <f>'Plant model'!$E$220</f>
        <v>1.7142857142857142</v>
      </c>
      <c r="H29" s="139">
        <f t="shared" si="3"/>
        <v>132.90571428571428</v>
      </c>
      <c r="I29" s="114" t="e">
        <f ca="1">IF(AND($E29='Plant model'!$E$21,'EBITDA Backtest'!$H29='Plant model'!$E$206),'Plant model'!$M$1257,'EBITDA Backtest'!I29)</f>
        <v>#NAME?</v>
      </c>
      <c r="M29" s="292">
        <f t="shared" si="0"/>
        <v>41061</v>
      </c>
      <c r="N29" s="133">
        <f t="shared" ca="1" si="5"/>
        <v>65.03646437035232</v>
      </c>
      <c r="O29" s="133">
        <f t="shared" ca="1" si="5"/>
        <v>56.663970674352342</v>
      </c>
      <c r="P29" s="133">
        <f t="shared" ca="1" si="5"/>
        <v>48.291476978352335</v>
      </c>
      <c r="Q29" s="133">
        <f t="shared" ca="1" si="5"/>
        <v>23.173995890352302</v>
      </c>
    </row>
    <row r="30" spans="2:17" x14ac:dyDescent="0.25">
      <c r="B30" s="292">
        <v>41091</v>
      </c>
      <c r="C30" s="283">
        <v>431.44444444444446</v>
      </c>
      <c r="D30" s="139">
        <f t="shared" si="4"/>
        <v>0</v>
      </c>
      <c r="E30" s="133">
        <f t="shared" si="2"/>
        <v>431.44444444444446</v>
      </c>
      <c r="F30" s="283">
        <v>127.94</v>
      </c>
      <c r="G30" s="127">
        <f>'Plant model'!$E$220</f>
        <v>1.7142857142857142</v>
      </c>
      <c r="H30" s="139">
        <f t="shared" si="3"/>
        <v>126.22571428571429</v>
      </c>
      <c r="I30" s="114" t="e">
        <f ca="1">IF(AND($E30='Plant model'!$E$21,'EBITDA Backtest'!$H30='Plant model'!$E$206),'Plant model'!$M$1257,'EBITDA Backtest'!I30)</f>
        <v>#NAME?</v>
      </c>
      <c r="M30" s="292">
        <f t="shared" si="0"/>
        <v>41091</v>
      </c>
      <c r="N30" s="133">
        <f t="shared" ca="1" si="5"/>
        <v>60.07939356973931</v>
      </c>
      <c r="O30" s="133">
        <f t="shared" ca="1" si="5"/>
        <v>51.706899873739324</v>
      </c>
      <c r="P30" s="133">
        <f t="shared" ca="1" si="5"/>
        <v>43.334406177739318</v>
      </c>
      <c r="Q30" s="133">
        <f t="shared" ca="1" si="5"/>
        <v>18.216925089739313</v>
      </c>
    </row>
    <row r="31" spans="2:17" x14ac:dyDescent="0.25">
      <c r="B31" s="292">
        <v>41122</v>
      </c>
      <c r="C31" s="283">
        <v>438.27777777777777</v>
      </c>
      <c r="D31" s="139">
        <f t="shared" si="4"/>
        <v>0</v>
      </c>
      <c r="E31" s="133">
        <f t="shared" si="2"/>
        <v>438.27777777777777</v>
      </c>
      <c r="F31" s="283">
        <v>107.8</v>
      </c>
      <c r="G31" s="127">
        <f>'Plant model'!$E$220</f>
        <v>1.7142857142857142</v>
      </c>
      <c r="H31" s="139">
        <f t="shared" si="3"/>
        <v>106.08571428571429</v>
      </c>
      <c r="I31" s="114" t="e">
        <f ca="1">IF(AND($E31='Plant model'!$E$21,'EBITDA Backtest'!$H31='Plant model'!$E$206),'Plant model'!$M$1257,'EBITDA Backtest'!I31)</f>
        <v>#NAME?</v>
      </c>
      <c r="M31" s="292">
        <f t="shared" si="0"/>
        <v>41122</v>
      </c>
      <c r="N31" s="133">
        <f t="shared" ca="1" si="5"/>
        <v>77.156090218325801</v>
      </c>
      <c r="O31" s="133">
        <f t="shared" ca="1" si="5"/>
        <v>68.783596522325823</v>
      </c>
      <c r="P31" s="133">
        <f t="shared" ca="1" si="5"/>
        <v>60.411102826325781</v>
      </c>
      <c r="Q31" s="133">
        <f t="shared" ca="1" si="5"/>
        <v>35.293621738325783</v>
      </c>
    </row>
    <row r="32" spans="2:17" x14ac:dyDescent="0.25">
      <c r="B32" s="292">
        <v>41153</v>
      </c>
      <c r="C32" s="283">
        <v>434.25</v>
      </c>
      <c r="D32" s="139">
        <f t="shared" si="4"/>
        <v>0</v>
      </c>
      <c r="E32" s="133">
        <f t="shared" si="2"/>
        <v>434.25</v>
      </c>
      <c r="F32" s="283">
        <v>99.47</v>
      </c>
      <c r="G32" s="127">
        <f>'Plant model'!$E$220</f>
        <v>1.7142857142857142</v>
      </c>
      <c r="H32" s="139">
        <f t="shared" si="3"/>
        <v>97.755714285714291</v>
      </c>
      <c r="I32" s="114" t="e">
        <f ca="1">IF(AND($E32='Plant model'!$E$21,'EBITDA Backtest'!$H32='Plant model'!$E$206),'Plant model'!$M$1257,'EBITDA Backtest'!I32)</f>
        <v>#NAME?</v>
      </c>
      <c r="M32" s="292">
        <f t="shared" si="0"/>
        <v>41153</v>
      </c>
      <c r="N32" s="133">
        <f t="shared" ca="1" si="5"/>
        <v>81.348131005812945</v>
      </c>
      <c r="O32" s="133">
        <f t="shared" ca="1" si="5"/>
        <v>72.975637309812953</v>
      </c>
      <c r="P32" s="133">
        <f t="shared" ca="1" si="5"/>
        <v>64.603143613812946</v>
      </c>
      <c r="Q32" s="133">
        <f t="shared" ca="1" si="5"/>
        <v>39.485662525812948</v>
      </c>
    </row>
    <row r="33" spans="2:17" x14ac:dyDescent="0.25">
      <c r="B33" s="292">
        <v>41183</v>
      </c>
      <c r="C33" s="283">
        <v>401.83333333333331</v>
      </c>
      <c r="D33" s="139">
        <f t="shared" si="4"/>
        <v>0</v>
      </c>
      <c r="E33" s="133">
        <f t="shared" si="2"/>
        <v>401.83333333333331</v>
      </c>
      <c r="F33" s="283">
        <v>113.95</v>
      </c>
      <c r="G33" s="127">
        <f>'Plant model'!$E$220</f>
        <v>1.7142857142857142</v>
      </c>
      <c r="H33" s="139">
        <f t="shared" si="3"/>
        <v>112.23571428571429</v>
      </c>
      <c r="I33" s="114" t="e">
        <f ca="1">IF(AND($E33='Plant model'!$E$21,'EBITDA Backtest'!$H33='Plant model'!$E$206),'Plant model'!$M$1257,'EBITDA Backtest'!I33)</f>
        <v>#NAME?</v>
      </c>
      <c r="M33" s="292">
        <f t="shared" si="0"/>
        <v>41183</v>
      </c>
      <c r="N33" s="133">
        <f t="shared" ca="1" si="5"/>
        <v>57.476271724777639</v>
      </c>
      <c r="O33" s="133">
        <f t="shared" ca="1" si="5"/>
        <v>49.103778028777626</v>
      </c>
      <c r="P33" s="133">
        <f t="shared" ca="1" si="5"/>
        <v>40.731284332777648</v>
      </c>
      <c r="Q33" s="133">
        <f t="shared" ca="1" si="5"/>
        <v>15.613803244777642</v>
      </c>
    </row>
    <row r="34" spans="2:17" x14ac:dyDescent="0.25">
      <c r="B34" s="292">
        <v>41214</v>
      </c>
      <c r="C34" s="283">
        <v>407.625</v>
      </c>
      <c r="D34" s="139">
        <f t="shared" si="4"/>
        <v>0</v>
      </c>
      <c r="E34" s="133">
        <f t="shared" si="2"/>
        <v>407.625</v>
      </c>
      <c r="F34" s="283">
        <v>120.35</v>
      </c>
      <c r="G34" s="127">
        <f>'Plant model'!$E$220</f>
        <v>1.7142857142857142</v>
      </c>
      <c r="H34" s="139">
        <f t="shared" si="3"/>
        <v>118.63571428571429</v>
      </c>
      <c r="I34" s="114" t="e">
        <f ca="1">IF(AND($E34='Plant model'!$E$21,'EBITDA Backtest'!$H34='Plant model'!$E$206),'Plant model'!$M$1257,'EBITDA Backtest'!I34)</f>
        <v>#NAME?</v>
      </c>
      <c r="M34" s="292">
        <f t="shared" si="0"/>
        <v>41214</v>
      </c>
      <c r="N34" s="133">
        <f t="shared" ca="1" si="5"/>
        <v>55.347682638048255</v>
      </c>
      <c r="O34" s="133">
        <f t="shared" ca="1" si="5"/>
        <v>46.975188942048241</v>
      </c>
      <c r="P34" s="133">
        <f t="shared" ca="1" si="5"/>
        <v>38.602695246048263</v>
      </c>
      <c r="Q34" s="133">
        <f t="shared" ca="1" si="5"/>
        <v>13.485214158048258</v>
      </c>
    </row>
    <row r="35" spans="2:17" x14ac:dyDescent="0.25">
      <c r="B35" s="292">
        <v>41244</v>
      </c>
      <c r="C35" s="283">
        <v>416.21428571428572</v>
      </c>
      <c r="D35" s="139">
        <f t="shared" si="4"/>
        <v>0</v>
      </c>
      <c r="E35" s="133">
        <f t="shared" si="2"/>
        <v>416.21428571428572</v>
      </c>
      <c r="F35" s="283">
        <v>128.87</v>
      </c>
      <c r="G35" s="127">
        <f>'Plant model'!$E$220</f>
        <v>1.7142857142857142</v>
      </c>
      <c r="H35" s="139">
        <f t="shared" si="3"/>
        <v>127.1557142857143</v>
      </c>
      <c r="I35" s="114" t="e">
        <f ca="1">IF(AND($E35='Plant model'!$E$21,'EBITDA Backtest'!$H35='Plant model'!$E$206),'Plant model'!$M$1257,'EBITDA Backtest'!I35)</f>
        <v>#NAME?</v>
      </c>
      <c r="M35" s="292">
        <f t="shared" si="0"/>
        <v>41244</v>
      </c>
      <c r="N35" s="133">
        <f t="shared" ca="1" si="5"/>
        <v>52.882023711224711</v>
      </c>
      <c r="O35" s="133">
        <f t="shared" ca="1" si="5"/>
        <v>44.509530015224698</v>
      </c>
      <c r="P35" s="133">
        <f t="shared" ca="1" si="5"/>
        <v>36.137036319224691</v>
      </c>
      <c r="Q35" s="133">
        <f t="shared" ca="1" si="5"/>
        <v>11.019555231224688</v>
      </c>
    </row>
    <row r="36" spans="2:17" x14ac:dyDescent="0.25">
      <c r="B36" s="292">
        <v>41275</v>
      </c>
      <c r="C36" s="283">
        <v>415.875</v>
      </c>
      <c r="D36" s="139">
        <f t="shared" si="4"/>
        <v>0</v>
      </c>
      <c r="E36" s="133">
        <f t="shared" si="2"/>
        <v>415.875</v>
      </c>
      <c r="F36" s="283">
        <v>150.49</v>
      </c>
      <c r="G36" s="127">
        <f>'Plant model'!$E$220</f>
        <v>1.7142857142857142</v>
      </c>
      <c r="H36" s="139">
        <f t="shared" si="3"/>
        <v>148.77571428571429</v>
      </c>
      <c r="I36" s="114" t="e">
        <f ca="1">IF(AND($E36='Plant model'!$E$21,'EBITDA Backtest'!$H36='Plant model'!$E$206),'Plant model'!$M$1257,'EBITDA Backtest'!I36)</f>
        <v>#NAME?</v>
      </c>
      <c r="M36" s="292">
        <f t="shared" si="0"/>
        <v>41275</v>
      </c>
      <c r="N36" s="133">
        <f t="shared" ca="1" si="5"/>
        <v>37.57900181745093</v>
      </c>
      <c r="O36" s="133">
        <f t="shared" ca="1" si="5"/>
        <v>29.206508121450923</v>
      </c>
      <c r="P36" s="133">
        <f t="shared" ca="1" si="5"/>
        <v>20.834014425450938</v>
      </c>
      <c r="Q36" s="133">
        <f t="shared" ca="1" si="5"/>
        <v>-4.2834666625490643</v>
      </c>
    </row>
    <row r="37" spans="2:17" x14ac:dyDescent="0.25">
      <c r="B37" s="292">
        <v>41306</v>
      </c>
      <c r="C37" s="283">
        <v>422.5</v>
      </c>
      <c r="D37" s="139">
        <f t="shared" si="4"/>
        <v>0</v>
      </c>
      <c r="E37" s="133">
        <f t="shared" si="2"/>
        <v>422.5</v>
      </c>
      <c r="F37" s="283">
        <v>154.63999999999999</v>
      </c>
      <c r="G37" s="127">
        <f>'Plant model'!$E$220</f>
        <v>1.7142857142857142</v>
      </c>
      <c r="H37" s="139">
        <f t="shared" si="3"/>
        <v>152.92571428571426</v>
      </c>
      <c r="I37" s="114" t="e">
        <f ca="1">IF(AND($E37='Plant model'!$E$21,'EBITDA Backtest'!$H37='Plant model'!$E$206),'Plant model'!$M$1257,'EBITDA Backtest'!I37)</f>
        <v>#NAME?</v>
      </c>
      <c r="M37" s="292">
        <f t="shared" si="0"/>
        <v>41306</v>
      </c>
      <c r="N37" s="133">
        <f t="shared" ca="1" si="5"/>
        <v>38.060071831753199</v>
      </c>
      <c r="O37" s="133">
        <f t="shared" ca="1" si="5"/>
        <v>29.687578135753192</v>
      </c>
      <c r="P37" s="133">
        <f t="shared" ca="1" si="5"/>
        <v>21.315084439753178</v>
      </c>
      <c r="Q37" s="133">
        <f t="shared" ca="1" si="5"/>
        <v>-3.8023966482468232</v>
      </c>
    </row>
    <row r="38" spans="2:17" x14ac:dyDescent="0.25">
      <c r="B38" s="292">
        <v>41334</v>
      </c>
      <c r="C38" s="283">
        <v>436.66666666666669</v>
      </c>
      <c r="D38" s="139">
        <f t="shared" si="4"/>
        <v>0</v>
      </c>
      <c r="E38" s="133">
        <f t="shared" si="2"/>
        <v>436.66666666666669</v>
      </c>
      <c r="F38" s="283">
        <v>139.87</v>
      </c>
      <c r="G38" s="127">
        <f>'Plant model'!$E$220</f>
        <v>1.7142857142857142</v>
      </c>
      <c r="H38" s="139">
        <f t="shared" si="3"/>
        <v>138.15571428571428</v>
      </c>
      <c r="I38" s="114" t="e">
        <f ca="1">IF(AND($E38='Plant model'!$E$21,'EBITDA Backtest'!$H38='Plant model'!$E$206),'Plant model'!$M$1257,'EBITDA Backtest'!I38)</f>
        <v>#NAME?</v>
      </c>
      <c r="M38" s="292">
        <f t="shared" ref="M38:M66" si="6">B38</f>
        <v>41334</v>
      </c>
      <c r="N38" s="133">
        <f t="shared" ca="1" si="5"/>
        <v>54.498344033729694</v>
      </c>
      <c r="O38" s="133">
        <f t="shared" ca="1" si="5"/>
        <v>46.12585033772968</v>
      </c>
      <c r="P38" s="133">
        <f t="shared" ca="1" si="5"/>
        <v>37.753356641729646</v>
      </c>
      <c r="Q38" s="133">
        <f t="shared" ca="1" si="5"/>
        <v>12.635875553729669</v>
      </c>
    </row>
    <row r="39" spans="2:17" x14ac:dyDescent="0.25">
      <c r="B39" s="292">
        <v>41365</v>
      </c>
      <c r="C39" s="283">
        <v>439</v>
      </c>
      <c r="D39" s="139">
        <f t="shared" si="4"/>
        <v>0</v>
      </c>
      <c r="E39" s="133">
        <f t="shared" si="2"/>
        <v>439</v>
      </c>
      <c r="F39" s="283">
        <v>137.38999999999999</v>
      </c>
      <c r="G39" s="127">
        <f>'Plant model'!$E$220</f>
        <v>1.7142857142857142</v>
      </c>
      <c r="H39" s="139">
        <f t="shared" si="3"/>
        <v>135.67571428571426</v>
      </c>
      <c r="I39" s="114" t="e">
        <f ca="1">IF(AND($E39='Plant model'!$E$21,'EBITDA Backtest'!$H39='Plant model'!$E$206),'Plant model'!$M$1257,'EBITDA Backtest'!I39)</f>
        <v>#NAME?</v>
      </c>
      <c r="M39" s="292">
        <f t="shared" si="6"/>
        <v>41365</v>
      </c>
      <c r="N39" s="133">
        <f t="shared" ca="1" si="5"/>
        <v>57.239470406247321</v>
      </c>
      <c r="O39" s="133">
        <f t="shared" ca="1" si="5"/>
        <v>48.866976710247343</v>
      </c>
      <c r="P39" s="133">
        <f t="shared" ca="1" si="5"/>
        <v>40.494483014247329</v>
      </c>
      <c r="Q39" s="133">
        <f t="shared" ca="1" si="5"/>
        <v>15.377001926247328</v>
      </c>
    </row>
    <row r="40" spans="2:17" x14ac:dyDescent="0.25">
      <c r="B40" s="292">
        <v>41395</v>
      </c>
      <c r="C40" s="283">
        <v>428</v>
      </c>
      <c r="D40" s="139">
        <f t="shared" si="4"/>
        <v>0</v>
      </c>
      <c r="E40" s="133">
        <f t="shared" si="2"/>
        <v>428</v>
      </c>
      <c r="F40" s="283">
        <v>124.01</v>
      </c>
      <c r="G40" s="127">
        <f>'Plant model'!$E$220</f>
        <v>1.7142857142857142</v>
      </c>
      <c r="H40" s="139">
        <f t="shared" si="3"/>
        <v>122.2957142857143</v>
      </c>
      <c r="I40" s="114" t="e">
        <f ca="1">IF(AND($E40='Plant model'!$E$21,'EBITDA Backtest'!$H40='Plant model'!$E$206),'Plant model'!$M$1257,'EBITDA Backtest'!I40)</f>
        <v>#NAME?</v>
      </c>
      <c r="M40" s="292">
        <f t="shared" si="6"/>
        <v>41395</v>
      </c>
      <c r="N40" s="133">
        <f t="shared" ca="1" si="5"/>
        <v>62.137470782573104</v>
      </c>
      <c r="O40" s="133">
        <f t="shared" ca="1" si="5"/>
        <v>53.764977086573126</v>
      </c>
      <c r="P40" s="133">
        <f t="shared" ca="1" si="5"/>
        <v>45.392483390573112</v>
      </c>
      <c r="Q40" s="133">
        <f t="shared" ca="1" si="5"/>
        <v>20.27500230257311</v>
      </c>
    </row>
    <row r="41" spans="2:17" x14ac:dyDescent="0.25">
      <c r="B41" s="292">
        <v>41426</v>
      </c>
      <c r="C41" s="283">
        <v>407.6875</v>
      </c>
      <c r="D41" s="139">
        <f t="shared" si="4"/>
        <v>0</v>
      </c>
      <c r="E41" s="133">
        <f t="shared" si="2"/>
        <v>407.6875</v>
      </c>
      <c r="F41" s="283">
        <v>114.82</v>
      </c>
      <c r="G41" s="127">
        <f>'Plant model'!$E$220</f>
        <v>1.7142857142857142</v>
      </c>
      <c r="H41" s="139">
        <f t="shared" si="3"/>
        <v>113.10571428571428</v>
      </c>
      <c r="I41" s="114" t="e">
        <f ca="1">IF(AND($E41='Plant model'!$E$21,'EBITDA Backtest'!$H41='Plant model'!$E$206),'Plant model'!$M$1257,'EBITDA Backtest'!I41)</f>
        <v>#NAME?</v>
      </c>
      <c r="M41" s="292">
        <f t="shared" si="6"/>
        <v>41426</v>
      </c>
      <c r="N41" s="133">
        <f t="shared" ca="1" si="5"/>
        <v>60.108148495523338</v>
      </c>
      <c r="O41" s="133">
        <f t="shared" ca="1" si="5"/>
        <v>51.735654799523331</v>
      </c>
      <c r="P41" s="133">
        <f t="shared" ca="1" si="5"/>
        <v>43.363161103523346</v>
      </c>
      <c r="Q41" s="133">
        <f t="shared" ca="1" si="5"/>
        <v>18.245680015523345</v>
      </c>
    </row>
    <row r="42" spans="2:17" x14ac:dyDescent="0.25">
      <c r="B42" s="292">
        <v>41456</v>
      </c>
      <c r="C42" s="283">
        <v>410.61111111111109</v>
      </c>
      <c r="D42" s="139">
        <f t="shared" si="4"/>
        <v>0</v>
      </c>
      <c r="E42" s="133">
        <f t="shared" si="2"/>
        <v>410.61111111111109</v>
      </c>
      <c r="F42" s="283">
        <v>127.19</v>
      </c>
      <c r="G42" s="127">
        <f>'Plant model'!$E$220</f>
        <v>1.7142857142857142</v>
      </c>
      <c r="H42" s="139">
        <f t="shared" si="3"/>
        <v>125.47571428571429</v>
      </c>
      <c r="I42" s="114" t="e">
        <f ca="1">IF(AND($E42='Plant model'!$E$21,'EBITDA Backtest'!$H42='Plant model'!$E$206),'Plant model'!$M$1257,'EBITDA Backtest'!I42)</f>
        <v>#NAME?</v>
      </c>
      <c r="M42" s="292">
        <f t="shared" si="6"/>
        <v>41456</v>
      </c>
      <c r="N42" s="133">
        <f t="shared" ca="1" si="5"/>
        <v>52.467700368175493</v>
      </c>
      <c r="O42" s="133">
        <f t="shared" ca="1" si="5"/>
        <v>44.095206672175479</v>
      </c>
      <c r="P42" s="133">
        <f t="shared" ca="1" si="5"/>
        <v>35.722712976175501</v>
      </c>
      <c r="Q42" s="133">
        <f t="shared" ca="1" si="5"/>
        <v>10.605231888175496</v>
      </c>
    </row>
    <row r="43" spans="2:17" x14ac:dyDescent="0.25">
      <c r="B43" s="292">
        <v>41487</v>
      </c>
      <c r="C43" s="283">
        <v>423.05555555555554</v>
      </c>
      <c r="D43" s="139">
        <f t="shared" si="4"/>
        <v>0</v>
      </c>
      <c r="E43" s="133">
        <f t="shared" si="2"/>
        <v>423.05555555555554</v>
      </c>
      <c r="F43" s="283">
        <v>137.06</v>
      </c>
      <c r="G43" s="127">
        <f>'Plant model'!$E$220</f>
        <v>1.7142857142857142</v>
      </c>
      <c r="H43" s="139">
        <f t="shared" si="3"/>
        <v>135.34571428571428</v>
      </c>
      <c r="I43" s="114" t="e">
        <f ca="1">IF(AND($E43='Plant model'!$E$21,'EBITDA Backtest'!$H43='Plant model'!$E$206),'Plant model'!$M$1257,'EBITDA Backtest'!I43)</f>
        <v>#NAME?</v>
      </c>
      <c r="M43" s="292">
        <f t="shared" si="6"/>
        <v>41487</v>
      </c>
      <c r="N43" s="133">
        <f t="shared" ca="1" si="5"/>
        <v>50.63947914801502</v>
      </c>
      <c r="O43" s="133">
        <f t="shared" ca="1" si="5"/>
        <v>42.266985452015007</v>
      </c>
      <c r="P43" s="133">
        <f t="shared" ca="1" si="5"/>
        <v>33.894491756015029</v>
      </c>
      <c r="Q43" s="133">
        <f t="shared" ca="1" si="5"/>
        <v>8.7770106680150235</v>
      </c>
    </row>
    <row r="44" spans="2:17" x14ac:dyDescent="0.25">
      <c r="B44" s="292">
        <v>41518</v>
      </c>
      <c r="C44" s="283">
        <v>419.25</v>
      </c>
      <c r="D44" s="139">
        <f t="shared" si="4"/>
        <v>0</v>
      </c>
      <c r="E44" s="133">
        <f t="shared" si="2"/>
        <v>419.25</v>
      </c>
      <c r="F44" s="283">
        <v>134.19</v>
      </c>
      <c r="G44" s="127">
        <f>'Plant model'!$E$220</f>
        <v>1.7142857142857142</v>
      </c>
      <c r="H44" s="139">
        <f t="shared" si="3"/>
        <v>132.47571428571428</v>
      </c>
      <c r="I44" s="114" t="e">
        <f ca="1">IF(AND($E44='Plant model'!$E$21,'EBITDA Backtest'!$H44='Plant model'!$E$206),'Plant model'!$M$1257,'EBITDA Backtest'!I44)</f>
        <v>#NAME?</v>
      </c>
      <c r="M44" s="292">
        <f t="shared" si="6"/>
        <v>41518</v>
      </c>
      <c r="N44" s="133">
        <f t="shared" ca="1" si="5"/>
        <v>51.08817107105817</v>
      </c>
      <c r="O44" s="133">
        <f t="shared" ca="1" si="5"/>
        <v>42.715677375058192</v>
      </c>
      <c r="P44" s="133">
        <f t="shared" ca="1" si="5"/>
        <v>34.343183679058178</v>
      </c>
      <c r="Q44" s="133">
        <f t="shared" ca="1" si="5"/>
        <v>9.2257025910581767</v>
      </c>
    </row>
    <row r="45" spans="2:17" x14ac:dyDescent="0.25">
      <c r="B45" s="292">
        <v>41548</v>
      </c>
      <c r="C45" s="283">
        <v>410</v>
      </c>
      <c r="D45" s="139">
        <f t="shared" si="4"/>
        <v>0</v>
      </c>
      <c r="E45" s="133">
        <f t="shared" si="2"/>
        <v>410</v>
      </c>
      <c r="F45" s="283">
        <v>132.57</v>
      </c>
      <c r="G45" s="127">
        <f>'Plant model'!$E$220</f>
        <v>1.7142857142857142</v>
      </c>
      <c r="H45" s="139">
        <f t="shared" si="3"/>
        <v>130.85571428571427</v>
      </c>
      <c r="I45" s="114" t="e">
        <f ca="1">IF(AND($E45='Plant model'!$E$21,'EBITDA Backtest'!$H45='Plant model'!$E$206),'Plant model'!$M$1257,'EBITDA Backtest'!I45)</f>
        <v>#NAME?</v>
      </c>
      <c r="M45" s="292">
        <f t="shared" si="6"/>
        <v>41548</v>
      </c>
      <c r="N45" s="133">
        <f t="shared" ca="1" si="5"/>
        <v>48.208378508010234</v>
      </c>
      <c r="O45" s="133">
        <f t="shared" ca="1" si="5"/>
        <v>39.835884812010228</v>
      </c>
      <c r="P45" s="133">
        <f t="shared" ca="1" si="5"/>
        <v>31.463391116010243</v>
      </c>
      <c r="Q45" s="133">
        <f t="shared" ca="1" si="5"/>
        <v>6.3459100280102403</v>
      </c>
    </row>
    <row r="46" spans="2:17" x14ac:dyDescent="0.25">
      <c r="B46" s="292">
        <v>41579</v>
      </c>
      <c r="C46" s="283">
        <v>413</v>
      </c>
      <c r="D46" s="139">
        <f t="shared" si="4"/>
        <v>0</v>
      </c>
      <c r="E46" s="133">
        <f t="shared" si="2"/>
        <v>413</v>
      </c>
      <c r="F46" s="283">
        <v>136.32</v>
      </c>
      <c r="G46" s="127">
        <f>'Plant model'!$E$220</f>
        <v>1.7142857142857142</v>
      </c>
      <c r="H46" s="139">
        <f t="shared" si="3"/>
        <v>134.60571428571427</v>
      </c>
      <c r="I46" s="114" t="e">
        <f ca="1">IF(AND($E46='Plant model'!$E$21,'EBITDA Backtest'!$H46='Plant model'!$E$206),'Plant model'!$M$1257,'EBITDA Backtest'!I46)</f>
        <v>#NAME?</v>
      </c>
      <c r="M46" s="292">
        <f t="shared" si="6"/>
        <v>41579</v>
      </c>
      <c r="N46" s="133">
        <f t="shared" ref="N46:Q66" ca="1" si="7">IF(N$5=$D$6,$I46,N46)</f>
        <v>46.796406632998462</v>
      </c>
      <c r="O46" s="133">
        <f t="shared" ca="1" si="7"/>
        <v>38.423912936998455</v>
      </c>
      <c r="P46" s="133">
        <f t="shared" ca="1" si="7"/>
        <v>30.051419240998442</v>
      </c>
      <c r="Q46" s="133">
        <f t="shared" ca="1" si="7"/>
        <v>4.933938152998441</v>
      </c>
    </row>
    <row r="47" spans="2:17" x14ac:dyDescent="0.25">
      <c r="B47" s="292">
        <v>41609</v>
      </c>
      <c r="C47" s="283">
        <v>413</v>
      </c>
      <c r="D47" s="139">
        <f t="shared" si="4"/>
        <v>0</v>
      </c>
      <c r="E47" s="133">
        <f t="shared" si="2"/>
        <v>413</v>
      </c>
      <c r="F47" s="283">
        <v>135.79</v>
      </c>
      <c r="G47" s="127">
        <f>'Plant model'!$E$220</f>
        <v>1.7142857142857142</v>
      </c>
      <c r="H47" s="139">
        <f t="shared" si="3"/>
        <v>134.07571428571427</v>
      </c>
      <c r="I47" s="114" t="e">
        <f ca="1">IF(AND($E47='Plant model'!$E$21,'EBITDA Backtest'!$H47='Plant model'!$E$206),'Plant model'!$M$1257,'EBITDA Backtest'!I47)</f>
        <v>#NAME?</v>
      </c>
      <c r="M47" s="292">
        <f t="shared" si="6"/>
        <v>41609</v>
      </c>
      <c r="N47" s="133">
        <f t="shared" ca="1" si="7"/>
        <v>47.17346219102199</v>
      </c>
      <c r="O47" s="133">
        <f t="shared" ca="1" si="7"/>
        <v>38.800968495021984</v>
      </c>
      <c r="P47" s="133">
        <f t="shared" ca="1" si="7"/>
        <v>30.42847479902197</v>
      </c>
      <c r="Q47" s="133">
        <f t="shared" ca="1" si="7"/>
        <v>5.3109937110219692</v>
      </c>
    </row>
    <row r="48" spans="2:17" x14ac:dyDescent="0.25">
      <c r="B48" s="292">
        <v>41640</v>
      </c>
      <c r="C48" s="283">
        <v>413.83333333333331</v>
      </c>
      <c r="D48" s="139">
        <f t="shared" si="4"/>
        <v>0</v>
      </c>
      <c r="E48" s="133">
        <f t="shared" si="2"/>
        <v>413.83333333333331</v>
      </c>
      <c r="F48" s="283">
        <v>128.12</v>
      </c>
      <c r="G48" s="127">
        <f>'Plant model'!$E$220</f>
        <v>1.7142857142857142</v>
      </c>
      <c r="H48" s="139">
        <f t="shared" si="3"/>
        <v>126.4057142857143</v>
      </c>
      <c r="I48" s="114" t="e">
        <f ca="1">IF(AND($E48='Plant model'!$E$21,'EBITDA Backtest'!$H48='Plant model'!$E$206),'Plant model'!$M$1257,'EBITDA Backtest'!I48)</f>
        <v>#NAME?</v>
      </c>
      <c r="M48" s="292">
        <f t="shared" si="6"/>
        <v>41640</v>
      </c>
      <c r="N48" s="133">
        <f t="shared" ca="1" si="7"/>
        <v>52.898938467568556</v>
      </c>
      <c r="O48" s="133">
        <f t="shared" ca="1" si="7"/>
        <v>44.526444771568571</v>
      </c>
      <c r="P48" s="133">
        <f t="shared" ca="1" si="7"/>
        <v>36.153951075568564</v>
      </c>
      <c r="Q48" s="133">
        <f t="shared" ca="1" si="7"/>
        <v>11.036469987568559</v>
      </c>
    </row>
    <row r="49" spans="2:17" x14ac:dyDescent="0.25">
      <c r="B49" s="292">
        <v>41671</v>
      </c>
      <c r="C49" s="283">
        <v>414.25</v>
      </c>
      <c r="D49" s="139">
        <f t="shared" si="4"/>
        <v>0</v>
      </c>
      <c r="E49" s="133">
        <f t="shared" si="2"/>
        <v>414.25</v>
      </c>
      <c r="F49" s="283">
        <v>121.37</v>
      </c>
      <c r="G49" s="127">
        <f>'Plant model'!$E$220</f>
        <v>1.7142857142857142</v>
      </c>
      <c r="H49" s="139">
        <f t="shared" si="3"/>
        <v>119.6557142857143</v>
      </c>
      <c r="I49" s="114" t="e">
        <f ca="1">IF(AND($E49='Plant model'!$E$21,'EBITDA Backtest'!$H49='Plant model'!$E$206),'Plant model'!$M$1257,'EBITDA Backtest'!I49)</f>
        <v>#NAME?</v>
      </c>
      <c r="M49" s="292">
        <f t="shared" si="6"/>
        <v>41671</v>
      </c>
      <c r="N49" s="133">
        <f t="shared" ca="1" si="7"/>
        <v>57.815479216202085</v>
      </c>
      <c r="O49" s="133">
        <f t="shared" ca="1" si="7"/>
        <v>49.442985520202072</v>
      </c>
      <c r="P49" s="133">
        <f t="shared" ca="1" si="7"/>
        <v>41.070491824202065</v>
      </c>
      <c r="Q49" s="133">
        <f t="shared" ca="1" si="7"/>
        <v>15.953010736202089</v>
      </c>
    </row>
    <row r="50" spans="2:17" x14ac:dyDescent="0.25">
      <c r="B50" s="292">
        <v>41699</v>
      </c>
      <c r="C50" s="283">
        <v>417.4375</v>
      </c>
      <c r="D50" s="139">
        <f t="shared" si="4"/>
        <v>0</v>
      </c>
      <c r="E50" s="133">
        <f t="shared" si="2"/>
        <v>417.4375</v>
      </c>
      <c r="F50" s="283">
        <v>111.83</v>
      </c>
      <c r="G50" s="127">
        <f>'Plant model'!$E$220</f>
        <v>1.7142857142857142</v>
      </c>
      <c r="H50" s="139">
        <f t="shared" si="3"/>
        <v>110.11571428571429</v>
      </c>
      <c r="I50" s="114" t="e">
        <f ca="1">IF(AND($E50='Plant model'!$E$21,'EBITDA Backtest'!$H50='Plant model'!$E$206),'Plant model'!$M$1257,'EBITDA Backtest'!I50)</f>
        <v>#NAME?</v>
      </c>
      <c r="M50" s="292">
        <f t="shared" si="6"/>
        <v>41699</v>
      </c>
      <c r="N50" s="133">
        <f t="shared" ca="1" si="7"/>
        <v>65.851232779893337</v>
      </c>
      <c r="O50" s="133">
        <f t="shared" ca="1" si="7"/>
        <v>57.478739083893316</v>
      </c>
      <c r="P50" s="133">
        <f t="shared" ca="1" si="7"/>
        <v>49.106245387893338</v>
      </c>
      <c r="Q50" s="133">
        <f t="shared" ca="1" si="7"/>
        <v>23.988764299893333</v>
      </c>
    </row>
    <row r="51" spans="2:17" x14ac:dyDescent="0.25">
      <c r="B51" s="292">
        <v>41730</v>
      </c>
      <c r="C51" s="283">
        <v>422.5</v>
      </c>
      <c r="D51" s="139">
        <f t="shared" si="4"/>
        <v>0</v>
      </c>
      <c r="E51" s="133">
        <f t="shared" si="2"/>
        <v>422.5</v>
      </c>
      <c r="F51" s="283">
        <v>114.58</v>
      </c>
      <c r="G51" s="127">
        <f>'Plant model'!$E$220</f>
        <v>1.7142857142857142</v>
      </c>
      <c r="H51" s="139">
        <f t="shared" si="3"/>
        <v>112.86571428571429</v>
      </c>
      <c r="I51" s="114" t="e">
        <f ca="1">IF(AND($E51='Plant model'!$E$21,'EBITDA Backtest'!$H51='Plant model'!$E$206),'Plant model'!$M$1257,'EBITDA Backtest'!I51)</f>
        <v>#NAME?</v>
      </c>
      <c r="M51" s="292">
        <f t="shared" si="6"/>
        <v>41730</v>
      </c>
      <c r="N51" s="133">
        <f t="shared" ca="1" si="7"/>
        <v>65.966092797411889</v>
      </c>
      <c r="O51" s="133">
        <f t="shared" ca="1" si="7"/>
        <v>57.593599101411876</v>
      </c>
      <c r="P51" s="133">
        <f t="shared" ca="1" si="7"/>
        <v>49.221105405411862</v>
      </c>
      <c r="Q51" s="133">
        <f t="shared" ca="1" si="7"/>
        <v>24.10362431741186</v>
      </c>
    </row>
    <row r="52" spans="2:17" x14ac:dyDescent="0.25">
      <c r="B52" s="292">
        <v>41760</v>
      </c>
      <c r="C52" s="283">
        <v>422.5</v>
      </c>
      <c r="D52" s="139">
        <f t="shared" si="4"/>
        <v>0</v>
      </c>
      <c r="E52" s="133">
        <f t="shared" si="2"/>
        <v>422.5</v>
      </c>
      <c r="F52" s="283">
        <v>100.56</v>
      </c>
      <c r="G52" s="127">
        <f>'Plant model'!$E$220</f>
        <v>1.7142857142857142</v>
      </c>
      <c r="H52" s="139">
        <f t="shared" si="3"/>
        <v>98.845714285714294</v>
      </c>
      <c r="I52" s="114" t="e">
        <f ca="1">IF(AND($E52='Plant model'!$E$21,'EBITDA Backtest'!$H52='Plant model'!$E$206),'Plant model'!$M$1257,'EBITDA Backtest'!I52)</f>
        <v>#NAME?</v>
      </c>
      <c r="M52" s="292">
        <f t="shared" si="6"/>
        <v>41760</v>
      </c>
      <c r="N52" s="133">
        <f t="shared" ca="1" si="7"/>
        <v>76.256806265070296</v>
      </c>
      <c r="O52" s="133">
        <f t="shared" ca="1" si="7"/>
        <v>67.884312569070275</v>
      </c>
      <c r="P52" s="133">
        <f t="shared" ca="1" si="7"/>
        <v>59.511818873070268</v>
      </c>
      <c r="Q52" s="133">
        <f t="shared" ca="1" si="7"/>
        <v>34.394337785070263</v>
      </c>
    </row>
    <row r="53" spans="2:17" x14ac:dyDescent="0.25">
      <c r="B53" s="292">
        <v>41791</v>
      </c>
      <c r="C53" s="283">
        <v>422.125</v>
      </c>
      <c r="D53" s="139">
        <f t="shared" si="4"/>
        <v>0</v>
      </c>
      <c r="E53" s="133">
        <f t="shared" si="2"/>
        <v>422.125</v>
      </c>
      <c r="F53" s="283">
        <v>92.74</v>
      </c>
      <c r="G53" s="127">
        <f>'Plant model'!$E$220</f>
        <v>1.7142857142857142</v>
      </c>
      <c r="H53" s="139">
        <f t="shared" si="3"/>
        <v>91.025714285714287</v>
      </c>
      <c r="I53" s="114" t="e">
        <f ca="1">IF(AND($E53='Plant model'!$E$21,'EBITDA Backtest'!$H53='Plant model'!$E$206),'Plant model'!$M$1257,'EBITDA Backtest'!I53)</f>
        <v>#NAME?</v>
      </c>
      <c r="M53" s="292">
        <f t="shared" si="6"/>
        <v>41791</v>
      </c>
      <c r="N53" s="133">
        <f t="shared" ca="1" si="7"/>
        <v>81.712297319807547</v>
      </c>
      <c r="O53" s="133">
        <f t="shared" ca="1" si="7"/>
        <v>73.339803623807526</v>
      </c>
      <c r="P53" s="133">
        <f t="shared" ca="1" si="7"/>
        <v>64.96730992780752</v>
      </c>
      <c r="Q53" s="133">
        <f t="shared" ca="1" si="7"/>
        <v>39.849828839807543</v>
      </c>
    </row>
    <row r="54" spans="2:17" x14ac:dyDescent="0.25">
      <c r="B54" s="292">
        <v>41821</v>
      </c>
      <c r="C54" s="283">
        <v>416.83333333333331</v>
      </c>
      <c r="D54" s="139">
        <f t="shared" si="4"/>
        <v>0</v>
      </c>
      <c r="E54" s="133">
        <f t="shared" si="2"/>
        <v>416.83333333333331</v>
      </c>
      <c r="F54" s="283">
        <v>95.97</v>
      </c>
      <c r="G54" s="127">
        <f>'Plant model'!$E$220</f>
        <v>1.7142857142857142</v>
      </c>
      <c r="H54" s="139">
        <f t="shared" si="3"/>
        <v>94.255714285714291</v>
      </c>
      <c r="I54" s="114" t="e">
        <f ca="1">IF(AND($E54='Plant model'!$E$21,'EBITDA Backtest'!$H54='Plant model'!$E$206),'Plant model'!$M$1257,'EBITDA Backtest'!I54)</f>
        <v>#NAME?</v>
      </c>
      <c r="M54" s="292">
        <f t="shared" si="6"/>
        <v>41821</v>
      </c>
      <c r="N54" s="133">
        <f t="shared" ca="1" si="7"/>
        <v>77.599229577592084</v>
      </c>
      <c r="O54" s="133">
        <f t="shared" ca="1" si="7"/>
        <v>69.226735881592106</v>
      </c>
      <c r="P54" s="133">
        <f t="shared" ca="1" si="7"/>
        <v>60.854242185592121</v>
      </c>
      <c r="Q54" s="133">
        <f t="shared" ca="1" si="7"/>
        <v>35.736761097592115</v>
      </c>
    </row>
    <row r="55" spans="2:17" x14ac:dyDescent="0.25">
      <c r="B55" s="292">
        <v>41852</v>
      </c>
      <c r="C55" s="283">
        <v>413.5</v>
      </c>
      <c r="D55" s="139">
        <f t="shared" si="4"/>
        <v>0</v>
      </c>
      <c r="E55" s="133">
        <f t="shared" si="2"/>
        <v>413.5</v>
      </c>
      <c r="F55" s="283">
        <v>92.63</v>
      </c>
      <c r="G55" s="127">
        <f>'Plant model'!$E$220</f>
        <v>1.7142857142857142</v>
      </c>
      <c r="H55" s="139">
        <f t="shared" si="3"/>
        <v>90.915714285714287</v>
      </c>
      <c r="I55" s="114" t="e">
        <f ca="1">IF(AND($E55='Plant model'!$E$21,'EBITDA Backtest'!$H55='Plant model'!$E$206),'Plant model'!$M$1257,'EBITDA Backtest'!I55)</f>
        <v>#NAME?</v>
      </c>
      <c r="M55" s="292">
        <f t="shared" si="6"/>
        <v>41852</v>
      </c>
      <c r="N55" s="133">
        <f t="shared" ca="1" si="7"/>
        <v>78.776004398660007</v>
      </c>
      <c r="O55" s="133">
        <f t="shared" ca="1" si="7"/>
        <v>70.40351070266</v>
      </c>
      <c r="P55" s="133">
        <f t="shared" ca="1" si="7"/>
        <v>62.031017006660022</v>
      </c>
      <c r="Q55" s="133">
        <f t="shared" ca="1" si="7"/>
        <v>36.913535918660017</v>
      </c>
    </row>
    <row r="56" spans="2:17" x14ac:dyDescent="0.25">
      <c r="B56" s="292">
        <v>41883</v>
      </c>
      <c r="C56" s="283">
        <v>421.94444444444446</v>
      </c>
      <c r="D56" s="139">
        <f t="shared" si="4"/>
        <v>0</v>
      </c>
      <c r="E56" s="133">
        <f t="shared" si="2"/>
        <v>421.94444444444446</v>
      </c>
      <c r="F56" s="283">
        <v>82.27</v>
      </c>
      <c r="G56" s="127">
        <f>'Plant model'!$E$220</f>
        <v>1.7142857142857142</v>
      </c>
      <c r="H56" s="139">
        <f t="shared" si="3"/>
        <v>80.555714285714288</v>
      </c>
      <c r="I56" s="114" t="e">
        <f ca="1">IF(AND($E56='Plant model'!$E$21,'EBITDA Backtest'!$H56='Plant model'!$E$206),'Plant model'!$M$1257,'EBITDA Backtest'!I56)</f>
        <v>#NAME?</v>
      </c>
      <c r="M56" s="292">
        <f t="shared" si="6"/>
        <v>41883</v>
      </c>
      <c r="N56" s="133">
        <f t="shared" ca="1" si="7"/>
        <v>89.777440515607253</v>
      </c>
      <c r="O56" s="133">
        <f t="shared" ca="1" si="7"/>
        <v>81.404946819607275</v>
      </c>
      <c r="P56" s="133">
        <f t="shared" ca="1" si="7"/>
        <v>73.032453123607254</v>
      </c>
      <c r="Q56" s="133">
        <f t="shared" ca="1" si="7"/>
        <v>47.914972035607256</v>
      </c>
    </row>
    <row r="57" spans="2:17" x14ac:dyDescent="0.25">
      <c r="B57" s="292">
        <v>41913</v>
      </c>
      <c r="C57" s="283">
        <v>423</v>
      </c>
      <c r="D57" s="139">
        <f t="shared" si="4"/>
        <v>0</v>
      </c>
      <c r="E57" s="133">
        <f t="shared" si="2"/>
        <v>423</v>
      </c>
      <c r="F57" s="283">
        <v>80.09</v>
      </c>
      <c r="G57" s="127">
        <f>'Plant model'!$E$220</f>
        <v>1.7142857142857142</v>
      </c>
      <c r="H57" s="139">
        <f t="shared" si="3"/>
        <v>78.375714285714295</v>
      </c>
      <c r="I57" s="114" t="e">
        <f ca="1">IF(AND($E57='Plant model'!$E$21,'EBITDA Backtest'!$H57='Plant model'!$E$206),'Plant model'!$M$1257,'EBITDA Backtest'!I57)</f>
        <v>#NAME?</v>
      </c>
      <c r="M57" s="292">
        <f t="shared" si="6"/>
        <v>41913</v>
      </c>
      <c r="N57" s="133">
        <f t="shared" ca="1" si="7"/>
        <v>91.450182553997578</v>
      </c>
      <c r="O57" s="133">
        <f t="shared" ca="1" si="7"/>
        <v>83.077688857997572</v>
      </c>
      <c r="P57" s="133">
        <f t="shared" ca="1" si="7"/>
        <v>74.705195161997594</v>
      </c>
      <c r="Q57" s="133">
        <f t="shared" ca="1" si="7"/>
        <v>49.587714073997589</v>
      </c>
    </row>
    <row r="58" spans="2:17" x14ac:dyDescent="0.25">
      <c r="B58" s="292">
        <v>41944</v>
      </c>
      <c r="C58" s="283">
        <v>404.28571428571428</v>
      </c>
      <c r="D58" s="139">
        <f t="shared" si="4"/>
        <v>0</v>
      </c>
      <c r="E58" s="133">
        <f t="shared" si="2"/>
        <v>404.28571428571428</v>
      </c>
      <c r="F58" s="283">
        <v>73.13</v>
      </c>
      <c r="G58" s="127">
        <f>'Plant model'!$E$220</f>
        <v>1.7142857142857142</v>
      </c>
      <c r="H58" s="139">
        <f t="shared" si="3"/>
        <v>71.415714285714287</v>
      </c>
      <c r="I58" s="114" t="e">
        <f ca="1">IF(AND($E58='Plant model'!$E$21,'EBITDA Backtest'!$H58='Plant model'!$E$206),'Plant model'!$M$1257,'EBITDA Backtest'!I58)</f>
        <v>#NAME?</v>
      </c>
      <c r="M58" s="292">
        <f t="shared" si="6"/>
        <v>41944</v>
      </c>
      <c r="N58" s="133">
        <f t="shared" ca="1" si="7"/>
        <v>88.591446191108915</v>
      </c>
      <c r="O58" s="133">
        <f t="shared" ca="1" si="7"/>
        <v>80.218952495108908</v>
      </c>
      <c r="P58" s="133">
        <f t="shared" ca="1" si="7"/>
        <v>71.84645879910893</v>
      </c>
      <c r="Q58" s="133">
        <f t="shared" ca="1" si="7"/>
        <v>46.728977711108925</v>
      </c>
    </row>
    <row r="59" spans="2:17" x14ac:dyDescent="0.25">
      <c r="B59" s="292">
        <v>41974</v>
      </c>
      <c r="C59" s="283">
        <v>393.125</v>
      </c>
      <c r="D59" s="139">
        <f t="shared" si="4"/>
        <v>0</v>
      </c>
      <c r="E59" s="133">
        <f t="shared" si="2"/>
        <v>393.125</v>
      </c>
      <c r="F59" s="283">
        <v>68.8</v>
      </c>
      <c r="G59" s="127">
        <f>'Plant model'!$E$220</f>
        <v>1.7142857142857142</v>
      </c>
      <c r="H59" s="139">
        <f t="shared" si="3"/>
        <v>67.085714285714289</v>
      </c>
      <c r="I59" s="114" t="e">
        <f ca="1">IF(AND($E59='Plant model'!$E$21,'EBITDA Backtest'!$H59='Plant model'!$E$206),'Plant model'!$M$1257,'EBITDA Backtest'!I59)</f>
        <v>#NAME?</v>
      </c>
      <c r="M59" s="292">
        <f t="shared" si="6"/>
        <v>41974</v>
      </c>
      <c r="N59" s="133">
        <f t="shared" ca="1" si="7"/>
        <v>87.007769641110713</v>
      </c>
      <c r="O59" s="133">
        <f t="shared" ca="1" si="7"/>
        <v>78.635275945110735</v>
      </c>
      <c r="P59" s="133">
        <f t="shared" ca="1" si="7"/>
        <v>70.262782249110728</v>
      </c>
      <c r="Q59" s="133">
        <f t="shared" ca="1" si="7"/>
        <v>45.145301161110716</v>
      </c>
    </row>
    <row r="60" spans="2:17" x14ac:dyDescent="0.25">
      <c r="B60" s="292">
        <v>42005</v>
      </c>
      <c r="C60" s="283">
        <v>384.5</v>
      </c>
      <c r="D60" s="139">
        <f t="shared" si="4"/>
        <v>0</v>
      </c>
      <c r="E60" s="133">
        <f t="shared" si="2"/>
        <v>384.5</v>
      </c>
      <c r="F60" s="283">
        <v>67.39</v>
      </c>
      <c r="G60" s="127">
        <f>'Plant model'!$E$220</f>
        <v>1.7142857142857142</v>
      </c>
      <c r="H60" s="139">
        <f t="shared" si="3"/>
        <v>65.675714285714292</v>
      </c>
      <c r="I60" s="114" t="e">
        <f ca="1">IF(AND($E60='Plant model'!$E$21,'EBITDA Backtest'!$H60='Plant model'!$E$206),'Plant model'!$M$1257,'EBITDA Backtest'!I60)</f>
        <v>#NAME?</v>
      </c>
      <c r="M60" s="292">
        <f t="shared" si="6"/>
        <v>42005</v>
      </c>
      <c r="N60" s="133">
        <f t="shared" ca="1" si="7"/>
        <v>84.145484121284625</v>
      </c>
      <c r="O60" s="133">
        <f t="shared" ca="1" si="7"/>
        <v>75.772990425284647</v>
      </c>
      <c r="P60" s="133">
        <f t="shared" ca="1" si="7"/>
        <v>67.400496729284626</v>
      </c>
      <c r="Q60" s="133">
        <f t="shared" ca="1" si="7"/>
        <v>42.283015641284628</v>
      </c>
    </row>
    <row r="61" spans="2:17" x14ac:dyDescent="0.25">
      <c r="B61" s="292">
        <v>42036</v>
      </c>
      <c r="C61" s="283">
        <v>365.1875</v>
      </c>
      <c r="D61" s="139">
        <f t="shared" si="4"/>
        <v>0</v>
      </c>
      <c r="E61" s="133">
        <f t="shared" si="2"/>
        <v>365.1875</v>
      </c>
      <c r="F61" s="283">
        <v>62.69</v>
      </c>
      <c r="G61" s="127">
        <f>'Plant model'!$E$220</f>
        <v>1.7142857142857142</v>
      </c>
      <c r="H61" s="139">
        <f t="shared" si="3"/>
        <v>60.975714285714282</v>
      </c>
      <c r="I61" s="114" t="e">
        <f ca="1">IF(AND($E61='Plant model'!$E$21,'EBITDA Backtest'!$H61='Plant model'!$E$206),'Plant model'!$M$1257,'EBITDA Backtest'!I61)</f>
        <v>#NAME?</v>
      </c>
      <c r="M61" s="292">
        <f t="shared" si="6"/>
        <v>42036</v>
      </c>
      <c r="N61" s="133">
        <f t="shared" ca="1" si="7"/>
        <v>80.468972581477431</v>
      </c>
      <c r="O61" s="133">
        <f t="shared" ca="1" si="7"/>
        <v>72.096478885477424</v>
      </c>
      <c r="P61" s="133">
        <f t="shared" ca="1" si="7"/>
        <v>63.723985189477411</v>
      </c>
      <c r="Q61" s="133">
        <f t="shared" ca="1" si="7"/>
        <v>38.606504101477412</v>
      </c>
    </row>
    <row r="62" spans="2:17" x14ac:dyDescent="0.25">
      <c r="B62" s="292">
        <v>42064</v>
      </c>
      <c r="C62" s="283">
        <v>285.88888888888891</v>
      </c>
      <c r="D62" s="139">
        <f t="shared" si="4"/>
        <v>0</v>
      </c>
      <c r="E62" s="133">
        <f t="shared" si="2"/>
        <v>285.88888888888891</v>
      </c>
      <c r="F62" s="283">
        <v>56.94</v>
      </c>
      <c r="G62" s="127">
        <f>'Plant model'!$E$220</f>
        <v>1.7142857142857142</v>
      </c>
      <c r="H62" s="139">
        <f t="shared" si="3"/>
        <v>55.225714285714282</v>
      </c>
      <c r="I62" s="114" t="e">
        <f ca="1">IF(AND($E62='Plant model'!$E$21,'EBITDA Backtest'!$H62='Plant model'!$E$206),'Plant model'!$M$1257,'EBITDA Backtest'!I62)</f>
        <v>#NAME?</v>
      </c>
      <c r="M62" s="292">
        <f t="shared" si="6"/>
        <v>42064</v>
      </c>
      <c r="N62" s="133">
        <f t="shared" ca="1" si="7"/>
        <v>51.923396437313947</v>
      </c>
      <c r="O62" s="133">
        <f t="shared" ca="1" si="7"/>
        <v>43.550902741313962</v>
      </c>
      <c r="P62" s="133">
        <f t="shared" ca="1" si="7"/>
        <v>35.178409045313956</v>
      </c>
      <c r="Q62" s="133">
        <f t="shared" ca="1" si="7"/>
        <v>10.060927957313949</v>
      </c>
    </row>
    <row r="63" spans="2:17" x14ac:dyDescent="0.25">
      <c r="B63" s="292">
        <v>42095</v>
      </c>
      <c r="C63" s="283">
        <v>280</v>
      </c>
      <c r="D63" s="139">
        <f t="shared" si="4"/>
        <v>0</v>
      </c>
      <c r="E63" s="133">
        <f t="shared" si="2"/>
        <v>280</v>
      </c>
      <c r="F63" s="283">
        <v>51.15</v>
      </c>
      <c r="G63" s="127">
        <f>'Plant model'!$E$220</f>
        <v>1.7142857142857142</v>
      </c>
      <c r="H63" s="139">
        <f t="shared" si="3"/>
        <v>49.435714285714283</v>
      </c>
      <c r="I63" s="114" t="e">
        <f ca="1">IF(AND($E63='Plant model'!$E$21,'EBITDA Backtest'!$H63='Plant model'!$E$206),'Plant model'!$M$1257,'EBITDA Backtest'!I63)</f>
        <v>#NAME?</v>
      </c>
      <c r="M63" s="292">
        <f t="shared" si="6"/>
        <v>42095</v>
      </c>
      <c r="N63" s="133">
        <f t="shared" ca="1" si="7"/>
        <v>53.469300320038528</v>
      </c>
      <c r="O63" s="133">
        <f t="shared" ca="1" si="7"/>
        <v>45.096806624038521</v>
      </c>
      <c r="P63" s="133">
        <f t="shared" ca="1" si="7"/>
        <v>36.724312928038536</v>
      </c>
      <c r="Q63" s="133">
        <f t="shared" ca="1" si="7"/>
        <v>11.606831840038536</v>
      </c>
    </row>
    <row r="64" spans="2:17" x14ac:dyDescent="0.25">
      <c r="B64" s="292">
        <v>42125</v>
      </c>
      <c r="C64" s="283">
        <v>280</v>
      </c>
      <c r="D64" s="139">
        <f t="shared" si="4"/>
        <v>0</v>
      </c>
      <c r="E64" s="133">
        <f t="shared" si="2"/>
        <v>280</v>
      </c>
      <c r="F64" s="283">
        <v>60.23</v>
      </c>
      <c r="G64" s="127">
        <f>'Plant model'!$E$220</f>
        <v>1.7142857142857142</v>
      </c>
      <c r="H64" s="139">
        <f t="shared" si="3"/>
        <v>58.515714285714282</v>
      </c>
      <c r="I64" s="114" t="e">
        <f ca="1">IF(AND($E64='Plant model'!$E$21,'EBITDA Backtest'!$H64='Plant model'!$E$206),'Plant model'!$M$1257,'EBITDA Backtest'!I64)</f>
        <v>#NAME?</v>
      </c>
      <c r="M64" s="292">
        <f t="shared" si="6"/>
        <v>42125</v>
      </c>
      <c r="N64" s="133">
        <f t="shared" ca="1" si="7"/>
        <v>47.075965866070007</v>
      </c>
      <c r="O64" s="133">
        <f t="shared" ca="1" si="7"/>
        <v>38.70347217007</v>
      </c>
      <c r="P64" s="133">
        <f t="shared" ca="1" si="7"/>
        <v>30.330978474070019</v>
      </c>
      <c r="Q64" s="133">
        <f t="shared" ca="1" si="7"/>
        <v>5.2134973860700153</v>
      </c>
    </row>
    <row r="65" spans="2:17" x14ac:dyDescent="0.25">
      <c r="B65" s="292">
        <v>42156</v>
      </c>
      <c r="C65" s="283">
        <v>293.88888888888891</v>
      </c>
      <c r="D65" s="139">
        <f t="shared" si="4"/>
        <v>0</v>
      </c>
      <c r="E65" s="133">
        <f t="shared" si="2"/>
        <v>293.88888888888891</v>
      </c>
      <c r="F65" s="283">
        <v>62.29</v>
      </c>
      <c r="G65" s="127">
        <f>'Plant model'!$E$220</f>
        <v>1.7142857142857142</v>
      </c>
      <c r="H65" s="139">
        <f t="shared" si="3"/>
        <v>60.575714285714284</v>
      </c>
      <c r="I65" s="114" t="e">
        <f ca="1">IF(AND($E65='Plant model'!$E$21,'EBITDA Backtest'!$H65='Plant model'!$E$206),'Plant model'!$M$1257,'EBITDA Backtest'!I65)</f>
        <v>#NAME?</v>
      </c>
      <c r="M65" s="292">
        <f t="shared" si="6"/>
        <v>42156</v>
      </c>
      <c r="N65" s="133">
        <f t="shared" ca="1" si="7"/>
        <v>51.424660902179795</v>
      </c>
      <c r="O65" s="133">
        <f t="shared" ca="1" si="7"/>
        <v>43.052167206179817</v>
      </c>
      <c r="P65" s="133">
        <f t="shared" ca="1" si="7"/>
        <v>34.679673510179803</v>
      </c>
      <c r="Q65" s="133">
        <f t="shared" ca="1" si="7"/>
        <v>9.5621924221798018</v>
      </c>
    </row>
    <row r="66" spans="2:17" x14ac:dyDescent="0.25">
      <c r="B66" s="292">
        <v>42156</v>
      </c>
      <c r="C66" s="283">
        <v>291.66666666666669</v>
      </c>
      <c r="D66" s="139">
        <f t="shared" si="4"/>
        <v>0</v>
      </c>
      <c r="E66" s="133">
        <f t="shared" si="2"/>
        <v>291.66666666666669</v>
      </c>
      <c r="F66" s="283">
        <v>51.5</v>
      </c>
      <c r="G66" s="127">
        <f>'Plant model'!$E$220</f>
        <v>1.7142857142857142</v>
      </c>
      <c r="H66" s="139">
        <f t="shared" si="3"/>
        <v>49.785714285714285</v>
      </c>
      <c r="I66" s="114" t="e">
        <f ca="1">IF(AND($E66='Plant model'!$E$21,'EBITDA Backtest'!$H66='Plant model'!$E$206),'Plant model'!$M$1257,'EBITDA Backtest'!I66)</f>
        <v>#NAME?</v>
      </c>
      <c r="M66" s="292">
        <f t="shared" si="6"/>
        <v>42156</v>
      </c>
      <c r="N66" s="133">
        <f t="shared" ca="1" si="7"/>
        <v>59.706893079217551</v>
      </c>
      <c r="O66" s="133">
        <f t="shared" ca="1" si="7"/>
        <v>51.334399383217544</v>
      </c>
      <c r="P66" s="133">
        <f t="shared" ca="1" si="7"/>
        <v>42.961905687217531</v>
      </c>
      <c r="Q66" s="133">
        <f t="shared" ca="1" si="7"/>
        <v>17.844424599217543</v>
      </c>
    </row>
    <row r="68" spans="2:17" x14ac:dyDescent="0.25">
      <c r="O68" s="13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Button 11">
              <controlPr defaultSize="0" print="0" autoFill="0" autoPict="0" macro="[0]!EBITDA_Back_Test">
                <anchor moveWithCells="1" sizeWithCells="1">
                  <from>
                    <xdr:col>9</xdr:col>
                    <xdr:colOff>285750</xdr:colOff>
                    <xdr:row>1</xdr:row>
                    <xdr:rowOff>152400</xdr:rowOff>
                  </from>
                  <to>
                    <xdr:col>11</xdr:col>
                    <xdr:colOff>219075</xdr:colOff>
                    <xdr:row>4</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D22E5-51F0-4D11-AC0F-D50F1B2BD05F}">
  <dimension ref="A3:S55"/>
  <sheetViews>
    <sheetView zoomScale="85" zoomScaleNormal="85" workbookViewId="0">
      <selection activeCell="V20" sqref="V20"/>
    </sheetView>
  </sheetViews>
  <sheetFormatPr defaultColWidth="10.5703125" defaultRowHeight="12.75" x14ac:dyDescent="0.2"/>
  <cols>
    <col min="1" max="1" width="17.28515625" style="1" customWidth="1"/>
    <col min="2" max="2" width="16.85546875" style="1" customWidth="1"/>
    <col min="3" max="3" width="14.85546875" style="1" customWidth="1"/>
    <col min="4" max="4" width="11.5703125" style="1" customWidth="1"/>
    <col min="5" max="5" width="13" style="1" customWidth="1"/>
    <col min="6" max="6" width="13.140625" style="1" customWidth="1"/>
    <col min="7" max="16" width="13.5703125" style="1" customWidth="1"/>
    <col min="17" max="17" width="14.140625" style="1" bestFit="1" customWidth="1"/>
    <col min="18" max="16384" width="10.5703125" style="1"/>
  </cols>
  <sheetData>
    <row r="3" spans="1:16" x14ac:dyDescent="0.2">
      <c r="E3" s="611" t="s">
        <v>813</v>
      </c>
      <c r="F3" s="611"/>
      <c r="G3" s="611"/>
      <c r="H3" s="611"/>
      <c r="I3" s="611"/>
      <c r="J3" s="611"/>
      <c r="K3" s="611"/>
      <c r="L3" s="611"/>
      <c r="M3" s="611"/>
      <c r="N3" s="611"/>
      <c r="O3" s="611"/>
      <c r="P3" s="611"/>
    </row>
    <row r="4" spans="1:16" x14ac:dyDescent="0.2">
      <c r="E4" s="459" t="s">
        <v>814</v>
      </c>
      <c r="F4" s="459">
        <v>2020</v>
      </c>
      <c r="G4" s="459">
        <v>2021</v>
      </c>
      <c r="H4" s="459">
        <v>2022</v>
      </c>
      <c r="I4" s="459">
        <v>2023</v>
      </c>
      <c r="J4" s="459">
        <v>2024</v>
      </c>
      <c r="K4" s="459">
        <v>2025</v>
      </c>
      <c r="L4" s="459">
        <v>2026</v>
      </c>
      <c r="M4" s="459">
        <v>2027</v>
      </c>
      <c r="N4" s="459">
        <v>2028</v>
      </c>
      <c r="O4" s="459">
        <v>2029</v>
      </c>
      <c r="P4" s="459">
        <v>2030</v>
      </c>
    </row>
    <row r="5" spans="1:16" ht="15.75" x14ac:dyDescent="0.2">
      <c r="E5" s="463" t="s">
        <v>851</v>
      </c>
      <c r="F5" s="460">
        <v>1</v>
      </c>
      <c r="G5" s="460">
        <v>0.95</v>
      </c>
      <c r="H5" s="460">
        <v>0.9</v>
      </c>
      <c r="I5" s="460">
        <v>0.85</v>
      </c>
      <c r="J5" s="460">
        <v>0.8</v>
      </c>
      <c r="K5" s="460">
        <v>0.75</v>
      </c>
      <c r="L5" s="460">
        <v>0.7</v>
      </c>
      <c r="M5" s="460">
        <v>0.65</v>
      </c>
      <c r="N5" s="460">
        <v>0.6</v>
      </c>
      <c r="O5" s="460">
        <v>0.55000000000000004</v>
      </c>
      <c r="P5" s="460">
        <v>0.5</v>
      </c>
    </row>
    <row r="6" spans="1:16" ht="15.75" x14ac:dyDescent="0.2">
      <c r="E6" s="463" t="s">
        <v>852</v>
      </c>
      <c r="F6" s="460">
        <v>1</v>
      </c>
      <c r="G6" s="460">
        <v>0.97</v>
      </c>
      <c r="H6" s="460">
        <v>0.94</v>
      </c>
      <c r="I6" s="460">
        <v>0.91</v>
      </c>
      <c r="J6" s="460">
        <v>0.88</v>
      </c>
      <c r="K6" s="460">
        <v>0.85</v>
      </c>
      <c r="L6" s="460">
        <v>0.82</v>
      </c>
      <c r="M6" s="460">
        <v>0.79</v>
      </c>
      <c r="N6" s="460">
        <v>0.76</v>
      </c>
      <c r="O6" s="460">
        <v>0.73</v>
      </c>
      <c r="P6" s="460">
        <v>0.7</v>
      </c>
    </row>
    <row r="7" spans="1:16" ht="15.75" x14ac:dyDescent="0.2">
      <c r="E7" s="463" t="s">
        <v>853</v>
      </c>
      <c r="F7" s="460">
        <v>1</v>
      </c>
      <c r="G7" s="460">
        <v>0.97</v>
      </c>
      <c r="H7" s="460">
        <v>0.94</v>
      </c>
      <c r="I7" s="460">
        <v>0.91</v>
      </c>
      <c r="J7" s="460">
        <v>0.88</v>
      </c>
      <c r="K7" s="460">
        <v>0.85</v>
      </c>
      <c r="L7" s="460">
        <v>0.82</v>
      </c>
      <c r="M7" s="460">
        <v>0.79</v>
      </c>
      <c r="N7" s="460">
        <v>0.76</v>
      </c>
      <c r="O7" s="460">
        <v>0.73</v>
      </c>
      <c r="P7" s="460">
        <v>0.7</v>
      </c>
    </row>
    <row r="8" spans="1:16" ht="15.75" x14ac:dyDescent="0.2">
      <c r="E8" s="464" t="s">
        <v>854</v>
      </c>
      <c r="F8" s="461"/>
      <c r="G8" s="461"/>
      <c r="H8" s="461"/>
      <c r="I8" s="461"/>
      <c r="J8" s="461"/>
      <c r="K8" s="461"/>
      <c r="L8" s="461"/>
      <c r="M8" s="461"/>
      <c r="N8" s="461"/>
      <c r="O8" s="461"/>
      <c r="P8" s="461"/>
    </row>
    <row r="9" spans="1:16" ht="15.75" x14ac:dyDescent="0.2">
      <c r="E9" s="464" t="s">
        <v>855</v>
      </c>
      <c r="F9" s="462"/>
      <c r="G9" s="462"/>
      <c r="H9" s="462"/>
      <c r="I9" s="462"/>
      <c r="J9" s="462"/>
      <c r="K9" s="462"/>
      <c r="L9" s="462"/>
      <c r="M9" s="462"/>
      <c r="N9" s="462"/>
      <c r="O9" s="462"/>
      <c r="P9" s="462"/>
    </row>
    <row r="10" spans="1:16" ht="15.75" x14ac:dyDescent="0.2">
      <c r="E10" s="464" t="s">
        <v>856</v>
      </c>
      <c r="F10" s="462"/>
      <c r="G10" s="462"/>
      <c r="H10" s="462"/>
      <c r="I10" s="462"/>
      <c r="J10" s="462"/>
      <c r="K10" s="462"/>
      <c r="L10" s="462"/>
      <c r="M10" s="462"/>
      <c r="N10" s="462"/>
      <c r="O10" s="462"/>
      <c r="P10" s="462"/>
    </row>
    <row r="13" spans="1:16" ht="15.75" x14ac:dyDescent="0.3">
      <c r="A13" s="612" t="s">
        <v>857</v>
      </c>
      <c r="B13" s="612"/>
      <c r="C13" s="612"/>
      <c r="D13" s="612"/>
      <c r="E13" s="612"/>
      <c r="F13" s="612"/>
      <c r="G13" s="612"/>
      <c r="J13" s="465" t="s">
        <v>815</v>
      </c>
      <c r="K13" s="466">
        <v>0.8</v>
      </c>
    </row>
    <row r="15" spans="1:16" ht="15.75" x14ac:dyDescent="0.3">
      <c r="A15" s="1" t="s">
        <v>858</v>
      </c>
      <c r="D15" s="1" t="s">
        <v>816</v>
      </c>
      <c r="J15" s="1" t="s">
        <v>817</v>
      </c>
    </row>
    <row r="16" spans="1:16" ht="13.5" thickBot="1" x14ac:dyDescent="0.25"/>
    <row r="17" spans="1:17" x14ac:dyDescent="0.2">
      <c r="A17" s="613" t="s">
        <v>818</v>
      </c>
      <c r="B17" s="614"/>
      <c r="C17" s="614"/>
      <c r="D17" s="614"/>
      <c r="E17" s="614"/>
      <c r="F17" s="614"/>
      <c r="G17" s="614"/>
      <c r="H17" s="614"/>
      <c r="I17" s="614"/>
      <c r="J17" s="614"/>
      <c r="K17" s="614"/>
      <c r="L17" s="614"/>
      <c r="M17" s="614"/>
      <c r="N17" s="614"/>
      <c r="O17" s="615"/>
    </row>
    <row r="18" spans="1:17" s="470" customFormat="1" ht="60" customHeight="1" x14ac:dyDescent="0.2">
      <c r="A18" s="467"/>
      <c r="B18" s="468" t="s">
        <v>819</v>
      </c>
      <c r="C18" s="468" t="s">
        <v>820</v>
      </c>
      <c r="D18" s="468" t="s">
        <v>821</v>
      </c>
      <c r="E18" s="468" t="s">
        <v>822</v>
      </c>
      <c r="F18" s="468" t="s">
        <v>823</v>
      </c>
      <c r="G18" s="468" t="s">
        <v>824</v>
      </c>
      <c r="H18" s="468" t="s">
        <v>825</v>
      </c>
      <c r="I18" s="468" t="s">
        <v>826</v>
      </c>
      <c r="J18" s="468" t="s">
        <v>827</v>
      </c>
      <c r="K18" s="468" t="s">
        <v>828</v>
      </c>
      <c r="L18" s="468" t="s">
        <v>829</v>
      </c>
      <c r="M18" s="468" t="s">
        <v>830</v>
      </c>
      <c r="N18" s="468" t="s">
        <v>831</v>
      </c>
      <c r="O18" s="469" t="s">
        <v>832</v>
      </c>
    </row>
    <row r="19" spans="1:17" s="470" customFormat="1" ht="33" customHeight="1" x14ac:dyDescent="0.2">
      <c r="A19" s="467" t="s">
        <v>859</v>
      </c>
      <c r="B19" s="471">
        <v>0</v>
      </c>
      <c r="C19" s="471">
        <f>C21-C20</f>
        <v>153491</v>
      </c>
      <c r="D19" s="471">
        <v>0</v>
      </c>
      <c r="E19" s="471">
        <v>0</v>
      </c>
      <c r="F19" s="471">
        <v>0</v>
      </c>
      <c r="G19" s="471">
        <v>0</v>
      </c>
      <c r="H19" s="471">
        <f>H21</f>
        <v>35839</v>
      </c>
      <c r="I19" s="471">
        <v>0</v>
      </c>
      <c r="J19" s="471">
        <v>0</v>
      </c>
      <c r="K19" s="471">
        <v>0</v>
      </c>
      <c r="L19" s="471">
        <v>0</v>
      </c>
      <c r="M19" s="472">
        <f>SUM(B19:L19)</f>
        <v>189330</v>
      </c>
      <c r="N19" s="471" t="s">
        <v>833</v>
      </c>
      <c r="O19" s="473"/>
    </row>
    <row r="20" spans="1:17" s="470" customFormat="1" ht="33" customHeight="1" x14ac:dyDescent="0.2">
      <c r="A20" s="467" t="s">
        <v>860</v>
      </c>
      <c r="B20" s="471">
        <v>123594</v>
      </c>
      <c r="C20" s="471">
        <v>1235</v>
      </c>
      <c r="D20" s="471">
        <f>D21</f>
        <v>1510</v>
      </c>
      <c r="E20" s="471">
        <f>E21</f>
        <v>1162</v>
      </c>
      <c r="F20" s="471">
        <f>F21</f>
        <v>95</v>
      </c>
      <c r="G20" s="471">
        <f>G21</f>
        <v>237</v>
      </c>
      <c r="H20" s="471">
        <v>0</v>
      </c>
      <c r="I20" s="471">
        <f>I21</f>
        <v>8737</v>
      </c>
      <c r="J20" s="471">
        <f>J21</f>
        <v>1092</v>
      </c>
      <c r="K20" s="471">
        <f>K21</f>
        <v>639</v>
      </c>
      <c r="L20" s="471">
        <f>L21</f>
        <v>161</v>
      </c>
      <c r="M20" s="472">
        <f>SUM(B20:L20)</f>
        <v>138462</v>
      </c>
      <c r="N20" s="471" t="s">
        <v>833</v>
      </c>
      <c r="O20" s="473"/>
    </row>
    <row r="21" spans="1:17" ht="20.25" customHeight="1" thickBot="1" x14ac:dyDescent="0.25">
      <c r="A21" s="474" t="s">
        <v>834</v>
      </c>
      <c r="B21" s="475">
        <v>123594</v>
      </c>
      <c r="C21" s="475">
        <v>154726</v>
      </c>
      <c r="D21" s="475">
        <v>1510</v>
      </c>
      <c r="E21" s="475">
        <v>1162</v>
      </c>
      <c r="F21" s="475">
        <v>95</v>
      </c>
      <c r="G21" s="475">
        <v>237</v>
      </c>
      <c r="H21" s="475">
        <v>35839</v>
      </c>
      <c r="I21" s="475">
        <v>8737</v>
      </c>
      <c r="J21" s="475">
        <v>1092</v>
      </c>
      <c r="K21" s="475">
        <v>639</v>
      </c>
      <c r="L21" s="475">
        <v>161</v>
      </c>
      <c r="M21" s="476">
        <f>SUM(B21:L21)</f>
        <v>327792</v>
      </c>
      <c r="N21" s="475">
        <v>1.05</v>
      </c>
      <c r="O21" s="477">
        <f>M21+N21</f>
        <v>327793.05</v>
      </c>
    </row>
    <row r="22" spans="1:17" ht="16.5" customHeight="1" x14ac:dyDescent="0.2">
      <c r="B22" s="33"/>
      <c r="C22" s="33"/>
      <c r="D22" s="33"/>
      <c r="E22" s="33"/>
      <c r="F22" s="33"/>
      <c r="G22" s="33"/>
      <c r="H22" s="33"/>
      <c r="I22" s="33"/>
      <c r="J22" s="33"/>
      <c r="K22" s="33"/>
      <c r="L22" s="33"/>
      <c r="M22" s="33"/>
      <c r="N22" s="33"/>
      <c r="O22" s="33"/>
    </row>
    <row r="23" spans="1:17" ht="13.5" thickBot="1" x14ac:dyDescent="0.25"/>
    <row r="24" spans="1:17" ht="15" x14ac:dyDescent="0.25">
      <c r="A24" s="618" t="s">
        <v>835</v>
      </c>
      <c r="B24" s="619"/>
      <c r="C24" s="619"/>
      <c r="D24" s="619"/>
      <c r="E24" s="619"/>
      <c r="F24" s="619"/>
      <c r="G24" s="619"/>
      <c r="H24" s="619"/>
      <c r="I24" s="619"/>
      <c r="J24" s="619"/>
      <c r="K24" s="619"/>
      <c r="L24" s="619"/>
      <c r="M24" s="619"/>
      <c r="N24" s="619"/>
      <c r="O24" s="619"/>
      <c r="P24" s="620"/>
      <c r="Q24" s="532"/>
    </row>
    <row r="25" spans="1:17" x14ac:dyDescent="0.2">
      <c r="A25" s="616" t="s">
        <v>814</v>
      </c>
      <c r="B25" s="617"/>
      <c r="C25" s="459"/>
      <c r="D25" s="459">
        <f>E25-1</f>
        <v>2018</v>
      </c>
      <c r="E25" s="459">
        <f>F25-1</f>
        <v>2019</v>
      </c>
      <c r="F25" s="459">
        <v>2020</v>
      </c>
      <c r="G25" s="459">
        <v>2021</v>
      </c>
      <c r="H25" s="459">
        <v>2022</v>
      </c>
      <c r="I25" s="459">
        <v>2023</v>
      </c>
      <c r="J25" s="459">
        <v>2024</v>
      </c>
      <c r="K25" s="459">
        <v>2025</v>
      </c>
      <c r="L25" s="459">
        <v>2026</v>
      </c>
      <c r="M25" s="459">
        <v>2027</v>
      </c>
      <c r="N25" s="459">
        <v>2028</v>
      </c>
      <c r="O25" s="459">
        <v>2029</v>
      </c>
      <c r="P25" s="459">
        <v>2030</v>
      </c>
      <c r="Q25" s="478"/>
    </row>
    <row r="26" spans="1:17" ht="17.25" customHeight="1" x14ac:dyDescent="0.2">
      <c r="A26" s="479" t="s">
        <v>836</v>
      </c>
      <c r="B26" s="480"/>
      <c r="F26" s="481"/>
      <c r="G26" s="481"/>
      <c r="H26" s="481"/>
      <c r="I26" s="481"/>
      <c r="J26" s="481"/>
      <c r="K26" s="481"/>
      <c r="L26" s="481"/>
      <c r="M26" s="481"/>
      <c r="N26" s="481"/>
      <c r="O26" s="481"/>
      <c r="P26" s="481"/>
      <c r="Q26" s="478"/>
    </row>
    <row r="27" spans="1:17" ht="17.25" customHeight="1" x14ac:dyDescent="0.2">
      <c r="A27" s="479"/>
      <c r="B27" s="480" t="s">
        <v>837</v>
      </c>
      <c r="F27" s="481"/>
      <c r="G27" s="481">
        <f>G6*$M$19</f>
        <v>183650.1</v>
      </c>
      <c r="H27" s="481">
        <f t="shared" ref="H27:P27" si="0">H6*$M$19</f>
        <v>177970.19999999998</v>
      </c>
      <c r="I27" s="481">
        <f t="shared" si="0"/>
        <v>172290.30000000002</v>
      </c>
      <c r="J27" s="481">
        <f t="shared" si="0"/>
        <v>166610.4</v>
      </c>
      <c r="K27" s="481">
        <f t="shared" si="0"/>
        <v>160930.5</v>
      </c>
      <c r="L27" s="481">
        <f t="shared" si="0"/>
        <v>155250.59999999998</v>
      </c>
      <c r="M27" s="481">
        <f t="shared" si="0"/>
        <v>149570.70000000001</v>
      </c>
      <c r="N27" s="481">
        <f t="shared" si="0"/>
        <v>143890.79999999999</v>
      </c>
      <c r="O27" s="481">
        <f t="shared" si="0"/>
        <v>138210.9</v>
      </c>
      <c r="P27" s="481">
        <f t="shared" si="0"/>
        <v>132531</v>
      </c>
      <c r="Q27" s="478"/>
    </row>
    <row r="28" spans="1:17" ht="17.25" customHeight="1" x14ac:dyDescent="0.2">
      <c r="A28" s="479"/>
      <c r="B28" s="480" t="s">
        <v>838</v>
      </c>
      <c r="F28" s="481"/>
      <c r="G28" s="481">
        <f t="shared" ref="G28:P28" si="1">G5*$M$20*$K$13</f>
        <v>105231.12</v>
      </c>
      <c r="H28" s="481">
        <f t="shared" si="1"/>
        <v>99692.640000000014</v>
      </c>
      <c r="I28" s="481">
        <f t="shared" si="1"/>
        <v>94154.16</v>
      </c>
      <c r="J28" s="481">
        <f t="shared" si="1"/>
        <v>88615.680000000008</v>
      </c>
      <c r="K28" s="481">
        <f t="shared" si="1"/>
        <v>83077.200000000012</v>
      </c>
      <c r="L28" s="481">
        <f t="shared" si="1"/>
        <v>77538.720000000001</v>
      </c>
      <c r="M28" s="481">
        <f>M5*$M$20*$K$13</f>
        <v>72000.240000000005</v>
      </c>
      <c r="N28" s="481">
        <f t="shared" si="1"/>
        <v>66461.759999999995</v>
      </c>
      <c r="O28" s="481">
        <f t="shared" si="1"/>
        <v>60923.280000000006</v>
      </c>
      <c r="P28" s="481">
        <f t="shared" si="1"/>
        <v>55384.800000000003</v>
      </c>
      <c r="Q28" s="478"/>
    </row>
    <row r="29" spans="1:17" s="9" customFormat="1" ht="17.25" customHeight="1" x14ac:dyDescent="0.2">
      <c r="A29" s="479"/>
      <c r="B29" s="480" t="s">
        <v>839</v>
      </c>
      <c r="F29" s="482"/>
      <c r="G29" s="482">
        <f>SUM(G27:G28)</f>
        <v>288881.21999999997</v>
      </c>
      <c r="H29" s="482">
        <f t="shared" ref="H29:P29" si="2">SUM(H27:H28)</f>
        <v>277662.83999999997</v>
      </c>
      <c r="I29" s="482">
        <f t="shared" si="2"/>
        <v>266444.46000000002</v>
      </c>
      <c r="J29" s="482">
        <f t="shared" si="2"/>
        <v>255226.08000000002</v>
      </c>
      <c r="K29" s="482">
        <f t="shared" si="2"/>
        <v>244007.7</v>
      </c>
      <c r="L29" s="482">
        <f t="shared" si="2"/>
        <v>232789.31999999998</v>
      </c>
      <c r="M29" s="482">
        <f t="shared" si="2"/>
        <v>221570.94</v>
      </c>
      <c r="N29" s="482">
        <f>SUM(N27:N28)</f>
        <v>210352.56</v>
      </c>
      <c r="O29" s="482">
        <f t="shared" si="2"/>
        <v>199134.18</v>
      </c>
      <c r="P29" s="482">
        <f t="shared" si="2"/>
        <v>187915.8</v>
      </c>
      <c r="Q29" s="483"/>
    </row>
    <row r="30" spans="1:17" ht="17.25" customHeight="1" x14ac:dyDescent="0.2">
      <c r="A30" s="609" t="s">
        <v>840</v>
      </c>
      <c r="B30" s="610"/>
      <c r="F30" s="264"/>
      <c r="G30" s="481">
        <f>$M$21</f>
        <v>327792</v>
      </c>
      <c r="H30" s="481">
        <f t="shared" ref="H30:P30" si="3">$M$21</f>
        <v>327792</v>
      </c>
      <c r="I30" s="481">
        <f t="shared" si="3"/>
        <v>327792</v>
      </c>
      <c r="J30" s="481">
        <f t="shared" si="3"/>
        <v>327792</v>
      </c>
      <c r="K30" s="481">
        <f t="shared" si="3"/>
        <v>327792</v>
      </c>
      <c r="L30" s="481">
        <f t="shared" si="3"/>
        <v>327792</v>
      </c>
      <c r="M30" s="481">
        <f t="shared" si="3"/>
        <v>327792</v>
      </c>
      <c r="N30" s="481">
        <f t="shared" si="3"/>
        <v>327792</v>
      </c>
      <c r="O30" s="481">
        <f t="shared" si="3"/>
        <v>327792</v>
      </c>
      <c r="P30" s="481">
        <f t="shared" si="3"/>
        <v>327792</v>
      </c>
      <c r="Q30" s="478"/>
    </row>
    <row r="31" spans="1:17" s="9" customFormat="1" ht="17.25" customHeight="1" x14ac:dyDescent="0.2">
      <c r="A31" s="609" t="s">
        <v>841</v>
      </c>
      <c r="B31" s="610"/>
      <c r="F31" s="480"/>
      <c r="G31" s="482">
        <f>G30-G29</f>
        <v>38910.780000000028</v>
      </c>
      <c r="H31" s="482">
        <f t="shared" ref="H31:P31" si="4">H30-H29</f>
        <v>50129.160000000033</v>
      </c>
      <c r="I31" s="482">
        <f t="shared" si="4"/>
        <v>61347.539999999979</v>
      </c>
      <c r="J31" s="482">
        <f t="shared" si="4"/>
        <v>72565.919999999984</v>
      </c>
      <c r="K31" s="482">
        <f t="shared" si="4"/>
        <v>83784.299999999988</v>
      </c>
      <c r="L31" s="482">
        <f t="shared" si="4"/>
        <v>95002.680000000022</v>
      </c>
      <c r="M31" s="482">
        <f t="shared" si="4"/>
        <v>106221.06</v>
      </c>
      <c r="N31" s="482">
        <f>N30-N29</f>
        <v>117439.44</v>
      </c>
      <c r="O31" s="482">
        <f t="shared" si="4"/>
        <v>128657.82</v>
      </c>
      <c r="P31" s="482">
        <f t="shared" si="4"/>
        <v>139876.20000000001</v>
      </c>
      <c r="Q31" s="483"/>
    </row>
    <row r="32" spans="1:17" x14ac:dyDescent="0.2">
      <c r="A32" s="609" t="s">
        <v>842</v>
      </c>
      <c r="B32" s="610"/>
      <c r="F32" s="264"/>
      <c r="G32" s="264"/>
      <c r="H32" s="264"/>
      <c r="I32" s="264"/>
      <c r="J32" s="264"/>
      <c r="K32" s="264"/>
      <c r="L32" s="264"/>
      <c r="M32" s="264"/>
      <c r="N32" s="264"/>
      <c r="O32" s="264"/>
      <c r="P32" s="264"/>
      <c r="Q32" s="478"/>
    </row>
    <row r="33" spans="1:19" x14ac:dyDescent="0.2">
      <c r="A33" s="625" t="s">
        <v>843</v>
      </c>
      <c r="B33" s="626"/>
      <c r="C33" s="543"/>
      <c r="D33" s="484"/>
      <c r="E33" s="484"/>
      <c r="F33" s="484">
        <v>21.56</v>
      </c>
      <c r="G33" s="484">
        <f>F33*1.07</f>
        <v>23.069199999999999</v>
      </c>
      <c r="H33" s="484">
        <f t="shared" ref="H33:P33" si="5">G33*1.07</f>
        <v>24.684044</v>
      </c>
      <c r="I33" s="484">
        <f t="shared" si="5"/>
        <v>26.411927080000002</v>
      </c>
      <c r="J33" s="484">
        <f t="shared" si="5"/>
        <v>28.260761975600005</v>
      </c>
      <c r="K33" s="484">
        <f t="shared" si="5"/>
        <v>30.239015313892008</v>
      </c>
      <c r="L33" s="484">
        <f t="shared" si="5"/>
        <v>32.35574638586445</v>
      </c>
      <c r="M33" s="484">
        <f t="shared" si="5"/>
        <v>34.620648632874961</v>
      </c>
      <c r="N33" s="484">
        <f>M33*1.07</f>
        <v>37.044094037176208</v>
      </c>
      <c r="O33" s="484">
        <f t="shared" si="5"/>
        <v>39.637180619778547</v>
      </c>
      <c r="P33" s="484">
        <f t="shared" si="5"/>
        <v>42.411783263163045</v>
      </c>
      <c r="Q33" s="485" t="s">
        <v>844</v>
      </c>
    </row>
    <row r="34" spans="1:19" s="9" customFormat="1" x14ac:dyDescent="0.2">
      <c r="A34" s="627" t="s">
        <v>845</v>
      </c>
      <c r="B34" s="628"/>
      <c r="C34" s="544"/>
      <c r="D34" s="544"/>
      <c r="E34" s="544"/>
      <c r="F34" s="486"/>
      <c r="G34" s="487">
        <f>G33*G31</f>
        <v>897640.56597600062</v>
      </c>
      <c r="H34" s="487">
        <f t="shared" ref="H34:P34" si="6">H33*H31</f>
        <v>1237390.3911230408</v>
      </c>
      <c r="I34" s="487">
        <f t="shared" si="6"/>
        <v>1620306.7530173827</v>
      </c>
      <c r="J34" s="487">
        <f t="shared" si="6"/>
        <v>2050768.1926604314</v>
      </c>
      <c r="K34" s="487">
        <f t="shared" si="6"/>
        <v>2533554.7307637217</v>
      </c>
      <c r="L34" s="487">
        <f t="shared" si="6"/>
        <v>3073882.6200574376</v>
      </c>
      <c r="M34" s="487">
        <f>M33*M31</f>
        <v>3677441.9956715289</v>
      </c>
      <c r="N34" s="487">
        <f t="shared" si="6"/>
        <v>4350437.6590333134</v>
      </c>
      <c r="O34" s="487">
        <f t="shared" si="6"/>
        <v>5099633.2494869567</v>
      </c>
      <c r="P34" s="487">
        <f t="shared" si="6"/>
        <v>5932399.0780748473</v>
      </c>
      <c r="Q34" s="488">
        <f>SUM(F34:P34)</f>
        <v>30473455.235864662</v>
      </c>
      <c r="S34" s="489">
        <f>P34/433000</f>
        <v>13.700690711489255</v>
      </c>
    </row>
    <row r="35" spans="1:19" x14ac:dyDescent="0.2">
      <c r="A35" s="629" t="s">
        <v>846</v>
      </c>
      <c r="B35" s="630"/>
      <c r="C35" s="546"/>
      <c r="D35" s="546"/>
      <c r="E35" s="546"/>
      <c r="F35" s="545">
        <v>30</v>
      </c>
      <c r="G35" s="490">
        <v>40</v>
      </c>
      <c r="H35" s="490">
        <v>50</v>
      </c>
      <c r="I35" s="490">
        <v>50</v>
      </c>
      <c r="J35" s="490">
        <v>50</v>
      </c>
      <c r="K35" s="490">
        <v>50</v>
      </c>
      <c r="L35" s="490">
        <v>50</v>
      </c>
      <c r="M35" s="490">
        <v>50</v>
      </c>
      <c r="N35" s="490">
        <v>50</v>
      </c>
      <c r="O35" s="490">
        <v>50</v>
      </c>
      <c r="P35" s="490">
        <v>50</v>
      </c>
      <c r="Q35" s="491"/>
    </row>
    <row r="36" spans="1:19" s="9" customFormat="1" ht="13.5" thickBot="1" x14ac:dyDescent="0.25">
      <c r="A36" s="631" t="s">
        <v>845</v>
      </c>
      <c r="B36" s="632"/>
      <c r="C36" s="547"/>
      <c r="D36" s="547"/>
      <c r="E36" s="547"/>
      <c r="F36" s="528"/>
      <c r="G36" s="492">
        <f>G35*G31</f>
        <v>1556431.2000000011</v>
      </c>
      <c r="H36" s="492">
        <f t="shared" ref="H36:P36" si="7">H35*H31</f>
        <v>2506458.0000000019</v>
      </c>
      <c r="I36" s="492">
        <f t="shared" si="7"/>
        <v>3067376.9999999991</v>
      </c>
      <c r="J36" s="492">
        <f t="shared" si="7"/>
        <v>3628295.9999999991</v>
      </c>
      <c r="K36" s="492">
        <f t="shared" si="7"/>
        <v>4189214.9999999995</v>
      </c>
      <c r="L36" s="492">
        <f t="shared" si="7"/>
        <v>4750134.0000000009</v>
      </c>
      <c r="M36" s="492">
        <f t="shared" si="7"/>
        <v>5311053</v>
      </c>
      <c r="N36" s="492">
        <f t="shared" si="7"/>
        <v>5871972</v>
      </c>
      <c r="O36" s="492">
        <f>O35*O31</f>
        <v>6432891</v>
      </c>
      <c r="P36" s="492">
        <f t="shared" si="7"/>
        <v>6993810.0000000009</v>
      </c>
      <c r="Q36" s="493">
        <f>SUM(F36:P36)</f>
        <v>44307637.200000003</v>
      </c>
    </row>
    <row r="37" spans="1:19" x14ac:dyDescent="0.2">
      <c r="A37" s="621" t="s">
        <v>846</v>
      </c>
      <c r="B37" s="622"/>
      <c r="C37" s="530"/>
      <c r="D37" s="530"/>
      <c r="E37" s="530"/>
      <c r="F37" s="529">
        <v>30</v>
      </c>
      <c r="G37" s="494">
        <v>40</v>
      </c>
      <c r="H37" s="494">
        <v>50</v>
      </c>
      <c r="I37" s="494">
        <v>50</v>
      </c>
      <c r="J37" s="494">
        <v>50</v>
      </c>
      <c r="K37" s="494">
        <v>50</v>
      </c>
      <c r="L37" s="494">
        <v>50</v>
      </c>
      <c r="M37" s="494">
        <v>50</v>
      </c>
      <c r="N37" s="494">
        <v>50</v>
      </c>
      <c r="O37" s="494">
        <v>50</v>
      </c>
      <c r="P37" s="494">
        <v>50</v>
      </c>
      <c r="Q37" s="495"/>
    </row>
    <row r="38" spans="1:19" ht="13.5" thickBot="1" x14ac:dyDescent="0.25">
      <c r="A38" s="623" t="s">
        <v>847</v>
      </c>
      <c r="B38" s="624"/>
      <c r="C38" s="531"/>
      <c r="D38" s="531"/>
      <c r="E38" s="531"/>
      <c r="F38" s="496"/>
      <c r="G38" s="497">
        <f>G37*G30</f>
        <v>13111680</v>
      </c>
      <c r="H38" s="497">
        <f t="shared" ref="H38:P38" si="8">H37*H30</f>
        <v>16389600</v>
      </c>
      <c r="I38" s="497">
        <f t="shared" si="8"/>
        <v>16389600</v>
      </c>
      <c r="J38" s="497">
        <f t="shared" si="8"/>
        <v>16389600</v>
      </c>
      <c r="K38" s="497">
        <f t="shared" si="8"/>
        <v>16389600</v>
      </c>
      <c r="L38" s="497">
        <f t="shared" si="8"/>
        <v>16389600</v>
      </c>
      <c r="M38" s="497">
        <f t="shared" si="8"/>
        <v>16389600</v>
      </c>
      <c r="N38" s="497">
        <f t="shared" si="8"/>
        <v>16389600</v>
      </c>
      <c r="O38" s="497">
        <f t="shared" si="8"/>
        <v>16389600</v>
      </c>
      <c r="P38" s="497">
        <f t="shared" si="8"/>
        <v>16389600</v>
      </c>
      <c r="Q38" s="498">
        <f>SUM(F38:P38)</f>
        <v>160618080</v>
      </c>
      <c r="S38" s="489">
        <f>P38/433000</f>
        <v>37.851270207852195</v>
      </c>
    </row>
    <row r="41" spans="1:19" x14ac:dyDescent="0.2">
      <c r="A41" s="1" t="s">
        <v>849</v>
      </c>
      <c r="G41" s="33">
        <v>1000000</v>
      </c>
      <c r="H41" s="33">
        <f>G41</f>
        <v>1000000</v>
      </c>
      <c r="I41" s="33">
        <f t="shared" ref="I41:P41" si="9">H41</f>
        <v>1000000</v>
      </c>
      <c r="J41" s="33">
        <f t="shared" si="9"/>
        <v>1000000</v>
      </c>
      <c r="K41" s="33">
        <f t="shared" si="9"/>
        <v>1000000</v>
      </c>
      <c r="L41" s="33">
        <f t="shared" si="9"/>
        <v>1000000</v>
      </c>
      <c r="M41" s="33">
        <f t="shared" si="9"/>
        <v>1000000</v>
      </c>
      <c r="N41" s="33">
        <f t="shared" si="9"/>
        <v>1000000</v>
      </c>
      <c r="O41" s="33">
        <f t="shared" si="9"/>
        <v>1000000</v>
      </c>
      <c r="P41" s="33">
        <f t="shared" si="9"/>
        <v>1000000</v>
      </c>
    </row>
    <row r="42" spans="1:19" x14ac:dyDescent="0.2">
      <c r="A42" s="1" t="s">
        <v>850</v>
      </c>
      <c r="G42" s="338">
        <f>MAX(0,G34-G41)</f>
        <v>0</v>
      </c>
      <c r="H42" s="338">
        <f t="shared" ref="H42:P42" si="10">MAX(0,H34-H41)</f>
        <v>237390.39112304081</v>
      </c>
      <c r="I42" s="338">
        <f t="shared" si="10"/>
        <v>620306.7530173827</v>
      </c>
      <c r="J42" s="338">
        <f t="shared" si="10"/>
        <v>1050768.1926604314</v>
      </c>
      <c r="K42" s="338">
        <f t="shared" si="10"/>
        <v>1533554.7307637217</v>
      </c>
      <c r="L42" s="338">
        <f t="shared" si="10"/>
        <v>2073882.6200574376</v>
      </c>
      <c r="M42" s="338">
        <f t="shared" si="10"/>
        <v>2677441.9956715289</v>
      </c>
      <c r="N42" s="338">
        <f t="shared" si="10"/>
        <v>3350437.6590333134</v>
      </c>
      <c r="O42" s="338">
        <f t="shared" si="10"/>
        <v>4099633.2494869567</v>
      </c>
      <c r="P42" s="338">
        <f t="shared" si="10"/>
        <v>4932399.0780748473</v>
      </c>
    </row>
    <row r="43" spans="1:19" x14ac:dyDescent="0.2">
      <c r="G43" s="338"/>
      <c r="H43" s="338"/>
      <c r="I43" s="338"/>
      <c r="J43" s="338"/>
      <c r="K43" s="338"/>
      <c r="L43" s="338"/>
      <c r="M43" s="338"/>
      <c r="N43" s="338"/>
      <c r="O43" s="338"/>
      <c r="P43" s="338"/>
    </row>
    <row r="45" spans="1:19" x14ac:dyDescent="0.2">
      <c r="G45" s="69"/>
      <c r="P45" s="338"/>
      <c r="Q45" s="33"/>
      <c r="R45" s="338"/>
    </row>
    <row r="46" spans="1:19" x14ac:dyDescent="0.2">
      <c r="P46" s="338"/>
      <c r="Q46" s="338"/>
    </row>
    <row r="48" spans="1:19" x14ac:dyDescent="0.2">
      <c r="P48" s="338"/>
      <c r="Q48" s="338"/>
    </row>
    <row r="49" spans="7:17" x14ac:dyDescent="0.2">
      <c r="P49" s="338"/>
      <c r="Q49" s="338"/>
    </row>
    <row r="51" spans="7:17" x14ac:dyDescent="0.2">
      <c r="G51" s="499"/>
      <c r="H51" s="499"/>
      <c r="I51" s="499"/>
      <c r="J51" s="499"/>
      <c r="K51" s="499"/>
      <c r="L51" s="499"/>
      <c r="M51" s="499"/>
      <c r="N51" s="499"/>
      <c r="O51" s="499"/>
      <c r="P51" s="499"/>
    </row>
    <row r="52" spans="7:17" x14ac:dyDescent="0.2">
      <c r="G52" s="338"/>
      <c r="H52" s="338"/>
      <c r="I52" s="338"/>
      <c r="J52" s="338"/>
      <c r="K52" s="338"/>
      <c r="L52" s="338"/>
      <c r="M52" s="338"/>
      <c r="N52" s="338"/>
      <c r="O52" s="338"/>
      <c r="P52" s="338"/>
    </row>
    <row r="55" spans="7:17" x14ac:dyDescent="0.2">
      <c r="P55" s="499"/>
    </row>
  </sheetData>
  <mergeCells count="14">
    <mergeCell ref="A37:B37"/>
    <mergeCell ref="A38:B38"/>
    <mergeCell ref="A31:B31"/>
    <mergeCell ref="A32:B32"/>
    <mergeCell ref="A33:B33"/>
    <mergeCell ref="A34:B34"/>
    <mergeCell ref="A35:B35"/>
    <mergeCell ref="A36:B36"/>
    <mergeCell ref="A30:B30"/>
    <mergeCell ref="E3:P3"/>
    <mergeCell ref="A13:G13"/>
    <mergeCell ref="A17:O17"/>
    <mergeCell ref="A25:B25"/>
    <mergeCell ref="A24:P24"/>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Q120"/>
  <sheetViews>
    <sheetView showGridLines="0" tabSelected="1" topLeftCell="A4" zoomScale="70" zoomScaleNormal="70" workbookViewId="0">
      <selection activeCell="B8" sqref="B8:G42"/>
    </sheetView>
  </sheetViews>
  <sheetFormatPr defaultColWidth="8.7109375" defaultRowHeight="15" outlineLevelRow="1" x14ac:dyDescent="0.25"/>
  <cols>
    <col min="2" max="2" width="64.28515625" customWidth="1"/>
    <col min="4" max="4" width="11" customWidth="1"/>
    <col min="5" max="6" width="12.42578125" customWidth="1"/>
    <col min="7" max="7" width="16.28515625" customWidth="1"/>
    <col min="8" max="10" width="12.42578125" customWidth="1"/>
    <col min="12" max="12" width="48.5703125" customWidth="1"/>
    <col min="14" max="14" width="11" customWidth="1"/>
    <col min="15" max="15" width="8" customWidth="1"/>
    <col min="16" max="17" width="12.42578125" customWidth="1"/>
  </cols>
  <sheetData>
    <row r="1" spans="2:17" x14ac:dyDescent="0.25">
      <c r="C1" t="s">
        <v>969</v>
      </c>
    </row>
    <row r="2" spans="2:17" x14ac:dyDescent="0.25">
      <c r="B2" t="s">
        <v>532</v>
      </c>
      <c r="C2" s="319">
        <f>'Plant model'!E10</f>
        <v>0</v>
      </c>
      <c r="D2" s="111" t="str">
        <f>IF(C2=0,"Flat Current","Analyst LT Consensus")</f>
        <v>Flat Current</v>
      </c>
    </row>
    <row r="3" spans="2:17" x14ac:dyDescent="0.25">
      <c r="C3" t="s">
        <v>969</v>
      </c>
      <c r="D3" s="133"/>
    </row>
    <row r="4" spans="2:17" s="116" customFormat="1" x14ac:dyDescent="0.25"/>
    <row r="6" spans="2:17" x14ac:dyDescent="0.25">
      <c r="B6" s="112" t="s">
        <v>452</v>
      </c>
      <c r="C6">
        <v>0</v>
      </c>
    </row>
    <row r="7" spans="2:17" x14ac:dyDescent="0.25">
      <c r="E7" s="276"/>
      <c r="F7" s="131"/>
    </row>
    <row r="8" spans="2:17" x14ac:dyDescent="0.25">
      <c r="E8" s="130"/>
      <c r="F8" s="306" t="s">
        <v>533</v>
      </c>
      <c r="G8" s="306" t="s">
        <v>701</v>
      </c>
      <c r="H8" s="130"/>
      <c r="I8" s="594"/>
      <c r="P8" s="306" t="s">
        <v>533</v>
      </c>
      <c r="Q8" s="306" t="s">
        <v>702</v>
      </c>
    </row>
    <row r="9" spans="2:17" x14ac:dyDescent="0.25">
      <c r="B9" s="112" t="s">
        <v>319</v>
      </c>
      <c r="E9" s="130"/>
      <c r="F9" s="307"/>
      <c r="G9" s="307"/>
      <c r="I9" s="594"/>
      <c r="L9" s="112" t="s">
        <v>319</v>
      </c>
      <c r="P9" s="307"/>
      <c r="Q9" s="307"/>
    </row>
    <row r="10" spans="2:17" x14ac:dyDescent="0.25">
      <c r="B10" t="str">
        <f>"NPV @ "&amp;TEXT('Plant model'!E1384,"0.0%")&amp;" post-tax (assuming "&amp;TEXT('Plant model'!E1390,"0.0x")&amp;" EBITDA exit multiple in year 5)"</f>
        <v>NPV @ 8.9% post-tax (assuming 7.0x EBITDA exit multiple in year 5)</v>
      </c>
      <c r="C10" s="607" t="s">
        <v>339</v>
      </c>
      <c r="E10" s="126"/>
      <c r="F10" s="308">
        <f>IF(AND($C$2=0,'Plant model'!$E$1389=5),'Plant model'!$G$1394,F10)</f>
        <v>466.47861646229853</v>
      </c>
      <c r="G10" s="308">
        <f ca="1">IF(AND($C$2=1,'Plant model'!$E$1389=5),'Plant model'!$G$1394,G10)</f>
        <v>180.36672890118891</v>
      </c>
      <c r="H10" s="126"/>
      <c r="I10" s="595"/>
      <c r="L10" t="s">
        <v>968</v>
      </c>
      <c r="M10" s="607" t="s">
        <v>545</v>
      </c>
      <c r="P10" s="313">
        <f>F10/F21</f>
        <v>605.81638501597229</v>
      </c>
      <c r="Q10" s="313">
        <f ca="1">G10/G21</f>
        <v>228.31231506479617</v>
      </c>
    </row>
    <row r="11" spans="2:17" x14ac:dyDescent="0.25">
      <c r="B11" s="140" t="s">
        <v>235</v>
      </c>
      <c r="E11" s="126"/>
      <c r="F11" s="308"/>
      <c r="G11" s="308"/>
      <c r="H11" s="126"/>
      <c r="I11" s="595"/>
      <c r="L11" s="140" t="s">
        <v>235</v>
      </c>
      <c r="P11" s="313"/>
      <c r="Q11" s="308"/>
    </row>
    <row r="12" spans="2:17" x14ac:dyDescent="0.25">
      <c r="B12" s="124" t="str">
        <f>"IRR (assuming "&amp;TEXT('Plant model'!E1390,"0.0x")&amp;" EBITDA exit multiple in year 5)"</f>
        <v>IRR (assuming 7.0x EBITDA exit multiple in year 5)</v>
      </c>
      <c r="C12" t="s">
        <v>8</v>
      </c>
      <c r="E12" s="125"/>
      <c r="F12" s="309">
        <f>IF(AND($C$2=0,'Plant model'!$E$1389=5),'Plant model'!$G$1395,F12)</f>
        <v>0.28079604145244552</v>
      </c>
      <c r="G12" s="309">
        <f ca="1">IF(AND($C$2=1,'Plant model'!$E$1389=5),'Plant model'!$G$1395,G12)</f>
        <v>0.17513291148902099</v>
      </c>
      <c r="H12" s="125"/>
      <c r="I12" s="596"/>
      <c r="L12" s="124" t="str">
        <f>B12</f>
        <v>IRR (assuming 7.0x EBITDA exit multiple in year 5)</v>
      </c>
      <c r="M12" t="s">
        <v>8</v>
      </c>
      <c r="P12" s="322">
        <f t="shared" ref="P12:Q14" si="0">F12</f>
        <v>0.28079604145244552</v>
      </c>
      <c r="Q12" s="322">
        <f t="shared" ca="1" si="0"/>
        <v>0.17513291148902099</v>
      </c>
    </row>
    <row r="13" spans="2:17" x14ac:dyDescent="0.25">
      <c r="B13" s="548" t="str">
        <f>"IRR (assuming "&amp;TEXT('Plant model'!E1390,"0.0x")&amp;" EBITDA exit multiple in year 10)"</f>
        <v>IRR (assuming 7.0x EBITDA exit multiple in year 10)</v>
      </c>
      <c r="C13" s="549" t="s">
        <v>8</v>
      </c>
      <c r="D13" s="549"/>
      <c r="E13" s="550"/>
      <c r="F13" s="309">
        <f ca="1">IF(AND($C$2=0,'Plant model'!$E$1389=10),'Plant model'!$G$1395,F13)</f>
        <v>0.22210294807109099</v>
      </c>
      <c r="G13" s="309">
        <f ca="1">IF(AND($C$2=1,'Plant model'!$E$1389=10),'Plant model'!$G$1395,G13)</f>
        <v>0.19480217844658454</v>
      </c>
      <c r="H13" s="125"/>
      <c r="I13" s="596"/>
      <c r="L13" s="124" t="str">
        <f>B13</f>
        <v>IRR (assuming 7.0x EBITDA exit multiple in year 10)</v>
      </c>
      <c r="M13" t="s">
        <v>8</v>
      </c>
      <c r="P13" s="322">
        <f t="shared" ca="1" si="0"/>
        <v>0.22210294807109099</v>
      </c>
      <c r="Q13" s="322">
        <f t="shared" ca="1" si="0"/>
        <v>0.19480217844658454</v>
      </c>
    </row>
    <row r="14" spans="2:17" x14ac:dyDescent="0.25">
      <c r="B14" s="124" t="s">
        <v>316</v>
      </c>
      <c r="C14" t="s">
        <v>116</v>
      </c>
      <c r="E14" s="126"/>
      <c r="F14" s="308">
        <f>IF($C$2=0,'Plant model'!$G$1386,F14)</f>
        <v>3.9151707290254301</v>
      </c>
      <c r="G14" s="308">
        <v>4.2</v>
      </c>
      <c r="H14" s="126"/>
      <c r="I14" s="595"/>
      <c r="L14" s="124" t="s">
        <v>316</v>
      </c>
      <c r="M14" t="s">
        <v>116</v>
      </c>
      <c r="P14" s="313">
        <f t="shared" si="0"/>
        <v>3.9151707290254301</v>
      </c>
      <c r="Q14" s="313">
        <f t="shared" si="0"/>
        <v>4.2</v>
      </c>
    </row>
    <row r="15" spans="2:17" outlineLevel="1" x14ac:dyDescent="0.25">
      <c r="B15" t="s">
        <v>236</v>
      </c>
      <c r="E15" s="126"/>
      <c r="F15" s="308"/>
      <c r="G15" s="308"/>
      <c r="H15" s="126"/>
      <c r="I15" s="595"/>
      <c r="L15" t="s">
        <v>236</v>
      </c>
      <c r="P15" s="313"/>
      <c r="Q15" s="308"/>
    </row>
    <row r="16" spans="2:17" outlineLevel="1" x14ac:dyDescent="0.25">
      <c r="B16" s="124" t="str">
        <f>"IRR (assuming "&amp;TEXT('Plant model'!E1390,"0.0x")&amp;" EBITDA exit multiple in year 5"</f>
        <v>IRR (assuming 7.0x EBITDA exit multiple in year 5</v>
      </c>
      <c r="C16" t="s">
        <v>8</v>
      </c>
      <c r="E16" s="125"/>
      <c r="F16" s="309">
        <f>IF(AND($C$2=0,'Plant model'!$E$1389=5),'Plant model'!$G$1436,F16)</f>
        <v>0.57720335922957444</v>
      </c>
      <c r="G16" s="309">
        <f ca="1">IF(AND($C$2=1,'Plant model'!$E$1389=5),'Plant model'!$G$1436,G16)</f>
        <v>0.38538080874246083</v>
      </c>
      <c r="I16" s="596"/>
      <c r="L16" s="124" t="str">
        <f>B16</f>
        <v>IRR (assuming 7.0x EBITDA exit multiple in year 5</v>
      </c>
      <c r="M16" t="s">
        <v>8</v>
      </c>
      <c r="P16" s="322">
        <f t="shared" ref="P16:Q18" si="1">F16</f>
        <v>0.57720335922957444</v>
      </c>
      <c r="Q16" s="322">
        <f t="shared" ca="1" si="1"/>
        <v>0.38538080874246083</v>
      </c>
    </row>
    <row r="17" spans="2:17" outlineLevel="1" x14ac:dyDescent="0.25">
      <c r="B17" s="551" t="str">
        <f>"IRR (assuming "&amp;TEXT('Plant model'!E1390,"0.0x")&amp;" EBITDA exit multiple in year 10"</f>
        <v>IRR (assuming 7.0x EBITDA exit multiple in year 10</v>
      </c>
      <c r="C17" s="165" t="s">
        <v>8</v>
      </c>
      <c r="D17" s="165"/>
      <c r="E17" s="552"/>
      <c r="F17" s="309">
        <f ca="1">IF(AND($C$2=0,'Plant model'!$E$1389=10),'Plant model'!$G$1423,F17)</f>
        <v>0.31453885205889698</v>
      </c>
      <c r="G17" s="309">
        <f ca="1">IF(AND($C$2=1,'Plant model'!$E$1389=10),'Plant model'!$G$1423,G17)</f>
        <v>0.24264087868340112</v>
      </c>
      <c r="I17" s="596"/>
      <c r="L17" s="124" t="str">
        <f>B17</f>
        <v>IRR (assuming 7.0x EBITDA exit multiple in year 10</v>
      </c>
      <c r="M17" t="s">
        <v>8</v>
      </c>
      <c r="P17" s="322">
        <f t="shared" ca="1" si="1"/>
        <v>0.31453885205889698</v>
      </c>
      <c r="Q17" s="322">
        <f t="shared" ca="1" si="1"/>
        <v>0.24264087868340112</v>
      </c>
    </row>
    <row r="18" spans="2:17" outlineLevel="1" x14ac:dyDescent="0.25">
      <c r="B18" s="124" t="s">
        <v>316</v>
      </c>
      <c r="C18" t="s">
        <v>116</v>
      </c>
      <c r="E18" s="126"/>
      <c r="F18" s="308">
        <f>IF($C$2=0,'Plant model'!$G$1424,F18)</f>
        <v>1.697564943335915</v>
      </c>
      <c r="G18" s="308">
        <f ca="1">IF($C$2=1,'Plant model'!$G$1424,G18)</f>
        <v>2.8669959477596541</v>
      </c>
      <c r="H18" s="126"/>
      <c r="I18" s="595"/>
      <c r="L18" s="124" t="s">
        <v>316</v>
      </c>
      <c r="M18" t="s">
        <v>116</v>
      </c>
      <c r="P18" s="313">
        <f t="shared" si="1"/>
        <v>1.697564943335915</v>
      </c>
      <c r="Q18" s="313">
        <f t="shared" ca="1" si="1"/>
        <v>2.8669959477596541</v>
      </c>
    </row>
    <row r="19" spans="2:17" x14ac:dyDescent="0.25">
      <c r="B19" t="s">
        <v>312</v>
      </c>
      <c r="C19" t="s">
        <v>339</v>
      </c>
      <c r="E19" s="126"/>
      <c r="F19" s="308">
        <f>IF($C$2=0,SUM('Plant model'!L1257:AE1257)/COUNT('Plant model'!$L$2:$AE$2),F19)</f>
        <v>131.58428406357785</v>
      </c>
      <c r="G19" s="308">
        <f ca="1">IF($C$2=1,SUM('Plant model'!L1257:AE1257)/COUNT('Plant model'!$L$2:$AE$2),G19)</f>
        <v>87.613390138197744</v>
      </c>
      <c r="H19" s="126"/>
      <c r="I19" s="595"/>
      <c r="L19" t="s">
        <v>312</v>
      </c>
      <c r="M19" t="s">
        <v>545</v>
      </c>
      <c r="P19" s="313">
        <f>F19/F21</f>
        <v>170.88868060204922</v>
      </c>
      <c r="Q19" s="313">
        <f ca="1">G19/G21</f>
        <v>110.90302549138958</v>
      </c>
    </row>
    <row r="20" spans="2:17" x14ac:dyDescent="0.25">
      <c r="B20" s="141" t="s">
        <v>677</v>
      </c>
      <c r="C20" t="s">
        <v>339</v>
      </c>
      <c r="E20" s="126"/>
      <c r="F20" s="308">
        <f>IF($C$2=0,'Plant model'!$E$1487,F20)</f>
        <v>458.55534678290945</v>
      </c>
      <c r="G20" s="308">
        <f ca="1">IF($C$2=1,'Plant model'!$E$1487,G20)</f>
        <v>329.78199487676613</v>
      </c>
      <c r="H20" s="126"/>
      <c r="I20" s="595"/>
      <c r="L20" s="141" t="str">
        <f>B20</f>
        <v>Debt Capacity - 11 yr tenor</v>
      </c>
      <c r="M20" t="s">
        <v>545</v>
      </c>
      <c r="P20" s="313">
        <f>F20/F21</f>
        <v>595.52642439338911</v>
      </c>
      <c r="Q20" s="313">
        <f ca="1">G20/G21</f>
        <v>417.44556313514715</v>
      </c>
    </row>
    <row r="21" spans="2:17" outlineLevel="1" x14ac:dyDescent="0.25">
      <c r="B21" s="138" t="s">
        <v>327</v>
      </c>
      <c r="C21" t="s">
        <v>531</v>
      </c>
      <c r="E21" s="139"/>
      <c r="F21" s="320">
        <f>IF($C$2=0,'Plant model'!$G$14,F21)</f>
        <v>0.7699999999999998</v>
      </c>
      <c r="G21" s="320">
        <f ca="1">IF($C$2=1,'Plant model'!$G$14,G21)</f>
        <v>0.7899999999999997</v>
      </c>
      <c r="H21" s="139"/>
      <c r="I21" s="597"/>
      <c r="L21" s="138" t="s">
        <v>327</v>
      </c>
      <c r="M21" t="s">
        <v>531</v>
      </c>
      <c r="P21" s="310">
        <f>F21</f>
        <v>0.7699999999999998</v>
      </c>
      <c r="Q21" s="310">
        <f ca="1">G21</f>
        <v>0.7899999999999997</v>
      </c>
    </row>
    <row r="22" spans="2:17" ht="6" customHeight="1" x14ac:dyDescent="0.25">
      <c r="F22" s="311"/>
      <c r="G22" s="311"/>
      <c r="I22" s="598"/>
      <c r="P22" s="311"/>
      <c r="Q22" s="311"/>
    </row>
    <row r="23" spans="2:17" x14ac:dyDescent="0.25">
      <c r="B23" s="112" t="s">
        <v>317</v>
      </c>
      <c r="F23" s="311"/>
      <c r="G23" s="311"/>
      <c r="I23" s="598"/>
      <c r="L23" s="112" t="s">
        <v>317</v>
      </c>
      <c r="P23" s="311"/>
      <c r="Q23" s="311"/>
    </row>
    <row r="24" spans="2:17" x14ac:dyDescent="0.25">
      <c r="B24" s="124" t="s">
        <v>804</v>
      </c>
      <c r="C24" t="s">
        <v>340</v>
      </c>
      <c r="E24" s="126"/>
      <c r="F24" s="308">
        <f>IF($C$2=0,'Plant model'!$G$21-'Plant model'!G754,F24)</f>
        <v>756.81817934444439</v>
      </c>
      <c r="G24" s="308">
        <f ca="1">IF($C$2=1,'Plant model'!$G$21-'Plant model'!G754,G24)</f>
        <v>661.69818307973253</v>
      </c>
      <c r="H24" s="126"/>
      <c r="I24" s="595"/>
      <c r="L24" s="124" t="s">
        <v>490</v>
      </c>
      <c r="M24" t="s">
        <v>546</v>
      </c>
      <c r="P24" s="313">
        <f t="shared" ref="P24:Q29" si="2">F24/F$21</f>
        <v>982.88075239538261</v>
      </c>
      <c r="Q24" s="313">
        <f t="shared" ca="1" si="2"/>
        <v>837.59263680978836</v>
      </c>
    </row>
    <row r="25" spans="2:17" x14ac:dyDescent="0.25">
      <c r="B25" s="124" t="s">
        <v>805</v>
      </c>
      <c r="C25" t="s">
        <v>340</v>
      </c>
      <c r="E25" s="126"/>
      <c r="F25" s="308">
        <f>IF($C$2=0,'Plant model'!$G$24-'Plant model'!G754,F25)</f>
        <v>656.81817934444439</v>
      </c>
      <c r="G25" s="308">
        <f ca="1">IF($C$2=1,'Plant model'!$G$24-'Plant model'!G754,G25)</f>
        <v>561.69818307973253</v>
      </c>
      <c r="H25" s="126"/>
      <c r="I25" s="595"/>
      <c r="L25" s="124" t="s">
        <v>491</v>
      </c>
      <c r="M25" t="s">
        <v>546</v>
      </c>
      <c r="P25" s="313">
        <f t="shared" si="2"/>
        <v>853.01062252525264</v>
      </c>
      <c r="Q25" s="313">
        <f t="shared" ca="1" si="2"/>
        <v>711.01035832877562</v>
      </c>
    </row>
    <row r="26" spans="2:17" x14ac:dyDescent="0.25">
      <c r="B26" s="124" t="s">
        <v>522</v>
      </c>
      <c r="C26" t="s">
        <v>340</v>
      </c>
      <c r="E26" s="126"/>
      <c r="F26" s="308">
        <f>IF($C$2=0,'Plant model'!$G$199,F26)</f>
        <v>119.37078571428567</v>
      </c>
      <c r="G26" s="308">
        <f ca="1">IF($C$2=1,'Plant model'!$G$199,G26)</f>
        <v>134.43978571428576</v>
      </c>
      <c r="H26" s="126"/>
      <c r="I26" s="595"/>
      <c r="L26" s="124" t="s">
        <v>314</v>
      </c>
      <c r="M26" t="s">
        <v>546</v>
      </c>
      <c r="P26" s="313">
        <f t="shared" si="2"/>
        <v>155.02699443413729</v>
      </c>
      <c r="Q26" s="313">
        <f t="shared" ca="1" si="2"/>
        <v>170.17694394213393</v>
      </c>
    </row>
    <row r="27" spans="2:17" x14ac:dyDescent="0.25">
      <c r="B27" s="124" t="s">
        <v>379</v>
      </c>
      <c r="C27" t="s">
        <v>340</v>
      </c>
      <c r="E27" s="126"/>
      <c r="F27" s="308">
        <f>IF($C$2=0,'Plant model'!$G$255,F27)</f>
        <v>120</v>
      </c>
      <c r="G27" s="308">
        <f ca="1">IF($C$2=1,'Plant model'!$G$255,G27)</f>
        <v>120</v>
      </c>
      <c r="H27" s="126"/>
      <c r="I27" s="595"/>
      <c r="L27" s="124" t="s">
        <v>379</v>
      </c>
      <c r="M27" t="s">
        <v>546</v>
      </c>
      <c r="P27" s="313">
        <f t="shared" si="2"/>
        <v>155.84415584415589</v>
      </c>
      <c r="Q27" s="313">
        <f t="shared" ca="1" si="2"/>
        <v>151.89873417721526</v>
      </c>
    </row>
    <row r="28" spans="2:17" x14ac:dyDescent="0.25">
      <c r="B28" s="124" t="s">
        <v>21</v>
      </c>
      <c r="C28" t="s">
        <v>341</v>
      </c>
      <c r="E28" s="128"/>
      <c r="F28" s="312">
        <f>IF($C$2=0,'Plant model'!$G$596,F28)</f>
        <v>3.0030000000000001E-2</v>
      </c>
      <c r="G28" s="312">
        <f ca="1">IF($C$2=1,'Plant model'!$G$596,G28)</f>
        <v>3.0809999999999994E-2</v>
      </c>
      <c r="H28" s="128"/>
      <c r="I28" s="599"/>
      <c r="L28" s="124" t="s">
        <v>21</v>
      </c>
      <c r="M28" t="s">
        <v>547</v>
      </c>
      <c r="P28" s="323">
        <f t="shared" si="2"/>
        <v>3.9000000000000014E-2</v>
      </c>
      <c r="Q28" s="323">
        <f t="shared" ca="1" si="2"/>
        <v>3.9000000000000007E-2</v>
      </c>
    </row>
    <row r="29" spans="2:17" x14ac:dyDescent="0.25">
      <c r="B29" s="124" t="s">
        <v>313</v>
      </c>
      <c r="C29" t="s">
        <v>342</v>
      </c>
      <c r="E29" s="126"/>
      <c r="F29" s="308">
        <f>IF($C$2=0,'Plant model'!$G$599,F29)</f>
        <v>4.1365859555900002</v>
      </c>
      <c r="G29" s="308">
        <f ca="1">IF($C$2=1,'Plant model'!$G$599,G29)</f>
        <v>4.2440297466442853</v>
      </c>
      <c r="H29" s="126"/>
      <c r="I29" s="595"/>
      <c r="L29" s="124" t="s">
        <v>313</v>
      </c>
      <c r="M29" t="s">
        <v>548</v>
      </c>
      <c r="P29" s="313">
        <f t="shared" si="2"/>
        <v>5.3721895527142873</v>
      </c>
      <c r="Q29" s="313">
        <f t="shared" ca="1" si="2"/>
        <v>5.3721895527142873</v>
      </c>
    </row>
    <row r="30" spans="2:17" ht="6" customHeight="1" x14ac:dyDescent="0.25">
      <c r="B30" s="124"/>
      <c r="F30" s="311"/>
      <c r="G30" s="311"/>
      <c r="I30" s="598"/>
      <c r="L30" s="124"/>
      <c r="P30" s="311"/>
      <c r="Q30" s="311"/>
    </row>
    <row r="31" spans="2:17" x14ac:dyDescent="0.25">
      <c r="B31" s="112" t="s">
        <v>318</v>
      </c>
      <c r="F31" s="311"/>
      <c r="G31" s="311"/>
      <c r="I31" s="598"/>
      <c r="L31" s="112" t="s">
        <v>318</v>
      </c>
      <c r="P31" s="311"/>
      <c r="Q31" s="311"/>
    </row>
    <row r="32" spans="2:17" x14ac:dyDescent="0.25">
      <c r="B32" s="124" t="s">
        <v>483</v>
      </c>
      <c r="C32" t="s">
        <v>340</v>
      </c>
      <c r="F32" s="308">
        <f>IF($C$2=0,'Plant model'!$G$702,F32)</f>
        <v>329.49020271705422</v>
      </c>
      <c r="G32" s="308">
        <f ca="1">IF($C$2=1,'Plant model'!$G$702,G32)</f>
        <v>335.45681927399886</v>
      </c>
      <c r="H32" s="126"/>
      <c r="I32" s="595"/>
      <c r="J32" s="129"/>
      <c r="L32" s="124" t="s">
        <v>483</v>
      </c>
      <c r="M32" t="s">
        <v>546</v>
      </c>
      <c r="P32" s="313">
        <f t="shared" ref="P32:Q37" si="3">F32/F$21</f>
        <v>427.90935417799261</v>
      </c>
      <c r="Q32" s="313">
        <f t="shared" ca="1" si="3"/>
        <v>424.62888515696073</v>
      </c>
    </row>
    <row r="33" spans="2:17" x14ac:dyDescent="0.25">
      <c r="B33" s="124" t="s">
        <v>481</v>
      </c>
      <c r="C33" t="s">
        <v>340</v>
      </c>
      <c r="E33" s="126"/>
      <c r="F33" s="313">
        <f>F32+F37</f>
        <v>343.90548860433563</v>
      </c>
      <c r="G33" s="313">
        <f ca="1">G32+G37</f>
        <v>348.5014431468519</v>
      </c>
      <c r="H33" s="295"/>
      <c r="I33" s="600"/>
      <c r="L33" s="124" t="s">
        <v>481</v>
      </c>
      <c r="M33" t="s">
        <v>546</v>
      </c>
      <c r="P33" s="313">
        <f t="shared" si="3"/>
        <v>446.63050468095548</v>
      </c>
      <c r="Q33" s="313">
        <f t="shared" ca="1" si="3"/>
        <v>441.14106727449627</v>
      </c>
    </row>
    <row r="34" spans="2:17" x14ac:dyDescent="0.25">
      <c r="B34" s="124" t="s">
        <v>507</v>
      </c>
      <c r="C34" t="s">
        <v>340</v>
      </c>
      <c r="E34" s="126"/>
      <c r="F34" s="313">
        <f>F33+F35+F36</f>
        <v>407.63963815954548</v>
      </c>
      <c r="G34" s="313">
        <f ca="1">G33+G35+G36</f>
        <v>412.18017204248832</v>
      </c>
      <c r="H34" s="295"/>
      <c r="I34" s="600"/>
      <c r="L34" s="124" t="s">
        <v>507</v>
      </c>
      <c r="M34" t="s">
        <v>546</v>
      </c>
      <c r="P34" s="313">
        <f t="shared" si="3"/>
        <v>529.40212747992939</v>
      </c>
      <c r="Q34" s="313">
        <f t="shared" ca="1" si="3"/>
        <v>521.74705321833983</v>
      </c>
    </row>
    <row r="35" spans="2:17" hidden="1" outlineLevel="1" x14ac:dyDescent="0.25">
      <c r="B35" s="124" t="s">
        <v>508</v>
      </c>
      <c r="C35" t="s">
        <v>340</v>
      </c>
      <c r="E35" s="126"/>
      <c r="F35" s="308">
        <f>IF($C$2=0,-('Plant model'!$G$1259+'Plant model'!$G$1260)/'Plant model'!$G$104,F35)</f>
        <v>55.408227618756499</v>
      </c>
      <c r="G35" s="308">
        <f ca="1">IF($C$2=1,-('Plant model'!$G$1259+'Plant model'!$G$1260)/'Plant model'!$G$104,G35)</f>
        <v>56.18120408901158</v>
      </c>
      <c r="H35" s="126"/>
      <c r="I35" s="595"/>
      <c r="K35" s="133"/>
      <c r="L35" s="124" t="s">
        <v>508</v>
      </c>
      <c r="M35" t="s">
        <v>546</v>
      </c>
      <c r="P35" s="313">
        <f t="shared" si="3"/>
        <v>71.958737167216256</v>
      </c>
      <c r="Q35" s="313">
        <f t="shared" ca="1" si="3"/>
        <v>71.115448213938734</v>
      </c>
    </row>
    <row r="36" spans="2:17" hidden="1" outlineLevel="1" x14ac:dyDescent="0.25">
      <c r="B36" s="124" t="s">
        <v>509</v>
      </c>
      <c r="C36" t="s">
        <v>340</v>
      </c>
      <c r="E36" s="126"/>
      <c r="F36" s="308">
        <f>IF($C$2=0,-('Plant model'!$G$1263+'Plant model'!$G$1264)/'Plant model'!$G$104,F36)</f>
        <v>8.3259219364533799</v>
      </c>
      <c r="G36" s="308">
        <f ca="1">IF($C$2=1,-('Plant model'!$G$1263+'Plant model'!$G$1264)/'Plant model'!$G$104,G36)</f>
        <v>7.4975248066248286</v>
      </c>
      <c r="H36" s="126"/>
      <c r="I36" s="595"/>
      <c r="L36" s="124" t="s">
        <v>509</v>
      </c>
      <c r="M36" t="s">
        <v>546</v>
      </c>
      <c r="P36" s="313">
        <f t="shared" si="3"/>
        <v>10.81288563175764</v>
      </c>
      <c r="Q36" s="313">
        <f t="shared" ca="1" si="3"/>
        <v>9.4905377299048492</v>
      </c>
    </row>
    <row r="37" spans="2:17" hidden="1" outlineLevel="1" x14ac:dyDescent="0.25">
      <c r="B37" s="124" t="s">
        <v>444</v>
      </c>
      <c r="C37" t="s">
        <v>340</v>
      </c>
      <c r="E37" s="126"/>
      <c r="F37" s="308">
        <f>IF($C$2=0,'Plant model'!$G$805,F37)</f>
        <v>14.415285887281431</v>
      </c>
      <c r="G37" s="308">
        <f ca="1">IF($C$2=1,'Plant model'!$G$805,G37)</f>
        <v>13.044623872853048</v>
      </c>
      <c r="H37" s="126"/>
      <c r="I37" s="595"/>
      <c r="L37" s="124" t="s">
        <v>444</v>
      </c>
      <c r="M37" t="s">
        <v>546</v>
      </c>
      <c r="P37" s="313">
        <f t="shared" si="3"/>
        <v>18.721150502962903</v>
      </c>
      <c r="Q37" s="313">
        <f t="shared" ca="1" si="3"/>
        <v>16.512182117535509</v>
      </c>
    </row>
    <row r="38" spans="2:17" ht="6" customHeight="1" collapsed="1" x14ac:dyDescent="0.25">
      <c r="F38" s="311"/>
      <c r="G38" s="311"/>
      <c r="I38" s="598"/>
      <c r="P38" s="311"/>
      <c r="Q38" s="311"/>
    </row>
    <row r="39" spans="2:17" x14ac:dyDescent="0.25">
      <c r="B39" s="112" t="s">
        <v>111</v>
      </c>
      <c r="F39" s="311"/>
      <c r="G39" s="311"/>
      <c r="I39" s="598"/>
      <c r="L39" s="112" t="s">
        <v>111</v>
      </c>
      <c r="P39" s="311"/>
      <c r="Q39" s="311"/>
    </row>
    <row r="40" spans="2:17" x14ac:dyDescent="0.25">
      <c r="B40" s="124" t="s">
        <v>935</v>
      </c>
      <c r="F40" s="308">
        <f>IF($C$2=0,'Plant model'!$G$828,F40)</f>
        <v>9.9999422499999984</v>
      </c>
      <c r="G40" s="308">
        <f ca="1">IF($C$2=1,'Plant model'!$G$828,G40)</f>
        <v>9.9999422499999984</v>
      </c>
      <c r="I40" s="595"/>
      <c r="L40" s="112"/>
      <c r="P40" s="311"/>
      <c r="Q40" s="311"/>
    </row>
    <row r="41" spans="2:17" x14ac:dyDescent="0.25">
      <c r="B41" s="124" t="s">
        <v>937</v>
      </c>
      <c r="C41" t="s">
        <v>339</v>
      </c>
      <c r="E41" s="126"/>
      <c r="F41" s="314">
        <f>IF($C$2=0,'Plant model'!$G$873+'Plant model'!$G$889,F41)</f>
        <v>465.57598916478935</v>
      </c>
      <c r="G41" s="314">
        <f ca="1">IF($C$2=1,'Plant model'!$G$873+'Plant model'!$G$889,G41)</f>
        <v>472.37966464898187</v>
      </c>
      <c r="H41" s="126"/>
      <c r="I41" s="595"/>
      <c r="L41" s="124" t="s">
        <v>315</v>
      </c>
      <c r="M41" t="s">
        <v>545</v>
      </c>
      <c r="P41" s="324">
        <f>F41/F$21</f>
        <v>604.64414177245385</v>
      </c>
      <c r="Q41" s="324">
        <f ca="1">G41/G$21</f>
        <v>597.94894259364821</v>
      </c>
    </row>
    <row r="42" spans="2:17" ht="17.25" x14ac:dyDescent="0.25">
      <c r="B42" s="124" t="s">
        <v>482</v>
      </c>
      <c r="C42" t="s">
        <v>339</v>
      </c>
      <c r="E42" s="126"/>
      <c r="F42" s="314">
        <f>IF($C$2=0,'Plant model'!$G$893/COUNT('Plant model'!$L$2:$AE$2),F42)</f>
        <v>0</v>
      </c>
      <c r="G42" s="314">
        <f ca="1">IF($C$2=1,'Plant model'!$G$893/COUNT('Plant model'!$L$2:$AE$2),G42)</f>
        <v>0</v>
      </c>
      <c r="H42" s="126"/>
      <c r="I42" s="595"/>
      <c r="L42" s="124" t="s">
        <v>482</v>
      </c>
      <c r="M42" t="s">
        <v>545</v>
      </c>
      <c r="P42" s="324">
        <f>F42/F$21</f>
        <v>0</v>
      </c>
      <c r="Q42" s="324">
        <f ca="1">G42/G$21</f>
        <v>0</v>
      </c>
    </row>
    <row r="44" spans="2:17" x14ac:dyDescent="0.25">
      <c r="B44" s="124" t="s">
        <v>938</v>
      </c>
    </row>
    <row r="45" spans="2:17" x14ac:dyDescent="0.25">
      <c r="B45" s="124" t="s">
        <v>939</v>
      </c>
    </row>
    <row r="46" spans="2:17" x14ac:dyDescent="0.25">
      <c r="B46" s="124"/>
    </row>
    <row r="47" spans="2:17" s="116" customFormat="1" x14ac:dyDescent="0.25"/>
    <row r="49" spans="2:7" x14ac:dyDescent="0.25">
      <c r="B49" s="553"/>
      <c r="C49" s="165"/>
      <c r="D49" s="165"/>
      <c r="E49" s="165"/>
      <c r="F49" s="165"/>
      <c r="G49" s="165"/>
    </row>
    <row r="50" spans="2:7" x14ac:dyDescent="0.25">
      <c r="B50" s="165"/>
      <c r="C50" s="165"/>
      <c r="D50" s="165"/>
      <c r="E50" s="165"/>
      <c r="F50" s="554"/>
      <c r="G50" s="554"/>
    </row>
    <row r="51" spans="2:7" x14ac:dyDescent="0.25">
      <c r="B51" s="165"/>
      <c r="C51" s="165"/>
      <c r="D51" s="165"/>
      <c r="E51" s="165"/>
      <c r="F51" s="555"/>
      <c r="G51" s="556"/>
    </row>
    <row r="52" spans="2:7" x14ac:dyDescent="0.25">
      <c r="B52" s="165"/>
      <c r="C52" s="165"/>
      <c r="D52" s="165"/>
      <c r="E52" s="165"/>
      <c r="F52" s="555"/>
      <c r="G52" s="556"/>
    </row>
    <row r="53" spans="2:7" x14ac:dyDescent="0.25">
      <c r="B53" s="165"/>
      <c r="C53" s="165"/>
      <c r="D53" s="165"/>
      <c r="E53" s="165"/>
      <c r="F53" s="555"/>
      <c r="G53" s="556"/>
    </row>
    <row r="54" spans="2:7" x14ac:dyDescent="0.25">
      <c r="B54" s="165"/>
      <c r="C54" s="165"/>
      <c r="D54" s="165"/>
      <c r="E54" s="165"/>
      <c r="F54" s="555"/>
      <c r="G54" s="556"/>
    </row>
    <row r="55" spans="2:7" x14ac:dyDescent="0.25">
      <c r="B55" s="165"/>
      <c r="C55" s="165"/>
      <c r="D55" s="165"/>
      <c r="E55" s="165"/>
      <c r="F55" s="555"/>
      <c r="G55" s="556"/>
    </row>
    <row r="56" spans="2:7" x14ac:dyDescent="0.25">
      <c r="B56" s="165"/>
      <c r="C56" s="165"/>
      <c r="D56" s="165"/>
      <c r="E56" s="165"/>
      <c r="F56" s="555"/>
      <c r="G56" s="556"/>
    </row>
    <row r="57" spans="2:7" x14ac:dyDescent="0.25">
      <c r="B57" s="165"/>
      <c r="C57" s="165"/>
      <c r="D57" s="165"/>
      <c r="E57" s="165"/>
      <c r="F57" s="555"/>
      <c r="G57" s="556"/>
    </row>
    <row r="58" spans="2:7" x14ac:dyDescent="0.25">
      <c r="B58" s="165"/>
      <c r="C58" s="165"/>
      <c r="D58" s="165"/>
      <c r="E58" s="165"/>
      <c r="F58" s="555"/>
      <c r="G58" s="556"/>
    </row>
    <row r="59" spans="2:7" x14ac:dyDescent="0.25">
      <c r="B59" s="553"/>
      <c r="C59" s="553"/>
      <c r="D59" s="553"/>
      <c r="E59" s="553"/>
      <c r="F59" s="557"/>
      <c r="G59" s="558"/>
    </row>
    <row r="60" spans="2:7" x14ac:dyDescent="0.25">
      <c r="B60" s="553"/>
      <c r="C60" s="553"/>
      <c r="D60" s="553"/>
      <c r="E60" s="553"/>
      <c r="F60" s="557"/>
      <c r="G60" s="558"/>
    </row>
    <row r="61" spans="2:7" x14ac:dyDescent="0.25">
      <c r="B61" s="553"/>
      <c r="C61" s="553"/>
      <c r="D61" s="553"/>
      <c r="E61" s="553"/>
      <c r="F61" s="557"/>
      <c r="G61" s="558"/>
    </row>
    <row r="62" spans="2:7" x14ac:dyDescent="0.25">
      <c r="B62" s="553"/>
      <c r="C62" s="553"/>
      <c r="D62" s="553"/>
      <c r="E62" s="553"/>
      <c r="F62" s="557"/>
      <c r="G62" s="558"/>
    </row>
    <row r="63" spans="2:7" x14ac:dyDescent="0.25">
      <c r="B63" s="553"/>
      <c r="C63" s="553"/>
      <c r="D63" s="553"/>
      <c r="E63" s="553"/>
      <c r="F63" s="557"/>
      <c r="G63" s="558"/>
    </row>
    <row r="64" spans="2:7" x14ac:dyDescent="0.25">
      <c r="B64" s="553"/>
      <c r="C64" s="553"/>
      <c r="D64" s="553"/>
      <c r="E64" s="553"/>
      <c r="F64" s="557"/>
      <c r="G64" s="558"/>
    </row>
    <row r="65" spans="2:10" x14ac:dyDescent="0.25">
      <c r="B65" s="553"/>
      <c r="C65" s="553"/>
      <c r="D65" s="553"/>
      <c r="E65" s="553"/>
      <c r="F65" s="557"/>
      <c r="G65" s="558"/>
    </row>
    <row r="66" spans="2:10" x14ac:dyDescent="0.25">
      <c r="B66" s="553"/>
      <c r="C66" s="165"/>
      <c r="D66" s="165"/>
      <c r="E66" s="165"/>
      <c r="F66" s="165"/>
      <c r="G66" s="165"/>
    </row>
    <row r="67" spans="2:10" x14ac:dyDescent="0.25">
      <c r="B67" s="165"/>
      <c r="C67" s="165"/>
      <c r="D67" s="165"/>
      <c r="E67" s="165"/>
      <c r="F67" s="554"/>
      <c r="G67" s="554"/>
      <c r="H67" s="185"/>
      <c r="I67" s="185"/>
      <c r="J67" s="185"/>
    </row>
    <row r="68" spans="2:10" x14ac:dyDescent="0.25">
      <c r="B68" s="165"/>
      <c r="C68" s="165"/>
      <c r="D68" s="165"/>
      <c r="E68" s="165"/>
      <c r="F68" s="555"/>
      <c r="G68" s="556"/>
      <c r="H68" s="130"/>
      <c r="I68" s="130"/>
      <c r="J68" s="130"/>
    </row>
    <row r="69" spans="2:10" x14ac:dyDescent="0.25">
      <c r="B69" s="165"/>
      <c r="C69" s="165"/>
      <c r="D69" s="165"/>
      <c r="E69" s="165"/>
      <c r="F69" s="555"/>
      <c r="G69" s="556"/>
      <c r="H69" s="399"/>
      <c r="I69" s="399"/>
      <c r="J69" s="400"/>
    </row>
    <row r="70" spans="2:10" x14ac:dyDescent="0.25">
      <c r="B70" s="165"/>
      <c r="C70" s="165"/>
      <c r="D70" s="165"/>
      <c r="E70" s="165"/>
      <c r="F70" s="555"/>
      <c r="G70" s="556"/>
      <c r="H70" s="399"/>
      <c r="I70" s="399"/>
      <c r="J70" s="400"/>
    </row>
    <row r="71" spans="2:10" x14ac:dyDescent="0.25">
      <c r="B71" s="165"/>
      <c r="C71" s="165"/>
      <c r="D71" s="165"/>
      <c r="E71" s="165"/>
      <c r="F71" s="555"/>
      <c r="G71" s="556"/>
      <c r="H71" s="399"/>
      <c r="I71" s="399"/>
      <c r="J71" s="400"/>
    </row>
    <row r="72" spans="2:10" x14ac:dyDescent="0.25">
      <c r="B72" s="165"/>
      <c r="C72" s="165"/>
      <c r="D72" s="165"/>
      <c r="E72" s="165"/>
      <c r="F72" s="555"/>
      <c r="G72" s="556"/>
      <c r="H72" s="399"/>
      <c r="I72" s="399"/>
      <c r="J72" s="400"/>
    </row>
    <row r="73" spans="2:10" x14ac:dyDescent="0.25">
      <c r="B73" s="165"/>
      <c r="C73" s="165"/>
      <c r="D73" s="165"/>
      <c r="E73" s="165"/>
      <c r="F73" s="555"/>
      <c r="G73" s="556"/>
      <c r="H73" s="399"/>
      <c r="I73" s="399"/>
      <c r="J73" s="400"/>
    </row>
    <row r="74" spans="2:10" x14ac:dyDescent="0.25">
      <c r="B74" s="165"/>
      <c r="C74" s="165"/>
      <c r="D74" s="165"/>
      <c r="E74" s="165"/>
      <c r="F74" s="555"/>
      <c r="G74" s="556"/>
      <c r="H74" s="399"/>
      <c r="I74" s="399"/>
      <c r="J74" s="400"/>
    </row>
    <row r="75" spans="2:10" x14ac:dyDescent="0.25">
      <c r="B75" s="165"/>
      <c r="C75" s="165"/>
      <c r="D75" s="165"/>
      <c r="E75" s="165"/>
      <c r="F75" s="555"/>
      <c r="G75" s="556"/>
      <c r="H75" s="401"/>
      <c r="I75" s="401"/>
      <c r="J75" s="400"/>
    </row>
    <row r="76" spans="2:10" x14ac:dyDescent="0.25">
      <c r="B76" s="553"/>
      <c r="C76" s="553"/>
      <c r="D76" s="553"/>
      <c r="E76" s="553"/>
      <c r="F76" s="557"/>
      <c r="G76" s="558"/>
      <c r="H76" s="401"/>
      <c r="I76" s="401"/>
      <c r="J76" s="400"/>
    </row>
    <row r="77" spans="2:10" x14ac:dyDescent="0.25">
      <c r="B77" s="186"/>
      <c r="C77" s="186"/>
      <c r="D77" s="186"/>
      <c r="E77" s="186"/>
      <c r="F77" s="402"/>
      <c r="G77" s="402"/>
      <c r="H77" s="402"/>
      <c r="I77" s="402"/>
      <c r="J77" s="402"/>
    </row>
    <row r="78" spans="2:10" x14ac:dyDescent="0.25">
      <c r="B78" s="185"/>
      <c r="C78" s="185"/>
      <c r="D78" s="185"/>
      <c r="E78" s="185"/>
      <c r="F78" s="403"/>
      <c r="G78" s="403"/>
      <c r="H78" s="403"/>
      <c r="I78" s="403"/>
      <c r="J78" s="403"/>
    </row>
    <row r="89" spans="2:10" x14ac:dyDescent="0.25">
      <c r="B89" s="186"/>
      <c r="C89" s="185"/>
      <c r="D89" s="185"/>
      <c r="E89" s="185"/>
      <c r="F89" s="185"/>
      <c r="G89" s="185"/>
      <c r="H89" s="185"/>
      <c r="I89" s="185"/>
      <c r="J89" s="185"/>
    </row>
    <row r="90" spans="2:10" x14ac:dyDescent="0.25">
      <c r="B90" s="185"/>
      <c r="C90" s="185"/>
      <c r="D90" s="185"/>
      <c r="E90" s="185"/>
      <c r="F90" s="130"/>
      <c r="G90" s="130"/>
      <c r="H90" s="185"/>
      <c r="I90" s="185"/>
      <c r="J90" s="185"/>
    </row>
    <row r="91" spans="2:10" x14ac:dyDescent="0.25">
      <c r="B91" s="185"/>
      <c r="C91" s="185"/>
      <c r="D91" s="185"/>
      <c r="E91" s="185"/>
      <c r="F91" s="399"/>
      <c r="G91" s="403"/>
      <c r="H91" s="185"/>
      <c r="I91" s="185"/>
      <c r="J91" s="185"/>
    </row>
    <row r="92" spans="2:10" x14ac:dyDescent="0.25">
      <c r="B92" s="185"/>
      <c r="C92" s="185"/>
      <c r="D92" s="185"/>
      <c r="E92" s="185"/>
      <c r="F92" s="399"/>
      <c r="G92" s="403"/>
      <c r="H92" s="185"/>
      <c r="I92" s="185"/>
      <c r="J92" s="185"/>
    </row>
    <row r="93" spans="2:10" x14ac:dyDescent="0.25">
      <c r="B93" s="185"/>
      <c r="C93" s="185"/>
      <c r="D93" s="185"/>
      <c r="E93" s="185"/>
      <c r="F93" s="399"/>
      <c r="G93" s="403"/>
      <c r="H93" s="185"/>
      <c r="I93" s="185"/>
      <c r="J93" s="185"/>
    </row>
    <row r="94" spans="2:10" x14ac:dyDescent="0.25">
      <c r="B94" s="185"/>
      <c r="C94" s="185"/>
      <c r="D94" s="185"/>
      <c r="E94" s="185"/>
      <c r="F94" s="399"/>
      <c r="G94" s="403"/>
      <c r="H94" s="185"/>
      <c r="I94" s="185"/>
      <c r="J94" s="185"/>
    </row>
    <row r="95" spans="2:10" x14ac:dyDescent="0.25">
      <c r="B95" s="185"/>
      <c r="C95" s="185"/>
      <c r="D95" s="185"/>
      <c r="E95" s="185"/>
      <c r="F95" s="399"/>
      <c r="G95" s="403"/>
      <c r="H95" s="185"/>
      <c r="I95" s="185"/>
      <c r="J95" s="185"/>
    </row>
    <row r="96" spans="2:10" x14ac:dyDescent="0.25">
      <c r="B96" s="185"/>
      <c r="C96" s="185"/>
      <c r="D96" s="185"/>
      <c r="E96" s="185"/>
      <c r="F96" s="399"/>
      <c r="G96" s="403"/>
      <c r="H96" s="185"/>
      <c r="I96" s="185"/>
      <c r="J96" s="185"/>
    </row>
    <row r="97" spans="2:10" x14ac:dyDescent="0.25">
      <c r="B97" s="185"/>
      <c r="C97" s="185"/>
      <c r="D97" s="185"/>
      <c r="E97" s="185"/>
      <c r="F97" s="399"/>
      <c r="G97" s="403"/>
      <c r="H97" s="185"/>
      <c r="I97" s="185"/>
      <c r="J97" s="185"/>
    </row>
    <row r="98" spans="2:10" x14ac:dyDescent="0.25">
      <c r="B98" s="185"/>
      <c r="C98" s="185"/>
      <c r="D98" s="185"/>
      <c r="E98" s="185"/>
      <c r="F98" s="399"/>
      <c r="G98" s="403"/>
      <c r="H98" s="185"/>
      <c r="I98" s="185"/>
      <c r="J98" s="185"/>
    </row>
    <row r="99" spans="2:10" x14ac:dyDescent="0.25">
      <c r="B99" s="186"/>
      <c r="C99" s="186"/>
      <c r="D99" s="186"/>
      <c r="E99" s="186"/>
      <c r="F99" s="402"/>
      <c r="G99" s="404"/>
      <c r="H99" s="185"/>
      <c r="I99" s="185"/>
      <c r="J99" s="185"/>
    </row>
    <row r="100" spans="2:10" x14ac:dyDescent="0.25">
      <c r="B100" s="185"/>
      <c r="C100" s="185"/>
      <c r="D100" s="185"/>
      <c r="E100" s="185"/>
      <c r="F100" s="185"/>
      <c r="G100" s="185"/>
      <c r="H100" s="185"/>
      <c r="I100" s="185"/>
      <c r="J100" s="185"/>
    </row>
    <row r="101" spans="2:10" x14ac:dyDescent="0.25">
      <c r="B101" s="185"/>
      <c r="C101" s="185"/>
      <c r="D101" s="185"/>
      <c r="E101" s="185"/>
      <c r="F101" s="185"/>
      <c r="G101" s="185"/>
      <c r="H101" s="185"/>
      <c r="I101" s="185"/>
      <c r="J101" s="185"/>
    </row>
    <row r="102" spans="2:10" x14ac:dyDescent="0.25">
      <c r="B102" s="186"/>
      <c r="C102" s="185"/>
      <c r="D102" s="185"/>
      <c r="E102" s="185"/>
      <c r="F102" s="185"/>
      <c r="G102" s="185"/>
      <c r="H102" s="185"/>
      <c r="I102" s="185"/>
      <c r="J102" s="185"/>
    </row>
    <row r="103" spans="2:10" x14ac:dyDescent="0.25">
      <c r="B103" s="185"/>
      <c r="C103" s="185"/>
      <c r="D103" s="185"/>
      <c r="E103" s="185"/>
      <c r="F103" s="130"/>
      <c r="G103" s="130"/>
      <c r="H103" s="130"/>
      <c r="I103" s="130"/>
      <c r="J103" s="130"/>
    </row>
    <row r="104" spans="2:10" x14ac:dyDescent="0.25">
      <c r="B104" s="185"/>
      <c r="C104" s="185"/>
      <c r="D104" s="185"/>
      <c r="E104" s="185"/>
      <c r="F104" s="399"/>
      <c r="G104" s="399"/>
      <c r="H104" s="399"/>
      <c r="I104" s="399"/>
      <c r="J104" s="400"/>
    </row>
    <row r="105" spans="2:10" x14ac:dyDescent="0.25">
      <c r="B105" s="185"/>
      <c r="C105" s="185"/>
      <c r="D105" s="185"/>
      <c r="E105" s="185"/>
      <c r="F105" s="399"/>
      <c r="G105" s="399"/>
      <c r="H105" s="399"/>
      <c r="I105" s="399"/>
      <c r="J105" s="400"/>
    </row>
    <row r="106" spans="2:10" x14ac:dyDescent="0.25">
      <c r="B106" s="185"/>
      <c r="C106" s="185"/>
      <c r="D106" s="185"/>
      <c r="E106" s="185"/>
      <c r="F106" s="399"/>
      <c r="G106" s="399"/>
      <c r="H106" s="399"/>
      <c r="I106" s="399"/>
      <c r="J106" s="400"/>
    </row>
    <row r="107" spans="2:10" x14ac:dyDescent="0.25">
      <c r="B107" s="185"/>
      <c r="C107" s="185"/>
      <c r="D107" s="185"/>
      <c r="E107" s="185"/>
      <c r="F107" s="399"/>
      <c r="G107" s="399"/>
      <c r="H107" s="399"/>
      <c r="I107" s="399"/>
      <c r="J107" s="400"/>
    </row>
    <row r="108" spans="2:10" x14ac:dyDescent="0.25">
      <c r="B108" s="185"/>
      <c r="C108" s="185"/>
      <c r="D108" s="185"/>
      <c r="E108" s="185"/>
      <c r="F108" s="399"/>
      <c r="G108" s="399"/>
      <c r="H108" s="399"/>
      <c r="I108" s="399"/>
      <c r="J108" s="400"/>
    </row>
    <row r="109" spans="2:10" x14ac:dyDescent="0.25">
      <c r="B109" s="185"/>
      <c r="C109" s="185"/>
      <c r="D109" s="185"/>
      <c r="E109" s="185"/>
      <c r="F109" s="399"/>
      <c r="G109" s="399"/>
      <c r="H109" s="399"/>
      <c r="I109" s="399"/>
      <c r="J109" s="400"/>
    </row>
    <row r="110" spans="2:10" x14ac:dyDescent="0.25">
      <c r="B110" s="185"/>
      <c r="C110" s="185"/>
      <c r="D110" s="185"/>
      <c r="E110" s="185"/>
      <c r="F110" s="399"/>
      <c r="G110" s="399"/>
      <c r="H110" s="399"/>
      <c r="I110" s="399"/>
      <c r="J110" s="400"/>
    </row>
    <row r="111" spans="2:10" x14ac:dyDescent="0.25">
      <c r="B111" s="185"/>
      <c r="C111" s="185"/>
      <c r="D111" s="185"/>
      <c r="E111" s="185"/>
      <c r="F111" s="399"/>
      <c r="G111" s="399"/>
      <c r="H111" s="399"/>
      <c r="I111" s="399"/>
      <c r="J111" s="400"/>
    </row>
    <row r="112" spans="2:10" x14ac:dyDescent="0.25">
      <c r="B112" s="186"/>
      <c r="C112" s="186"/>
      <c r="D112" s="186"/>
      <c r="E112" s="186"/>
      <c r="F112" s="402"/>
      <c r="G112" s="402"/>
      <c r="H112" s="402"/>
      <c r="I112" s="402"/>
      <c r="J112" s="402"/>
    </row>
    <row r="113" spans="2:10" x14ac:dyDescent="0.25">
      <c r="B113" s="185"/>
      <c r="C113" s="185"/>
      <c r="D113" s="185"/>
      <c r="E113" s="185"/>
      <c r="F113" s="403"/>
      <c r="G113" s="403"/>
      <c r="H113" s="403"/>
      <c r="I113" s="403"/>
      <c r="J113" s="403"/>
    </row>
    <row r="114" spans="2:10" x14ac:dyDescent="0.25">
      <c r="B114" s="185"/>
      <c r="C114" s="185"/>
      <c r="D114" s="185"/>
      <c r="E114" s="185"/>
      <c r="F114" s="185"/>
      <c r="G114" s="185"/>
      <c r="H114" s="185"/>
      <c r="I114" s="185"/>
      <c r="J114" s="185"/>
    </row>
    <row r="115" spans="2:10" x14ac:dyDescent="0.25">
      <c r="B115" s="185"/>
      <c r="C115" s="185"/>
      <c r="D115" s="185"/>
      <c r="E115" s="185"/>
      <c r="F115" s="400"/>
      <c r="G115" s="400"/>
      <c r="H115" s="400"/>
      <c r="I115" s="400"/>
      <c r="J115" s="400"/>
    </row>
    <row r="116" spans="2:10" x14ac:dyDescent="0.25">
      <c r="B116" s="185"/>
      <c r="C116" s="185"/>
      <c r="D116" s="185"/>
      <c r="E116" s="185"/>
      <c r="F116" s="403"/>
      <c r="G116" s="403"/>
      <c r="H116" s="403"/>
      <c r="I116" s="403"/>
      <c r="J116" s="403"/>
    </row>
    <row r="117" spans="2:10" x14ac:dyDescent="0.25">
      <c r="B117" s="185"/>
      <c r="C117" s="185"/>
      <c r="D117" s="185"/>
      <c r="E117" s="185"/>
      <c r="F117" s="400"/>
      <c r="G117" s="185"/>
      <c r="H117" s="185"/>
      <c r="I117" s="185"/>
      <c r="J117" s="185"/>
    </row>
    <row r="118" spans="2:10" x14ac:dyDescent="0.25">
      <c r="B118" s="185"/>
      <c r="C118" s="185"/>
      <c r="D118" s="185"/>
      <c r="E118" s="185"/>
      <c r="F118" s="400"/>
      <c r="G118" s="400"/>
      <c r="H118" s="400"/>
      <c r="I118" s="400"/>
      <c r="J118" s="400"/>
    </row>
    <row r="119" spans="2:10" x14ac:dyDescent="0.25">
      <c r="B119" s="185"/>
      <c r="C119" s="185"/>
      <c r="D119" s="185"/>
      <c r="E119" s="185"/>
      <c r="F119" s="403"/>
      <c r="G119" s="403"/>
      <c r="H119" s="403"/>
      <c r="I119" s="403"/>
      <c r="J119" s="403"/>
    </row>
    <row r="120" spans="2:10" x14ac:dyDescent="0.25">
      <c r="B120" s="185"/>
      <c r="C120" s="185"/>
      <c r="D120" s="185"/>
      <c r="E120" s="185"/>
      <c r="F120" s="185"/>
      <c r="G120" s="185"/>
      <c r="H120" s="185"/>
      <c r="I120" s="185"/>
      <c r="J120" s="18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V394"/>
  <sheetViews>
    <sheetView showGridLines="0" topLeftCell="A231" zoomScale="70" zoomScaleNormal="70" zoomScalePageLayoutView="70" workbookViewId="0">
      <selection activeCell="D253" sqref="D253"/>
    </sheetView>
  </sheetViews>
  <sheetFormatPr defaultColWidth="8.7109375" defaultRowHeight="15" x14ac:dyDescent="0.25"/>
  <cols>
    <col min="2" max="2" width="66.42578125" customWidth="1"/>
    <col min="3" max="3" width="12.42578125" customWidth="1"/>
    <col min="4" max="4" width="12.85546875" customWidth="1"/>
    <col min="5" max="5" width="11.7109375" customWidth="1"/>
    <col min="13" max="13" width="28.42578125" bestFit="1" customWidth="1"/>
  </cols>
  <sheetData>
    <row r="3" spans="2:4" s="116" customFormat="1" x14ac:dyDescent="0.25"/>
    <row r="5" spans="2:4" x14ac:dyDescent="0.25">
      <c r="B5" s="112" t="s">
        <v>538</v>
      </c>
    </row>
    <row r="7" spans="2:4" x14ac:dyDescent="0.25">
      <c r="C7" s="136"/>
      <c r="D7" s="136"/>
    </row>
    <row r="8" spans="2:4" x14ac:dyDescent="0.25">
      <c r="C8" s="130"/>
      <c r="D8" s="137" t="s">
        <v>309</v>
      </c>
    </row>
    <row r="9" spans="2:4" x14ac:dyDescent="0.25">
      <c r="B9" t="str">
        <f>'Plant model'!C1818</f>
        <v>Iron Ore Pellets</v>
      </c>
      <c r="C9" s="127"/>
      <c r="D9" s="127">
        <f>'Plant model'!$G1818</f>
        <v>188.39710433486593</v>
      </c>
    </row>
    <row r="10" spans="2:4" x14ac:dyDescent="0.25">
      <c r="B10" t="str">
        <f>'Plant model'!C1819</f>
        <v>Natural Gas</v>
      </c>
      <c r="C10" s="127"/>
      <c r="D10" s="127">
        <f>'Plant model'!$G1819</f>
        <v>46.466849101803838</v>
      </c>
    </row>
    <row r="11" spans="2:4" x14ac:dyDescent="0.25">
      <c r="B11" t="str">
        <f>'Plant model'!C1820</f>
        <v>Electrodes</v>
      </c>
      <c r="C11" s="127"/>
      <c r="D11" s="127">
        <f>'Plant model'!$G1820</f>
        <v>24.000000000000007</v>
      </c>
    </row>
    <row r="12" spans="2:4" x14ac:dyDescent="0.25">
      <c r="B12" t="str">
        <f>'Plant model'!C1821</f>
        <v>Electricity</v>
      </c>
      <c r="C12" s="127"/>
      <c r="D12" s="127">
        <f>'Plant model'!$G1821</f>
        <v>21.314798988478366</v>
      </c>
    </row>
    <row r="13" spans="2:4" x14ac:dyDescent="0.25">
      <c r="B13" t="str">
        <f>'Plant model'!C1822</f>
        <v>Labor - ex SGA</v>
      </c>
      <c r="C13" s="127"/>
      <c r="D13" s="127">
        <f>'Plant model'!$G1822</f>
        <v>14.735451318106477</v>
      </c>
    </row>
    <row r="14" spans="2:4" x14ac:dyDescent="0.25">
      <c r="B14" t="str">
        <f>'Plant model'!C1823</f>
        <v>Refractories</v>
      </c>
      <c r="C14" s="127"/>
      <c r="D14" s="127">
        <f>'Plant model'!$G1823</f>
        <v>10.004081473640616</v>
      </c>
    </row>
    <row r="15" spans="2:4" x14ac:dyDescent="0.25">
      <c r="B15" t="str">
        <f>'Plant model'!C1824</f>
        <v>Lime</v>
      </c>
      <c r="C15" s="127"/>
      <c r="D15" s="127">
        <f>'Plant model'!$G1824</f>
        <v>7.9920000000000035</v>
      </c>
    </row>
    <row r="16" spans="2:4" x14ac:dyDescent="0.25">
      <c r="B16" t="str">
        <f>'Plant model'!C1825</f>
        <v>Maintenance</v>
      </c>
      <c r="C16" s="127"/>
      <c r="D16" s="127">
        <f>'Plant model'!$G1825</f>
        <v>5.6763465409155911</v>
      </c>
    </row>
    <row r="17" spans="2:9" x14ac:dyDescent="0.25">
      <c r="B17" t="str">
        <f>'Plant model'!C1826</f>
        <v>O2, N2, others</v>
      </c>
      <c r="C17" s="127"/>
      <c r="D17" s="127">
        <f>'Plant model'!$G1826</f>
        <v>5.0500000000000034</v>
      </c>
    </row>
    <row r="18" spans="2:9" x14ac:dyDescent="0.25">
      <c r="B18" t="str">
        <f>'Plant model'!C1827</f>
        <v>Slag processing</v>
      </c>
      <c r="C18" s="127"/>
      <c r="D18" s="127">
        <f>'Plant model'!$G1827</f>
        <v>3.1750616470588251</v>
      </c>
    </row>
    <row r="19" spans="2:9" x14ac:dyDescent="0.25">
      <c r="B19" t="str">
        <f>'Plant model'!C1828</f>
        <v>General services and mobile equipment</v>
      </c>
      <c r="C19" s="127"/>
      <c r="D19" s="127">
        <f>'Plant model'!$G1828</f>
        <v>1.7500000000000002</v>
      </c>
    </row>
    <row r="20" spans="2:9" x14ac:dyDescent="0.25">
      <c r="B20" t="str">
        <f>'Plant model'!C1829</f>
        <v>Industrial Water</v>
      </c>
      <c r="C20" s="127"/>
      <c r="D20" s="127">
        <f>'Plant model'!$G1829</f>
        <v>0.44252771362586624</v>
      </c>
    </row>
    <row r="21" spans="2:9" x14ac:dyDescent="0.25">
      <c r="B21" t="str">
        <f>'Plant model'!C1830</f>
        <v>Briquettes</v>
      </c>
      <c r="C21" s="127"/>
      <c r="D21" s="127">
        <f>'Plant model'!$G1830</f>
        <v>0.29976503033391516</v>
      </c>
    </row>
    <row r="22" spans="2:9" x14ac:dyDescent="0.25">
      <c r="B22" t="str">
        <f>'Plant model'!C1831</f>
        <v>Other gases and supplies</v>
      </c>
      <c r="C22" s="127"/>
      <c r="D22" s="127">
        <f>'Plant model'!$G1831</f>
        <v>0.18621656822490251</v>
      </c>
    </row>
    <row r="23" spans="2:9" x14ac:dyDescent="0.25">
      <c r="B23" t="s">
        <v>508</v>
      </c>
      <c r="C23" s="127"/>
      <c r="D23" s="127">
        <f>'Plant model'!G1850</f>
        <v>55.408227618756499</v>
      </c>
    </row>
    <row r="24" spans="2:9" x14ac:dyDescent="0.25">
      <c r="B24" t="s">
        <v>145</v>
      </c>
      <c r="C24" s="127"/>
      <c r="D24" s="127">
        <f>'Plant model'!G1853</f>
        <v>14.415285887281431</v>
      </c>
      <c r="I24" s="133"/>
    </row>
    <row r="25" spans="2:9" x14ac:dyDescent="0.25">
      <c r="B25" t="s">
        <v>444</v>
      </c>
      <c r="C25" s="127"/>
      <c r="D25" s="127">
        <f>'Plant model'!G1854</f>
        <v>8.3259219364533799</v>
      </c>
      <c r="I25" s="133"/>
    </row>
    <row r="26" spans="2:9" x14ac:dyDescent="0.25">
      <c r="B26" s="112" t="s">
        <v>320</v>
      </c>
      <c r="C26" s="134"/>
      <c r="D26" s="134">
        <f>SUM(D9:D25)</f>
        <v>407.63963815954554</v>
      </c>
      <c r="I26" s="133"/>
    </row>
    <row r="27" spans="2:9" x14ac:dyDescent="0.25">
      <c r="C27" s="127"/>
      <c r="D27" s="127"/>
      <c r="I27" s="133"/>
    </row>
    <row r="28" spans="2:9" x14ac:dyDescent="0.25">
      <c r="C28" s="127"/>
      <c r="D28" s="127"/>
      <c r="I28" s="133"/>
    </row>
    <row r="31" spans="2:9" x14ac:dyDescent="0.25">
      <c r="B31" t="str">
        <f t="shared" ref="B31:B44" si="0">B9</f>
        <v>Iron Ore Pellets</v>
      </c>
      <c r="C31" s="133"/>
      <c r="D31" s="425">
        <f t="shared" ref="D31:D44" si="1">D9</f>
        <v>188.39710433486593</v>
      </c>
      <c r="F31" s="133"/>
      <c r="G31" s="133"/>
    </row>
    <row r="32" spans="2:9" x14ac:dyDescent="0.25">
      <c r="B32" t="str">
        <f t="shared" si="0"/>
        <v>Natural Gas</v>
      </c>
      <c r="D32" s="425">
        <f t="shared" si="1"/>
        <v>46.466849101803838</v>
      </c>
      <c r="F32" s="133"/>
    </row>
    <row r="33" spans="2:9" x14ac:dyDescent="0.25">
      <c r="B33" t="str">
        <f t="shared" si="0"/>
        <v>Electrodes</v>
      </c>
      <c r="D33" s="425">
        <f t="shared" si="1"/>
        <v>24.000000000000007</v>
      </c>
      <c r="F33" s="133"/>
      <c r="G33" s="133"/>
    </row>
    <row r="34" spans="2:9" x14ac:dyDescent="0.25">
      <c r="B34" t="str">
        <f t="shared" si="0"/>
        <v>Electricity</v>
      </c>
      <c r="D34" s="425">
        <f t="shared" si="1"/>
        <v>21.314798988478366</v>
      </c>
      <c r="F34" s="133"/>
    </row>
    <row r="35" spans="2:9" x14ac:dyDescent="0.25">
      <c r="B35" t="str">
        <f t="shared" si="0"/>
        <v>Labor - ex SGA</v>
      </c>
      <c r="D35" s="425">
        <f t="shared" si="1"/>
        <v>14.735451318106477</v>
      </c>
      <c r="F35" s="133"/>
    </row>
    <row r="36" spans="2:9" x14ac:dyDescent="0.25">
      <c r="B36" t="str">
        <f t="shared" si="0"/>
        <v>Refractories</v>
      </c>
      <c r="D36" s="425">
        <f t="shared" si="1"/>
        <v>10.004081473640616</v>
      </c>
      <c r="F36" s="133"/>
    </row>
    <row r="37" spans="2:9" x14ac:dyDescent="0.25">
      <c r="B37" t="str">
        <f t="shared" si="0"/>
        <v>Lime</v>
      </c>
      <c r="D37" s="425">
        <f t="shared" si="1"/>
        <v>7.9920000000000035</v>
      </c>
      <c r="F37" s="133"/>
    </row>
    <row r="38" spans="2:9" x14ac:dyDescent="0.25">
      <c r="B38" s="165" t="str">
        <f t="shared" si="0"/>
        <v>Maintenance</v>
      </c>
      <c r="D38" s="425">
        <f t="shared" si="1"/>
        <v>5.6763465409155911</v>
      </c>
      <c r="F38" s="133"/>
      <c r="G38" s="133"/>
    </row>
    <row r="39" spans="2:9" x14ac:dyDescent="0.25">
      <c r="B39" t="str">
        <f t="shared" si="0"/>
        <v>O2, N2, others</v>
      </c>
      <c r="D39" s="425">
        <f t="shared" si="1"/>
        <v>5.0500000000000034</v>
      </c>
      <c r="E39" s="423"/>
      <c r="F39" s="133"/>
      <c r="G39" s="133"/>
      <c r="I39" s="424"/>
    </row>
    <row r="40" spans="2:9" x14ac:dyDescent="0.25">
      <c r="B40" t="str">
        <f t="shared" si="0"/>
        <v>Slag processing</v>
      </c>
      <c r="D40" s="425">
        <f t="shared" si="1"/>
        <v>3.1750616470588251</v>
      </c>
      <c r="F40" s="133"/>
      <c r="I40" s="424"/>
    </row>
    <row r="41" spans="2:9" x14ac:dyDescent="0.25">
      <c r="B41" t="str">
        <f t="shared" si="0"/>
        <v>General services and mobile equipment</v>
      </c>
      <c r="D41" s="425">
        <f t="shared" si="1"/>
        <v>1.7500000000000002</v>
      </c>
      <c r="F41" s="133"/>
    </row>
    <row r="42" spans="2:9" x14ac:dyDescent="0.25">
      <c r="B42" t="str">
        <f t="shared" si="0"/>
        <v>Industrial Water</v>
      </c>
      <c r="D42" s="425">
        <f t="shared" si="1"/>
        <v>0.44252771362586624</v>
      </c>
      <c r="F42" s="133"/>
      <c r="G42" s="133"/>
      <c r="H42" s="424"/>
    </row>
    <row r="43" spans="2:9" x14ac:dyDescent="0.25">
      <c r="B43" t="str">
        <f t="shared" si="0"/>
        <v>Briquettes</v>
      </c>
      <c r="D43" s="425">
        <f t="shared" si="1"/>
        <v>0.29976503033391516</v>
      </c>
      <c r="F43" s="133"/>
    </row>
    <row r="44" spans="2:9" x14ac:dyDescent="0.25">
      <c r="B44" t="str">
        <f t="shared" si="0"/>
        <v>Other gases and supplies</v>
      </c>
      <c r="D44" s="425">
        <f t="shared" si="1"/>
        <v>0.18621656822490251</v>
      </c>
      <c r="F44" s="133"/>
      <c r="G44" s="133"/>
    </row>
    <row r="45" spans="2:9" x14ac:dyDescent="0.25">
      <c r="B45" s="134" t="s">
        <v>514</v>
      </c>
      <c r="D45" s="134">
        <f>SUM(D31:D44)</f>
        <v>329.49020271705427</v>
      </c>
      <c r="F45" s="133"/>
      <c r="G45" s="133"/>
    </row>
    <row r="46" spans="2:9" x14ac:dyDescent="0.25">
      <c r="G46" s="133"/>
      <c r="H46" s="133"/>
    </row>
    <row r="48" spans="2:9" x14ac:dyDescent="0.25">
      <c r="B48" t="str">
        <f>'Plant model'!C1848</f>
        <v>Raw Material Costs</v>
      </c>
      <c r="D48" s="127">
        <f>'Plant model'!G1848</f>
        <v>196.68886936519988</v>
      </c>
    </row>
    <row r="49" spans="2:4" x14ac:dyDescent="0.25">
      <c r="B49" t="str">
        <f>'Plant model'!C1849</f>
        <v>Shaft Furnace</v>
      </c>
      <c r="D49" s="127">
        <f>'Plant model'!G1849</f>
        <v>57.372283091854655</v>
      </c>
    </row>
    <row r="50" spans="2:4" x14ac:dyDescent="0.25">
      <c r="B50" t="str">
        <f>'Plant model'!C1850</f>
        <v>D&amp;A</v>
      </c>
      <c r="D50" s="127">
        <f>'Plant model'!G1850</f>
        <v>55.408227618756499</v>
      </c>
    </row>
    <row r="51" spans="2:4" x14ac:dyDescent="0.25">
      <c r="B51" t="str">
        <f>'Plant model'!C1851</f>
        <v>EAF</v>
      </c>
      <c r="D51" s="127">
        <f>'Plant model'!G1851</f>
        <v>53.190657026484601</v>
      </c>
    </row>
    <row r="52" spans="2:4" x14ac:dyDescent="0.25">
      <c r="B52" t="str">
        <f>'Plant model'!C1852</f>
        <v>Labor</v>
      </c>
      <c r="D52" s="127">
        <f>'Plant model'!G1852</f>
        <v>14.735451318106477</v>
      </c>
    </row>
    <row r="53" spans="2:4" x14ac:dyDescent="0.25">
      <c r="B53" t="str">
        <f>'Plant model'!C1853</f>
        <v>SG&amp;A</v>
      </c>
      <c r="D53" s="127">
        <f>'Plant model'!G1853</f>
        <v>14.415285887281431</v>
      </c>
    </row>
    <row r="54" spans="2:4" x14ac:dyDescent="0.25">
      <c r="B54" t="str">
        <f>'Plant model'!C1854</f>
        <v>Interest</v>
      </c>
      <c r="D54" s="127">
        <f>'Plant model'!G1854</f>
        <v>8.3259219364533799</v>
      </c>
    </row>
    <row r="55" spans="2:4" x14ac:dyDescent="0.25">
      <c r="B55" t="str">
        <f>'Plant model'!C1855</f>
        <v>Auxiliaries</v>
      </c>
      <c r="D55" s="127">
        <f>'Plant model'!G1855</f>
        <v>7.1048781678586135</v>
      </c>
    </row>
    <row r="56" spans="2:4" x14ac:dyDescent="0.25">
      <c r="B56" t="str">
        <f>'Plant model'!C1856</f>
        <v>Storage &amp; Cold Processing</v>
      </c>
      <c r="D56" s="127">
        <f>'Plant model'!G1856</f>
        <v>0.3980637475502059</v>
      </c>
    </row>
    <row r="57" spans="2:4" x14ac:dyDescent="0.25">
      <c r="B57" s="112" t="str">
        <f>'Plant model'!C1857</f>
        <v>Total Pig Iron Production Costs</v>
      </c>
      <c r="D57" s="134">
        <f>SUM(D48:D56)</f>
        <v>407.63963815954571</v>
      </c>
    </row>
    <row r="59" spans="2:4" x14ac:dyDescent="0.25">
      <c r="B59" t="str">
        <f>B48</f>
        <v>Raw Material Costs</v>
      </c>
      <c r="D59" s="133">
        <f>D48</f>
        <v>196.68886936519988</v>
      </c>
    </row>
    <row r="60" spans="2:4" x14ac:dyDescent="0.25">
      <c r="B60" t="str">
        <f>B49</f>
        <v>Shaft Furnace</v>
      </c>
      <c r="D60" s="133">
        <f>D49</f>
        <v>57.372283091854655</v>
      </c>
    </row>
    <row r="61" spans="2:4" x14ac:dyDescent="0.25">
      <c r="B61" t="str">
        <f>B51</f>
        <v>EAF</v>
      </c>
      <c r="D61" s="133">
        <f>D51</f>
        <v>53.190657026484601</v>
      </c>
    </row>
    <row r="62" spans="2:4" x14ac:dyDescent="0.25">
      <c r="B62" t="str">
        <f>B52</f>
        <v>Labor</v>
      </c>
      <c r="D62" s="133">
        <f>D52</f>
        <v>14.735451318106477</v>
      </c>
    </row>
    <row r="63" spans="2:4" x14ac:dyDescent="0.25">
      <c r="B63" t="str">
        <f>B55</f>
        <v>Auxiliaries</v>
      </c>
      <c r="D63" s="133">
        <f>D55</f>
        <v>7.1048781678586135</v>
      </c>
    </row>
    <row r="64" spans="2:4" x14ac:dyDescent="0.25">
      <c r="B64" t="str">
        <f>B56</f>
        <v>Storage &amp; Cold Processing</v>
      </c>
      <c r="D64" s="133">
        <f>D56</f>
        <v>0.3980637475502059</v>
      </c>
    </row>
    <row r="65" spans="2:11" x14ac:dyDescent="0.25">
      <c r="B65" s="134" t="s">
        <v>514</v>
      </c>
      <c r="D65" s="134">
        <f>SUM(D59:D64)</f>
        <v>329.49020271705444</v>
      </c>
      <c r="E65" s="133"/>
    </row>
    <row r="69" spans="2:11" s="116" customFormat="1" x14ac:dyDescent="0.25"/>
    <row r="71" spans="2:11" x14ac:dyDescent="0.25">
      <c r="B71" s="112" t="s">
        <v>484</v>
      </c>
    </row>
    <row r="73" spans="2:11" x14ac:dyDescent="0.25">
      <c r="B73" s="112" t="s">
        <v>226</v>
      </c>
      <c r="K73" s="112"/>
    </row>
    <row r="74" spans="2:11" x14ac:dyDescent="0.25">
      <c r="B74" t="str">
        <f>'Plant model'!C1768</f>
        <v xml:space="preserve">Pre-construction costs </v>
      </c>
      <c r="C74" s="126">
        <f>'Plant model'!E1768/'Plant model'!$G$14</f>
        <v>12.986937987012992</v>
      </c>
      <c r="D74" s="72">
        <f t="shared" ref="D74:D83" si="2">C74/$C$83</f>
        <v>2.0478956260545151E-2</v>
      </c>
      <c r="K74" s="112"/>
    </row>
    <row r="75" spans="2:11" x14ac:dyDescent="0.25">
      <c r="B75" t="str">
        <f>'Plant model'!C1769</f>
        <v>Pre-construction financing fees</v>
      </c>
      <c r="C75" s="126">
        <f>'Plant model'!E1769/'Plant model'!$G$14</f>
        <v>0.45454545454545464</v>
      </c>
      <c r="D75" s="72">
        <f t="shared" si="2"/>
        <v>7.1676760845201901E-4</v>
      </c>
      <c r="K75" s="112"/>
    </row>
    <row r="76" spans="2:11" x14ac:dyDescent="0.25">
      <c r="B76" t="str">
        <f>'Plant model'!C1770</f>
        <v>Pre-construction financing interest</v>
      </c>
      <c r="C76" s="126">
        <f>'Plant model'!E1770/'Plant model'!$G$14</f>
        <v>4.1854698185087278</v>
      </c>
      <c r="D76" s="72">
        <f t="shared" si="2"/>
        <v>6.6000202225333336E-3</v>
      </c>
      <c r="K76" s="112"/>
    </row>
    <row r="77" spans="2:11" x14ac:dyDescent="0.25">
      <c r="B77" t="str">
        <f>'Plant model'!C1771</f>
        <v>Capex - includes fees in indirect costs</v>
      </c>
      <c r="C77" s="126">
        <f>'Plant model'!E1771/'Plant model'!$G$14</f>
        <v>604.64414177245396</v>
      </c>
      <c r="D77" s="72">
        <f t="shared" si="2"/>
        <v>0.95345653801808361</v>
      </c>
    </row>
    <row r="78" spans="2:11" x14ac:dyDescent="0.25">
      <c r="B78" t="str">
        <f>'Plant model'!C1772</f>
        <v>WC</v>
      </c>
      <c r="C78" s="126">
        <f>'Plant model'!E1772/'Plant model'!$G$14</f>
        <v>11.889055601409641</v>
      </c>
      <c r="D78" s="72">
        <f t="shared" si="2"/>
        <v>1.8747717890386029E-2</v>
      </c>
      <c r="K78" s="124"/>
    </row>
    <row r="79" spans="2:11" x14ac:dyDescent="0.25">
      <c r="B79" t="str">
        <f>'Plant model'!C1773</f>
        <v>Interest during construction</v>
      </c>
      <c r="C79" s="126">
        <f>'Plant model'!E1773/'Plant model'!$G$14</f>
        <v>0</v>
      </c>
      <c r="D79" s="72">
        <f t="shared" si="2"/>
        <v>0</v>
      </c>
      <c r="K79" s="124"/>
    </row>
    <row r="80" spans="2:11" x14ac:dyDescent="0.25">
      <c r="B80" t="str">
        <f>'Plant model'!C1774</f>
        <v>Lender fees</v>
      </c>
      <c r="C80" s="126">
        <f>'Plant model'!E1774/'Plant model'!$G$14</f>
        <v>0</v>
      </c>
      <c r="D80" s="72">
        <f t="shared" si="2"/>
        <v>0</v>
      </c>
      <c r="K80" s="124"/>
    </row>
    <row r="81" spans="2:6" x14ac:dyDescent="0.25">
      <c r="B81" s="112" t="str">
        <f>'Plant model'!C1775</f>
        <v>Total before cost overrun</v>
      </c>
      <c r="C81" s="143">
        <f>'Plant model'!E1775/'Plant model'!$G$14</f>
        <v>634.1601506339307</v>
      </c>
      <c r="D81" s="142">
        <f t="shared" si="2"/>
        <v>1</v>
      </c>
    </row>
    <row r="82" spans="2:6" x14ac:dyDescent="0.25">
      <c r="B82" t="str">
        <f>'Plant model'!C1776</f>
        <v>Capex cost overrun required</v>
      </c>
      <c r="C82" s="126">
        <f>'Plant model'!E1776/'Plant model'!$G$14</f>
        <v>0</v>
      </c>
      <c r="D82" s="72">
        <f t="shared" si="2"/>
        <v>0</v>
      </c>
    </row>
    <row r="83" spans="2:6" x14ac:dyDescent="0.25">
      <c r="B83" s="112" t="str">
        <f>'Plant model'!C1777</f>
        <v>Total</v>
      </c>
      <c r="C83" s="285">
        <f>C81+C82</f>
        <v>634.1601506339307</v>
      </c>
      <c r="D83" s="142">
        <f t="shared" si="2"/>
        <v>1</v>
      </c>
      <c r="E83" s="129"/>
    </row>
    <row r="84" spans="2:6" x14ac:dyDescent="0.25">
      <c r="C84" s="129"/>
    </row>
    <row r="85" spans="2:6" x14ac:dyDescent="0.25">
      <c r="B85" s="112" t="s">
        <v>229</v>
      </c>
      <c r="C85" s="129"/>
    </row>
    <row r="86" spans="2:6" x14ac:dyDescent="0.25">
      <c r="B86" t="str">
        <f>'Plant model'!C1781</f>
        <v>Pre-Construction 80/20 Loan Facility</v>
      </c>
      <c r="C86" s="126">
        <f>'Plant model'!E1781/'Plant model'!$G$14</f>
        <v>12.98701298701299</v>
      </c>
      <c r="D86" s="72">
        <f>C86/C89</f>
        <v>7.3212339115543118E-2</v>
      </c>
    </row>
    <row r="87" spans="2:6" x14ac:dyDescent="0.25">
      <c r="B87" t="str">
        <f>'Plant model'!C1782</f>
        <v>Senior debt</v>
      </c>
      <c r="C87" s="126">
        <f>'Plant model'!E1782/'Plant model'!$G$14</f>
        <v>428.57142857142867</v>
      </c>
      <c r="D87" s="72">
        <f>C87/C90</f>
        <v>0.67580945939761794</v>
      </c>
    </row>
    <row r="88" spans="2:6" x14ac:dyDescent="0.25">
      <c r="B88" t="str">
        <f>'Plant model'!C1783</f>
        <v>Working capital financing</v>
      </c>
      <c r="C88" s="126">
        <f>'Plant model'!E1783/'Plant model'!$G$14</f>
        <v>15.213400712372925</v>
      </c>
      <c r="D88" s="72">
        <f>C88/C90</f>
        <v>2.3989840259065521E-2</v>
      </c>
    </row>
    <row r="89" spans="2:6" x14ac:dyDescent="0.25">
      <c r="B89" t="str">
        <f>'Plant model'!C1784</f>
        <v>Equity before cost overrun</v>
      </c>
      <c r="C89" s="126">
        <f>'Plant model'!E1784/'Plant model'!$G$14</f>
        <v>177.38830836311612</v>
      </c>
      <c r="D89" s="72">
        <f>C89/C90</f>
        <v>0.27972162581611598</v>
      </c>
    </row>
    <row r="90" spans="2:6" x14ac:dyDescent="0.25">
      <c r="B90" s="112" t="str">
        <f>'Plant model'!C1785</f>
        <v>Total before cost overrun</v>
      </c>
      <c r="C90" s="285">
        <f>SUM(C86:C89)</f>
        <v>634.1601506339307</v>
      </c>
      <c r="D90" s="142">
        <f>SUM(D86:D89)</f>
        <v>1.0527332645883425</v>
      </c>
      <c r="F90" s="129"/>
    </row>
    <row r="91" spans="2:6" x14ac:dyDescent="0.25">
      <c r="C91" s="129"/>
    </row>
    <row r="92" spans="2:6" x14ac:dyDescent="0.25">
      <c r="B92" s="112" t="str">
        <f>'Plant model'!C1787</f>
        <v>Cost overrun required</v>
      </c>
      <c r="C92" s="129"/>
    </row>
    <row r="93" spans="2:6" x14ac:dyDescent="0.25">
      <c r="B93" t="str">
        <f>'Plant model'!C1788</f>
        <v>Debt</v>
      </c>
      <c r="C93" s="126">
        <f>'Plant model'!E1788/'Plant model'!$G$14</f>
        <v>0</v>
      </c>
      <c r="D93" s="72" t="e">
        <f>C93/C95</f>
        <v>#DIV/0!</v>
      </c>
    </row>
    <row r="94" spans="2:6" x14ac:dyDescent="0.25">
      <c r="B94" t="str">
        <f>'Plant model'!C1789</f>
        <v>Equity</v>
      </c>
      <c r="C94" s="126">
        <f>'Plant model'!E1789/'Plant model'!$G$14</f>
        <v>0</v>
      </c>
      <c r="D94" s="72" t="e">
        <f>C94/C95</f>
        <v>#DIV/0!</v>
      </c>
    </row>
    <row r="95" spans="2:6" x14ac:dyDescent="0.25">
      <c r="B95" s="112" t="s">
        <v>45</v>
      </c>
      <c r="C95" s="144">
        <f>SUM(C93:C94)</f>
        <v>0</v>
      </c>
      <c r="D95" s="142" t="e">
        <f>SUM(D93:D94)</f>
        <v>#DIV/0!</v>
      </c>
    </row>
    <row r="96" spans="2:6" x14ac:dyDescent="0.25">
      <c r="C96" s="129"/>
    </row>
    <row r="97" spans="2:9" x14ac:dyDescent="0.25">
      <c r="B97" t="str">
        <f>'Plant model'!C1791</f>
        <v>Total debt</v>
      </c>
      <c r="C97" s="126">
        <f>'Plant model'!E1791/'Plant model'!$G$14</f>
        <v>441.5584415584417</v>
      </c>
      <c r="D97" s="72">
        <f>C97/C100</f>
        <v>0.6962885339248186</v>
      </c>
    </row>
    <row r="98" spans="2:9" x14ac:dyDescent="0.25">
      <c r="B98" t="str">
        <f>'Plant model'!C1792</f>
        <v>Working capital financing</v>
      </c>
      <c r="C98" s="126">
        <f>'Plant model'!E1792/'Plant model'!$G$14</f>
        <v>15.213400712372925</v>
      </c>
      <c r="D98" s="72">
        <f>C98/C100</f>
        <v>2.3989840259065521E-2</v>
      </c>
    </row>
    <row r="99" spans="2:9" x14ac:dyDescent="0.25">
      <c r="B99" t="str">
        <f>'Plant model'!C1793</f>
        <v>Total equity</v>
      </c>
      <c r="C99" s="126">
        <f>'Plant model'!E1793/'Plant model'!$G$14</f>
        <v>177.38830836311612</v>
      </c>
      <c r="D99" s="72">
        <f>C99/C100</f>
        <v>0.27972162581611598</v>
      </c>
      <c r="E99" s="129"/>
    </row>
    <row r="100" spans="2:9" x14ac:dyDescent="0.25">
      <c r="B100" s="112" t="str">
        <f>'Plant model'!C1794</f>
        <v>Total sources</v>
      </c>
      <c r="C100" s="285">
        <f>SUM(C97:C99)</f>
        <v>634.1601506339307</v>
      </c>
      <c r="D100" s="142">
        <f>SUM(D97:D99)</f>
        <v>1</v>
      </c>
    </row>
    <row r="103" spans="2:9" x14ac:dyDescent="0.25">
      <c r="B103" s="112" t="s">
        <v>334</v>
      </c>
    </row>
    <row r="104" spans="2:9" x14ac:dyDescent="0.25">
      <c r="B104" t="s">
        <v>321</v>
      </c>
      <c r="D104" s="286">
        <f>'Plant model'!E1498</f>
        <v>2.0843424853768608</v>
      </c>
    </row>
    <row r="105" spans="2:9" x14ac:dyDescent="0.25">
      <c r="B105" t="s">
        <v>486</v>
      </c>
      <c r="D105" s="286">
        <f>'Plant model'!G1492</f>
        <v>-7.1396747185905118</v>
      </c>
    </row>
    <row r="106" spans="2:9" x14ac:dyDescent="0.25">
      <c r="B106" t="s">
        <v>487</v>
      </c>
      <c r="D106" s="286">
        <f>AVERAGE('Plant model'!I1492:AE1492)</f>
        <v>2.4505892349281631</v>
      </c>
    </row>
    <row r="109" spans="2:9" x14ac:dyDescent="0.25">
      <c r="B109" s="112" t="s">
        <v>226</v>
      </c>
      <c r="C109" s="293" t="s">
        <v>629</v>
      </c>
      <c r="F109" s="293" t="s">
        <v>635</v>
      </c>
      <c r="I109" s="132"/>
    </row>
    <row r="110" spans="2:9" x14ac:dyDescent="0.25">
      <c r="B110" s="141" t="str">
        <f>B74</f>
        <v xml:space="preserve">Pre-construction costs </v>
      </c>
      <c r="C110" s="326">
        <f>'Plant model'!E1768/'Plant model'!$G$14</f>
        <v>12.986937987012992</v>
      </c>
      <c r="D110" s="72">
        <f t="shared" ref="D110:D116" si="3">C110/$C$117</f>
        <v>2.0478956260545151E-2</v>
      </c>
      <c r="F110" s="327">
        <f>C110*'Plant model'!$E$14</f>
        <v>9.9999422500000037</v>
      </c>
      <c r="I110" s="132"/>
    </row>
    <row r="111" spans="2:9" x14ac:dyDescent="0.25">
      <c r="B111" s="141" t="str">
        <f>B75</f>
        <v>Pre-construction financing fees</v>
      </c>
      <c r="C111" s="326">
        <f>'Plant model'!E1769/'Plant model'!$G$14</f>
        <v>0.45454545454545464</v>
      </c>
      <c r="D111" s="72">
        <f t="shared" si="3"/>
        <v>7.1676760845201901E-4</v>
      </c>
      <c r="F111" s="327">
        <f>C111*'Plant model'!$E$14</f>
        <v>0.35000000000000009</v>
      </c>
      <c r="I111" s="132"/>
    </row>
    <row r="112" spans="2:9" x14ac:dyDescent="0.25">
      <c r="B112" s="141" t="str">
        <f>B76</f>
        <v>Pre-construction financing interest</v>
      </c>
      <c r="C112" s="326">
        <f>'Plant model'!E1770/'Plant model'!$G$14</f>
        <v>4.1854698185087278</v>
      </c>
      <c r="D112" s="72">
        <f t="shared" si="3"/>
        <v>6.6000202225333336E-3</v>
      </c>
      <c r="F112" s="327">
        <f>C112*'Plant model'!$E$14</f>
        <v>3.2228117602517203</v>
      </c>
      <c r="I112" s="132"/>
    </row>
    <row r="113" spans="2:9" x14ac:dyDescent="0.25">
      <c r="B113" s="141" t="s">
        <v>111</v>
      </c>
      <c r="C113" s="326">
        <f>'Plant model'!E1771/'Plant model'!$G$14</f>
        <v>604.64414177245396</v>
      </c>
      <c r="D113" s="72">
        <f t="shared" si="3"/>
        <v>0.95345653801808361</v>
      </c>
      <c r="F113" s="327">
        <f>C113*'Plant model'!$E$14</f>
        <v>465.57598916478958</v>
      </c>
      <c r="H113" s="327"/>
      <c r="I113" s="132"/>
    </row>
    <row r="114" spans="2:9" x14ac:dyDescent="0.25">
      <c r="B114" s="141" t="s">
        <v>549</v>
      </c>
      <c r="C114" s="327">
        <f>C78</f>
        <v>11.889055601409641</v>
      </c>
      <c r="D114" s="72">
        <f t="shared" si="3"/>
        <v>1.8747717890386029E-2</v>
      </c>
      <c r="F114" s="327">
        <f>C114*'Plant model'!$E$14</f>
        <v>9.1545728130854247</v>
      </c>
      <c r="H114" s="327"/>
      <c r="I114" s="132"/>
    </row>
    <row r="115" spans="2:9" x14ac:dyDescent="0.25">
      <c r="B115" s="141" t="s">
        <v>184</v>
      </c>
      <c r="C115" s="327">
        <f>C79</f>
        <v>0</v>
      </c>
      <c r="D115" s="72">
        <f t="shared" si="3"/>
        <v>0</v>
      </c>
      <c r="F115" s="327">
        <f>C115*'Plant model'!$E$14</f>
        <v>0</v>
      </c>
      <c r="H115" s="327"/>
      <c r="I115" s="132"/>
    </row>
    <row r="116" spans="2:9" x14ac:dyDescent="0.25">
      <c r="B116" s="141" t="s">
        <v>222</v>
      </c>
      <c r="C116" s="327">
        <f>C80</f>
        <v>0</v>
      </c>
      <c r="D116" s="72">
        <f t="shared" si="3"/>
        <v>0</v>
      </c>
      <c r="F116" s="327">
        <f>C116*'Plant model'!$E$14</f>
        <v>0</v>
      </c>
      <c r="H116" s="327"/>
      <c r="I116" s="132"/>
    </row>
    <row r="117" spans="2:9" x14ac:dyDescent="0.25">
      <c r="B117" s="325" t="s">
        <v>563</v>
      </c>
      <c r="C117" s="328">
        <f>SUM(C110:C116)</f>
        <v>634.1601506339307</v>
      </c>
      <c r="D117" s="142">
        <f>SUM(D110:D116)</f>
        <v>1.0000000000000002</v>
      </c>
      <c r="F117" s="328">
        <f>SUM(F110:F116)</f>
        <v>488.30331598812677</v>
      </c>
      <c r="H117" s="327"/>
    </row>
    <row r="119" spans="2:9" x14ac:dyDescent="0.25">
      <c r="B119" s="325" t="s">
        <v>229</v>
      </c>
    </row>
    <row r="120" spans="2:9" x14ac:dyDescent="0.25">
      <c r="B120" s="141" t="str">
        <f>B86</f>
        <v>Pre-Construction 80/20 Loan Facility</v>
      </c>
      <c r="C120" s="129">
        <f>C86</f>
        <v>12.98701298701299</v>
      </c>
      <c r="D120" s="72" t="e">
        <f>C120/C115</f>
        <v>#DIV/0!</v>
      </c>
      <c r="F120" s="327">
        <f>C120*'Plant model'!$E$14</f>
        <v>10.000000000000004</v>
      </c>
    </row>
    <row r="121" spans="2:9" x14ac:dyDescent="0.25">
      <c r="B121" s="141" t="s">
        <v>550</v>
      </c>
    </row>
    <row r="122" spans="2:9" x14ac:dyDescent="0.25">
      <c r="B122" s="124" t="s">
        <v>551</v>
      </c>
      <c r="C122" s="427">
        <v>60</v>
      </c>
      <c r="D122" s="72">
        <f>C122/C117</f>
        <v>9.4613324315666492E-2</v>
      </c>
      <c r="F122" s="129">
        <f>C122*'Plant model'!$E$14</f>
        <v>46.2</v>
      </c>
      <c r="H122" s="129"/>
      <c r="I122" s="132"/>
    </row>
    <row r="123" spans="2:9" x14ac:dyDescent="0.25">
      <c r="B123" s="124" t="s">
        <v>552</v>
      </c>
      <c r="C123" s="129">
        <f>C139</f>
        <v>217.35282000000001</v>
      </c>
      <c r="D123" s="72">
        <f>C123/C117</f>
        <v>0.34274121415974473</v>
      </c>
      <c r="F123" s="129">
        <f>C123*'Plant model'!$E$14</f>
        <v>167.36167140000001</v>
      </c>
      <c r="H123" s="129"/>
      <c r="I123" s="132"/>
    </row>
    <row r="124" spans="2:9" x14ac:dyDescent="0.25">
      <c r="B124" s="124" t="s">
        <v>557</v>
      </c>
      <c r="C124" s="129">
        <f>C87-SUM(C122:C123)</f>
        <v>151.21860857142866</v>
      </c>
      <c r="D124" s="72">
        <f>C124/C117</f>
        <v>0.23845492092220674</v>
      </c>
      <c r="F124" s="129">
        <f>C124*'Plant model'!$E$14</f>
        <v>116.43832860000008</v>
      </c>
      <c r="H124" s="129"/>
      <c r="I124" s="132"/>
    </row>
    <row r="125" spans="2:9" x14ac:dyDescent="0.25">
      <c r="B125" s="141" t="s">
        <v>558</v>
      </c>
      <c r="C125" s="129">
        <f>SUM(C122:C124)</f>
        <v>428.57142857142867</v>
      </c>
      <c r="D125" s="72">
        <f>SUM(D122:D124)</f>
        <v>0.67580945939761794</v>
      </c>
      <c r="F125" s="129">
        <f>C125*'Plant model'!$E$14</f>
        <v>330.00000000000006</v>
      </c>
      <c r="H125" s="129"/>
      <c r="I125" s="132"/>
    </row>
    <row r="126" spans="2:9" x14ac:dyDescent="0.25">
      <c r="B126" s="141" t="s">
        <v>470</v>
      </c>
      <c r="C126" s="129">
        <f>C98</f>
        <v>15.213400712372925</v>
      </c>
      <c r="D126" s="72">
        <f>C126/C117</f>
        <v>2.3989840259065521E-2</v>
      </c>
      <c r="F126" s="129">
        <f>C126*'Plant model'!$E$14</f>
        <v>11.714318548527153</v>
      </c>
      <c r="H126" s="129"/>
      <c r="I126" s="132"/>
    </row>
    <row r="127" spans="2:9" x14ac:dyDescent="0.25">
      <c r="B127" s="141" t="s">
        <v>295</v>
      </c>
      <c r="D127" s="72"/>
    </row>
    <row r="128" spans="2:9" x14ac:dyDescent="0.25">
      <c r="B128" s="124" t="s">
        <v>559</v>
      </c>
      <c r="C128" s="427">
        <v>55</v>
      </c>
      <c r="D128" s="72">
        <f>C128/C117</f>
        <v>8.6728880622694279E-2</v>
      </c>
      <c r="F128" s="129">
        <f>C128*'Plant model'!$E$14</f>
        <v>42.35</v>
      </c>
      <c r="H128" s="601" t="s">
        <v>965</v>
      </c>
      <c r="I128" s="132"/>
    </row>
    <row r="129" spans="2:9" x14ac:dyDescent="0.25">
      <c r="B129" s="124" t="s">
        <v>562</v>
      </c>
      <c r="C129" s="129">
        <f>C99-C128</f>
        <v>122.38830836311612</v>
      </c>
      <c r="D129" s="72">
        <f>C129/C117</f>
        <v>0.19299274519342172</v>
      </c>
      <c r="F129" s="129">
        <f>C129*'Plant model'!$E$14</f>
        <v>94.238997439599416</v>
      </c>
      <c r="H129" s="129"/>
      <c r="I129" s="132"/>
    </row>
    <row r="130" spans="2:9" x14ac:dyDescent="0.25">
      <c r="B130" s="141" t="s">
        <v>560</v>
      </c>
      <c r="C130" s="129">
        <f>SUM(C128:C129)</f>
        <v>177.38830836311612</v>
      </c>
      <c r="D130" s="72">
        <f>SUM(D128:D129)</f>
        <v>0.27972162581611598</v>
      </c>
      <c r="F130" s="129">
        <f>C130*'Plant model'!$E$14</f>
        <v>136.58899743959941</v>
      </c>
      <c r="H130" s="129"/>
      <c r="I130" s="132"/>
    </row>
    <row r="131" spans="2:9" x14ac:dyDescent="0.25">
      <c r="B131" s="325" t="s">
        <v>561</v>
      </c>
      <c r="C131" s="144">
        <f>C120+C125+C126+C130</f>
        <v>634.1601506339307</v>
      </c>
      <c r="D131" s="142">
        <f>D125+D126+D130</f>
        <v>0.97952092547279945</v>
      </c>
      <c r="F131" s="144">
        <f>F120+F125+F126+F130</f>
        <v>488.30331598812666</v>
      </c>
      <c r="H131" s="144"/>
    </row>
    <row r="132" spans="2:9" x14ac:dyDescent="0.25">
      <c r="B132" s="141"/>
    </row>
    <row r="133" spans="2:9" x14ac:dyDescent="0.25">
      <c r="B133" s="141"/>
    </row>
    <row r="136" spans="2:9" x14ac:dyDescent="0.25">
      <c r="B136" s="112" t="s">
        <v>553</v>
      </c>
    </row>
    <row r="137" spans="2:9" x14ac:dyDescent="0.25">
      <c r="B137" t="s">
        <v>556</v>
      </c>
      <c r="C137" s="127">
        <f>CAPEX!G18/1000000</f>
        <v>255.70920000000001</v>
      </c>
    </row>
    <row r="138" spans="2:9" x14ac:dyDescent="0.25">
      <c r="B138" t="s">
        <v>554</v>
      </c>
      <c r="C138" s="147">
        <v>0.85</v>
      </c>
    </row>
    <row r="139" spans="2:9" x14ac:dyDescent="0.25">
      <c r="B139" t="s">
        <v>555</v>
      </c>
      <c r="C139" s="129">
        <f>C137*C138</f>
        <v>217.35282000000001</v>
      </c>
    </row>
    <row r="146" spans="1:7" s="284" customFormat="1" x14ac:dyDescent="0.25">
      <c r="A146"/>
    </row>
    <row r="148" spans="1:7" x14ac:dyDescent="0.25">
      <c r="B148" s="112" t="s">
        <v>485</v>
      </c>
    </row>
    <row r="150" spans="1:7" x14ac:dyDescent="0.25">
      <c r="B150" s="112" t="s">
        <v>226</v>
      </c>
      <c r="G150" s="132"/>
    </row>
    <row r="151" spans="1:7" x14ac:dyDescent="0.25">
      <c r="B151" t="str">
        <f t="shared" ref="B151:B157" si="4">B77</f>
        <v>Capex - includes fees in indirect costs</v>
      </c>
      <c r="C151" s="126">
        <f>'Plant model'!E1771</f>
        <v>465.57598916478941</v>
      </c>
      <c r="D151" s="142">
        <f t="shared" ref="D151:D156" si="5">C151/$C$157</f>
        <v>0.98071627667082439</v>
      </c>
      <c r="F151" s="129"/>
      <c r="G151" s="132"/>
    </row>
    <row r="152" spans="1:7" x14ac:dyDescent="0.25">
      <c r="B152" t="str">
        <f t="shared" si="4"/>
        <v>WC</v>
      </c>
      <c r="C152" s="126">
        <f>'Plant model'!E1772</f>
        <v>9.1545728130854211</v>
      </c>
      <c r="D152" s="142">
        <f t="shared" si="5"/>
        <v>1.9283723329175672E-2</v>
      </c>
      <c r="F152" s="129"/>
      <c r="G152" s="132"/>
    </row>
    <row r="153" spans="1:7" x14ac:dyDescent="0.25">
      <c r="B153" t="str">
        <f t="shared" si="4"/>
        <v>Interest during construction</v>
      </c>
      <c r="C153" s="126">
        <f>'Plant model'!E1773</f>
        <v>0</v>
      </c>
      <c r="D153" s="142">
        <f t="shared" si="5"/>
        <v>0</v>
      </c>
      <c r="F153" s="129"/>
      <c r="G153" s="132"/>
    </row>
    <row r="154" spans="1:7" x14ac:dyDescent="0.25">
      <c r="B154" t="str">
        <f t="shared" si="4"/>
        <v>Lender fees</v>
      </c>
      <c r="C154" s="126">
        <f>'Plant model'!E1774</f>
        <v>0</v>
      </c>
      <c r="D154" s="142">
        <f t="shared" si="5"/>
        <v>0</v>
      </c>
      <c r="F154" s="129"/>
      <c r="G154" s="132"/>
    </row>
    <row r="155" spans="1:7" x14ac:dyDescent="0.25">
      <c r="B155" s="112" t="str">
        <f t="shared" si="4"/>
        <v>Total before cost overrun</v>
      </c>
      <c r="C155" s="285">
        <f>SUM(C151:C154)</f>
        <v>474.7305619778748</v>
      </c>
      <c r="D155" s="142">
        <f t="shared" si="5"/>
        <v>1</v>
      </c>
      <c r="F155" s="129"/>
      <c r="G155" s="132"/>
    </row>
    <row r="156" spans="1:7" x14ac:dyDescent="0.25">
      <c r="B156" t="str">
        <f t="shared" si="4"/>
        <v>Capex cost overrun required</v>
      </c>
      <c r="C156" s="126">
        <f>'Plant model'!E1776</f>
        <v>0</v>
      </c>
      <c r="D156" s="142">
        <f t="shared" si="5"/>
        <v>0</v>
      </c>
      <c r="F156" s="129"/>
    </row>
    <row r="157" spans="1:7" x14ac:dyDescent="0.25">
      <c r="B157" s="112" t="str">
        <f t="shared" si="4"/>
        <v>Total</v>
      </c>
      <c r="C157" s="285">
        <f>C155+C156</f>
        <v>474.7305619778748</v>
      </c>
      <c r="D157" s="142">
        <f>D155+D156</f>
        <v>1</v>
      </c>
    </row>
    <row r="158" spans="1:7" x14ac:dyDescent="0.25">
      <c r="C158" s="129"/>
    </row>
    <row r="159" spans="1:7" x14ac:dyDescent="0.25">
      <c r="B159" s="112" t="str">
        <f>B85</f>
        <v>Sources</v>
      </c>
      <c r="C159" s="129"/>
    </row>
    <row r="160" spans="1:7" x14ac:dyDescent="0.25">
      <c r="B160" t="str">
        <f>B87</f>
        <v>Senior debt</v>
      </c>
      <c r="C160" s="126">
        <f>'Plant model'!E1782</f>
        <v>330</v>
      </c>
      <c r="D160" s="72">
        <f>C160/C163</f>
        <v>0.68993876682258248</v>
      </c>
      <c r="F160" s="129"/>
    </row>
    <row r="161" spans="2:6" x14ac:dyDescent="0.25">
      <c r="B161" t="str">
        <f>B88</f>
        <v>Working capital financing</v>
      </c>
      <c r="C161" s="126">
        <f>'Plant model'!E1783</f>
        <v>11.714318548527149</v>
      </c>
      <c r="D161" s="72">
        <f>C161/C163</f>
        <v>2.4491401495568863E-2</v>
      </c>
      <c r="F161" s="129"/>
    </row>
    <row r="162" spans="2:6" x14ac:dyDescent="0.25">
      <c r="B162" t="str">
        <f>B89</f>
        <v>Equity before cost overrun</v>
      </c>
      <c r="C162" s="126">
        <f>'Plant model'!E1784</f>
        <v>136.58899743959938</v>
      </c>
      <c r="D162" s="72">
        <f>C162/C163</f>
        <v>0.28556983168184868</v>
      </c>
      <c r="F162" s="129"/>
    </row>
    <row r="163" spans="2:6" x14ac:dyDescent="0.25">
      <c r="B163" s="112" t="str">
        <f>B90</f>
        <v>Total before cost overrun</v>
      </c>
      <c r="C163" s="285">
        <f>SUM(C160:C162)</f>
        <v>478.30331598812654</v>
      </c>
      <c r="D163" s="142">
        <f>SUM(D160:D162)</f>
        <v>1</v>
      </c>
      <c r="F163" s="129"/>
    </row>
    <row r="164" spans="2:6" x14ac:dyDescent="0.25">
      <c r="C164" s="129"/>
    </row>
    <row r="165" spans="2:6" x14ac:dyDescent="0.25">
      <c r="B165" s="112" t="str">
        <f>B92</f>
        <v>Cost overrun required</v>
      </c>
      <c r="C165" s="129"/>
    </row>
    <row r="166" spans="2:6" x14ac:dyDescent="0.25">
      <c r="B166" t="str">
        <f>B93</f>
        <v>Debt</v>
      </c>
      <c r="C166" s="126">
        <f>'Plant model'!E1788</f>
        <v>0</v>
      </c>
      <c r="D166" s="72" t="e">
        <f>C166/C168</f>
        <v>#DIV/0!</v>
      </c>
    </row>
    <row r="167" spans="2:6" x14ac:dyDescent="0.25">
      <c r="B167" t="str">
        <f>B94</f>
        <v>Equity</v>
      </c>
      <c r="C167" s="126">
        <f>'Plant model'!E1789</f>
        <v>0</v>
      </c>
      <c r="D167" s="72" t="e">
        <f>C167/C168</f>
        <v>#DIV/0!</v>
      </c>
    </row>
    <row r="168" spans="2:6" x14ac:dyDescent="0.25">
      <c r="B168" s="112" t="str">
        <f>B95</f>
        <v>Total</v>
      </c>
      <c r="C168" s="144">
        <f>SUM(C166:C167)</f>
        <v>0</v>
      </c>
      <c r="D168" s="142" t="e">
        <f>SUM(D166:D167)</f>
        <v>#DIV/0!</v>
      </c>
    </row>
    <row r="169" spans="2:6" x14ac:dyDescent="0.25">
      <c r="C169" s="129"/>
    </row>
    <row r="170" spans="2:6" x14ac:dyDescent="0.25">
      <c r="B170" t="str">
        <f>B97</f>
        <v>Total debt</v>
      </c>
      <c r="C170" s="126">
        <f>'Plant model'!E1791</f>
        <v>340</v>
      </c>
      <c r="D170" s="72">
        <f>C170/C173</f>
        <v>0.69628853392481849</v>
      </c>
    </row>
    <row r="171" spans="2:6" x14ac:dyDescent="0.25">
      <c r="B171" t="str">
        <f>B98</f>
        <v>Working capital financing</v>
      </c>
      <c r="C171" s="126">
        <f>'Plant model'!E1792</f>
        <v>11.714318548527149</v>
      </c>
      <c r="D171" s="72">
        <f>C171/C173</f>
        <v>2.3989840259065517E-2</v>
      </c>
    </row>
    <row r="172" spans="2:6" x14ac:dyDescent="0.25">
      <c r="B172" t="str">
        <f>B99</f>
        <v>Total equity</v>
      </c>
      <c r="C172" s="126">
        <f>'Plant model'!E1793</f>
        <v>136.58899743959938</v>
      </c>
      <c r="D172" s="72">
        <f>C172/C173</f>
        <v>0.27972162581611598</v>
      </c>
    </row>
    <row r="173" spans="2:6" x14ac:dyDescent="0.25">
      <c r="B173" s="112" t="str">
        <f>B100</f>
        <v>Total sources</v>
      </c>
      <c r="C173" s="285">
        <f>SUM(C170:C172)</f>
        <v>488.30331598812654</v>
      </c>
      <c r="D173" s="142">
        <f>SUM(D170:D172)</f>
        <v>1</v>
      </c>
    </row>
    <row r="176" spans="2:6" x14ac:dyDescent="0.25">
      <c r="B176" s="112" t="str">
        <f>B103</f>
        <v>Credit Metrics</v>
      </c>
    </row>
    <row r="177" spans="2:22" x14ac:dyDescent="0.25">
      <c r="B177" t="str">
        <f>B104</f>
        <v>LLC at Financial Completion</v>
      </c>
      <c r="D177" s="286">
        <f>'Plant model'!E1498</f>
        <v>2.0843424853768608</v>
      </c>
    </row>
    <row r="178" spans="2:22" x14ac:dyDescent="0.25">
      <c r="B178" t="str">
        <f>B105</f>
        <v>Minimum DSCR - Senior debt</v>
      </c>
      <c r="D178" s="286">
        <f>'Plant model'!G1492</f>
        <v>-7.1396747185905118</v>
      </c>
    </row>
    <row r="179" spans="2:22" x14ac:dyDescent="0.25">
      <c r="B179" t="str">
        <f>B106</f>
        <v>Average DSCR - Senior debt</v>
      </c>
      <c r="D179" s="286">
        <f>AVERAGE('Plant model'!I1492:AE1492)</f>
        <v>2.4505892349281631</v>
      </c>
    </row>
    <row r="181" spans="2:22" s="116" customFormat="1" x14ac:dyDescent="0.25"/>
    <row r="183" spans="2:22" x14ac:dyDescent="0.25">
      <c r="B183" s="112" t="s">
        <v>488</v>
      </c>
      <c r="M183" s="112"/>
    </row>
    <row r="184" spans="2:22" x14ac:dyDescent="0.25">
      <c r="B184" s="112"/>
      <c r="D184" s="135" t="s">
        <v>343</v>
      </c>
      <c r="E184" s="184"/>
      <c r="F184" s="184"/>
      <c r="G184" s="184"/>
      <c r="H184" s="184"/>
      <c r="I184" s="184"/>
      <c r="J184" s="184"/>
      <c r="M184" s="185"/>
      <c r="N184" s="186"/>
      <c r="O184" s="135" t="s">
        <v>539</v>
      </c>
      <c r="P184" s="184"/>
      <c r="Q184" s="184"/>
      <c r="R184" s="184"/>
      <c r="S184" s="184"/>
      <c r="T184" s="184"/>
      <c r="U184" s="184"/>
    </row>
    <row r="185" spans="2:22" x14ac:dyDescent="0.25">
      <c r="D185" s="147">
        <v>0.7</v>
      </c>
      <c r="E185" s="72">
        <f t="shared" ref="E185:J185" si="6">D185+0.1</f>
        <v>0.79999999999999993</v>
      </c>
      <c r="F185" s="72">
        <f>E185+0.1</f>
        <v>0.89999999999999991</v>
      </c>
      <c r="G185" s="72">
        <f t="shared" si="6"/>
        <v>0.99999999999999989</v>
      </c>
      <c r="H185" s="72">
        <f t="shared" si="6"/>
        <v>1.0999999999999999</v>
      </c>
      <c r="I185" s="72">
        <f t="shared" si="6"/>
        <v>1.2</v>
      </c>
      <c r="J185" s="72">
        <f t="shared" si="6"/>
        <v>1.3</v>
      </c>
      <c r="M185" s="185"/>
      <c r="N185" s="187"/>
      <c r="O185" s="72">
        <f>D185</f>
        <v>0.7</v>
      </c>
      <c r="P185" s="72">
        <f t="shared" ref="P185:U185" si="7">E185</f>
        <v>0.79999999999999993</v>
      </c>
      <c r="Q185" s="72">
        <f t="shared" si="7"/>
        <v>0.89999999999999991</v>
      </c>
      <c r="R185" s="72">
        <f t="shared" si="7"/>
        <v>0.99999999999999989</v>
      </c>
      <c r="S185" s="72">
        <f t="shared" si="7"/>
        <v>1.0999999999999999</v>
      </c>
      <c r="T185" s="72">
        <f t="shared" si="7"/>
        <v>1.2</v>
      </c>
      <c r="U185" s="72">
        <f t="shared" si="7"/>
        <v>1.3</v>
      </c>
      <c r="V185" s="72"/>
    </row>
    <row r="186" spans="2:22" x14ac:dyDescent="0.25">
      <c r="B186" s="118" t="str">
        <f>'Plant model'!C82</f>
        <v>Pig Iron Price</v>
      </c>
      <c r="C186" s="149">
        <f>'Plant model'!E82</f>
        <v>1</v>
      </c>
      <c r="D186" s="450" t="e">
        <f ca="1">IF(AND($C186=D$185,$C187=1,$C188=1,$C189=1,$C190=1),'Plant model'!$G$1394,'Charts 2'!D186)</f>
        <v>#NAME?</v>
      </c>
      <c r="E186" s="450" t="e">
        <f ca="1">IF(AND($C186=E$185,$C187=1,$C188=1,$C189=1,$C190=1),'Plant model'!$G$1394,'Charts 2'!E186)</f>
        <v>#NAME?</v>
      </c>
      <c r="F186" s="450" t="e">
        <f ca="1">IF(AND($C186=F$185,$C187=1,$C188=1,$C189=1,$C190=1),'Plant model'!$G$1394,'Charts 2'!F186)</f>
        <v>#NAME?</v>
      </c>
      <c r="G186" s="450">
        <f>IF(AND($C186=G$185,$C187=1,$C188=1,$C189=1,$C190=1),'Plant model'!$G$1394,'Charts 2'!G186)</f>
        <v>466.47861646229853</v>
      </c>
      <c r="H186" s="450" t="e">
        <f ca="1">IF(AND($C186=H$185,$C187=1,$C188=1,$C189=1,$C190=1),'Plant model'!$G$1394,'Charts 2'!H186)</f>
        <v>#NAME?</v>
      </c>
      <c r="I186" s="450" t="e">
        <f ca="1">IF(AND($C186=I$185,$C187=1,$C188=1,$C189=1,$C190=1),'Plant model'!$G$1394,'Charts 2'!I186)</f>
        <v>#NAME?</v>
      </c>
      <c r="J186" s="450" t="e">
        <f ca="1">IF(AND($C186=J$185,$C187=1,$C188=1,$C189=1,$C190=1),'Plant model'!$G$1394,'Charts 2'!J186)</f>
        <v>#NAME?</v>
      </c>
      <c r="M186" s="189"/>
      <c r="N186" s="187">
        <f>C186</f>
        <v>1</v>
      </c>
      <c r="O186" s="129" t="e">
        <f ca="1">D186/'Plant model'!$E$14</f>
        <v>#NAME?</v>
      </c>
      <c r="P186" s="129" t="e">
        <f ca="1">E186/'Plant model'!$E$14</f>
        <v>#NAME?</v>
      </c>
      <c r="Q186" s="129" t="e">
        <f ca="1">F186/'Plant model'!$E$14</f>
        <v>#NAME?</v>
      </c>
      <c r="R186" s="129">
        <f>G186/'Plant model'!$E$14</f>
        <v>605.81638501597206</v>
      </c>
      <c r="S186" s="129" t="e">
        <f ca="1">H186/'Plant model'!$E$14</f>
        <v>#NAME?</v>
      </c>
      <c r="T186" s="129" t="e">
        <f ca="1">I186/'Plant model'!$E$14</f>
        <v>#NAME?</v>
      </c>
      <c r="U186" s="129" t="e">
        <f ca="1">J186/'Plant model'!$E$14</f>
        <v>#NAME?</v>
      </c>
    </row>
    <row r="187" spans="2:22" x14ac:dyDescent="0.25">
      <c r="B187" s="118" t="str">
        <f>'Plant model'!$C$83</f>
        <v>Opex</v>
      </c>
      <c r="C187" s="149">
        <f>'Plant model'!E83</f>
        <v>1</v>
      </c>
      <c r="D187" s="129">
        <f ca="1">IF(AND($C187=D$185,$C188=1,$C189=1,$C190=1),'Plant model'!$G$1394,'Charts 2'!D187)</f>
        <v>550.50094210868542</v>
      </c>
      <c r="E187" s="129">
        <f ca="1">IF(AND($C187=E$185,$C188=1,$C189=1,$C190=1),'Plant model'!$G$1394,'Charts 2'!E187)</f>
        <v>431.25619719560882</v>
      </c>
      <c r="F187" s="129">
        <f ca="1">IF(AND($C187=F$185,$C188=1,$C189=1,$C190=1),'Plant model'!$G$1394,'Charts 2'!F187)</f>
        <v>309.91531644868797</v>
      </c>
      <c r="G187" s="129">
        <f>IF(AND($C187=G$185,$C188=1,$C189=1,$C190=1),'Plant model'!$G$1394,'Charts 2'!G187)</f>
        <v>466.47861646229853</v>
      </c>
      <c r="H187" s="129">
        <f ca="1">IF(AND($C187=H$185,$C188=1,$C189=1,$C190=1),'Plant model'!$G$1394,'Charts 2'!H187)</f>
        <v>67.175612750663362</v>
      </c>
      <c r="I187" s="129">
        <f ca="1">IF(AND($C187=I$185,$C188=1,$C189=1,$C190=1),'Plant model'!$G$1394,'Charts 2'!I187)</f>
        <v>-54.194239098348845</v>
      </c>
      <c r="J187" s="129">
        <f ca="1">IF(AND($C187=J$185,$C188=1,$C189=1,$C190=1),'Plant model'!$G$1394,'Charts 2'!J187)</f>
        <v>-175.56409094736114</v>
      </c>
      <c r="M187" s="189"/>
      <c r="N187" s="187">
        <f>C187</f>
        <v>1</v>
      </c>
      <c r="O187" s="129">
        <f ca="1">D187/'Plant model'!$E$14</f>
        <v>692.88979497631897</v>
      </c>
      <c r="P187" s="129">
        <f ca="1">E187/'Plant model'!$E$14</f>
        <v>542.80201031542958</v>
      </c>
      <c r="Q187" s="129">
        <f ca="1">F187/'Plant model'!$E$14</f>
        <v>390.07591749362865</v>
      </c>
      <c r="R187" s="129">
        <f>G187/'Plant model'!$E$14</f>
        <v>605.81638501597206</v>
      </c>
      <c r="S187" s="129">
        <f ca="1">H187/'Plant model'!$E$14</f>
        <v>84.550802706939407</v>
      </c>
      <c r="T187" s="129">
        <f ca="1">I187/'Plant model'!$E$14</f>
        <v>-68.211754686405087</v>
      </c>
      <c r="U187" s="129">
        <f ca="1">J187/'Plant model'!$E$14</f>
        <v>-220.97431207974969</v>
      </c>
    </row>
    <row r="188" spans="2:22" x14ac:dyDescent="0.25">
      <c r="B188" s="118" t="str">
        <f>'Plant model'!$C$84</f>
        <v>Iron ore price</v>
      </c>
      <c r="C188" s="149">
        <f>'Plant model'!E84</f>
        <v>1</v>
      </c>
      <c r="D188" s="451">
        <f ca="1">IF(AND($C188=D$185,$C187=1,$C189=1,$C190=1),'Plant model'!$G$1394,'Charts 2'!D188)</f>
        <v>236.37355548304254</v>
      </c>
      <c r="E188" s="451">
        <f ca="1">IF(AND($C188=E$185,$C187=1,$C189=1,$C190=1),'Plant model'!$G$1394,'Charts 2'!E188)</f>
        <v>220.43085852192038</v>
      </c>
      <c r="F188" s="451">
        <f ca="1">IF(AND($C188=F$185,$C187=1,$C189=1,$C190=1),'Plant model'!$G$1394,'Charts 2'!F188)</f>
        <v>204.48816156079798</v>
      </c>
      <c r="G188" s="451">
        <f>IF(AND($C188=G$185,$C187=1,$C189=1,$C190=1),'Plant model'!$G$1394,'Charts 2'!G188)</f>
        <v>466.47861646229853</v>
      </c>
      <c r="H188" s="451">
        <f ca="1">IF(AND($C188=H$185,$C187=1,$C189=1,$C190=1),'Plant model'!$G$1394,'Charts 2'!H188)</f>
        <v>172.60276763855379</v>
      </c>
      <c r="I188" s="451">
        <f ca="1">IF(AND($C188=I$185,$C187=1,$C189=1,$C190=1),'Plant model'!$G$1394,'Charts 2'!I188)</f>
        <v>156.66007067743197</v>
      </c>
      <c r="J188" s="451">
        <f ca="1">IF(AND($C188=J$185,$C187=1,$C189=1,$C190=1),'Plant model'!$G$1394,'Charts 2'!J188)</f>
        <v>140.71737371630968</v>
      </c>
      <c r="M188" s="189"/>
      <c r="N188" s="187">
        <f>C188</f>
        <v>1</v>
      </c>
      <c r="O188" s="129">
        <f ca="1">D188/'Plant model'!$E$14</f>
        <v>297.51234170301137</v>
      </c>
      <c r="P188" s="129">
        <f ca="1">E188/'Plant model'!$E$14</f>
        <v>277.44601450210246</v>
      </c>
      <c r="Q188" s="129">
        <f ca="1">F188/'Plant model'!$E$14</f>
        <v>257.3796873011932</v>
      </c>
      <c r="R188" s="129">
        <f>G188/'Plant model'!$E$14</f>
        <v>605.81638501597206</v>
      </c>
      <c r="S188" s="129">
        <f ca="1">H188/'Plant model'!$E$14</f>
        <v>217.24703289937545</v>
      </c>
      <c r="T188" s="129">
        <f ca="1">I188/'Plant model'!$E$14</f>
        <v>197.18070569846694</v>
      </c>
      <c r="U188" s="129">
        <f ca="1">J188/'Plant model'!$E$14</f>
        <v>177.11437849755782</v>
      </c>
    </row>
    <row r="189" spans="2:22" x14ac:dyDescent="0.25">
      <c r="B189" s="118" t="str">
        <f>'Plant model'!$C$85</f>
        <v>Capex</v>
      </c>
      <c r="C189" s="149">
        <f>'Plant model'!E85</f>
        <v>1</v>
      </c>
      <c r="D189" s="129">
        <f ca="1">IF(AND($C189=D$185,$C187=1,$C188=1,$C190=1),'Plant model'!$G$1394,'Charts 2'!D189)</f>
        <v>283.16185417716213</v>
      </c>
      <c r="E189" s="129">
        <f ca="1">IF(AND($C189=E$185,$C187=1,$C188=1,$C190=1),'Plant model'!$G$1394,'Charts 2'!E189)</f>
        <v>251.650573942211</v>
      </c>
      <c r="F189" s="129">
        <f ca="1">IF(AND($C189=F$185,$C187=1,$C188=1,$C190=1),'Plant model'!$G$1394,'Charts 2'!F189)</f>
        <v>220.12014117768146</v>
      </c>
      <c r="G189" s="129">
        <f>IF(AND($C189=G$185,$C187=1,$C188=1,$C190=1),'Plant model'!$G$1394,'Charts 2'!G189)</f>
        <v>466.47861646229853</v>
      </c>
      <c r="H189" s="129">
        <f ca="1">IF(AND($C189=H$185,$C187=1,$C188=1,$C190=1),'Plant model'!$G$1394,'Charts 2'!H189)</f>
        <v>157.27290554656673</v>
      </c>
      <c r="I189" s="129">
        <f ca="1">IF(AND($C189=I$185,$C187=1,$C188=1,$C190=1),'Plant model'!$G$1394,'Charts 2'!I189)</f>
        <v>125.69822901531086</v>
      </c>
      <c r="J189" s="129">
        <f ca="1">IF(AND($C189=J$185,$C187=1,$C188=1,$C190=1),'Plant model'!$G$1394,'Charts 2'!J189)</f>
        <v>94.123552452351291</v>
      </c>
      <c r="M189" s="189"/>
      <c r="N189" s="187">
        <f>C189</f>
        <v>1</v>
      </c>
      <c r="O189" s="129">
        <f ca="1">D189/'Plant model'!$E$14</f>
        <v>356.40258549674274</v>
      </c>
      <c r="P189" s="129">
        <f ca="1">E189/'Plant model'!$E$14</f>
        <v>316.7408104999509</v>
      </c>
      <c r="Q189" s="129">
        <f ca="1">F189/'Plant model'!$E$14</f>
        <v>277.05492910973123</v>
      </c>
      <c r="R189" s="129">
        <f>G189/'Plant model'!$E$14</f>
        <v>605.81638501597206</v>
      </c>
      <c r="S189" s="129">
        <f ca="1">H189/'Plant model'!$E$14</f>
        <v>197.95205229272088</v>
      </c>
      <c r="T189" s="129">
        <f ca="1">I189/'Plant model'!$E$14</f>
        <v>158.21048334211562</v>
      </c>
      <c r="U189" s="129">
        <f ca="1">J189/'Plant model'!$E$14</f>
        <v>118.46891435160641</v>
      </c>
    </row>
    <row r="190" spans="2:22" x14ac:dyDescent="0.25">
      <c r="B190" s="118" t="str">
        <f>'Plant model'!$C$86</f>
        <v>FX Rate</v>
      </c>
      <c r="C190" s="149">
        <f>'Plant model'!E86</f>
        <v>1</v>
      </c>
      <c r="D190" s="129">
        <f ca="1">IF(AND($C190=D$185,$C187=1,$C188=1,$C189=1),'Plant model'!$G$1394,'Charts 2'!D190)</f>
        <v>266.7600078891881</v>
      </c>
      <c r="E190" s="129">
        <f ca="1">IF(AND($C190=E$185,$C187=1,$C188=1,$C189=1),'Plant model'!$G$1394,'Charts 2'!E190)</f>
        <v>240.68849345935061</v>
      </c>
      <c r="F190" s="129">
        <f ca="1">IF(AND($C190=F$185,$C187=1,$C188=1,$C189=1),'Plant model'!$G$1394,'Charts 2'!F190)</f>
        <v>214.61697902951303</v>
      </c>
      <c r="G190" s="129">
        <f>IF(AND($C190=G$185,$C187=1,$C188=1,$C189=1),'Plant model'!$G$1394,'Charts 2'!G190)</f>
        <v>466.47861646229853</v>
      </c>
      <c r="H190" s="129">
        <f ca="1">IF(AND($C190=H$185,$C187=1,$C188=1,$C189=1),'Plant model'!$G$1394,'Charts 2'!H190)</f>
        <v>162.47395016983796</v>
      </c>
      <c r="I190" s="129">
        <f ca="1">IF(AND($C190=I$185,$C187=1,$C188=1,$C189=1),'Plant model'!$G$1394,'Charts 2'!I190)</f>
        <v>136.40243574000039</v>
      </c>
      <c r="J190" s="129">
        <f ca="1">IF(AND($C190=J$185,$C187=1,$C188=1,$C189=1),'Plant model'!$G$1394,'Charts 2'!J190)</f>
        <v>110.33092131016295</v>
      </c>
      <c r="M190" s="189"/>
      <c r="N190" s="187">
        <f>C190</f>
        <v>1</v>
      </c>
      <c r="O190" s="129">
        <f ca="1">D190/'Plant model'!$E$14</f>
        <v>335.75834850747401</v>
      </c>
      <c r="P190" s="129">
        <f ca="1">E190/'Plant model'!$E$14</f>
        <v>302.94335237174403</v>
      </c>
      <c r="Q190" s="129">
        <f ca="1">F190/'Plant model'!$E$14</f>
        <v>270.12835623601387</v>
      </c>
      <c r="R190" s="129">
        <f>G190/'Plant model'!$E$14</f>
        <v>605.81638501597206</v>
      </c>
      <c r="S190" s="129">
        <f ca="1">H190/'Plant model'!$E$14</f>
        <v>204.49836396455376</v>
      </c>
      <c r="T190" s="129">
        <f ca="1">I190/'Plant model'!$E$14</f>
        <v>171.68336782882363</v>
      </c>
      <c r="U190" s="129">
        <f ca="1">J190/'Plant model'!$E$14</f>
        <v>138.86837169309371</v>
      </c>
    </row>
    <row r="191" spans="2:22" x14ac:dyDescent="0.25">
      <c r="M191" s="185"/>
      <c r="N191" s="185"/>
    </row>
    <row r="192" spans="2:22" x14ac:dyDescent="0.25">
      <c r="B192" s="117" t="str">
        <f>B186&amp;" (US$/t)"</f>
        <v>Pig Iron Price (US$/t)</v>
      </c>
      <c r="D192" s="129">
        <f ca="1">IF($C188=D$185,'Plant model'!$G$139,'Charts 2'!D192)</f>
        <v>0</v>
      </c>
      <c r="E192" s="129">
        <f ca="1">IF($C188=E$185,'Plant model'!$G$139,'Charts 2'!E192)</f>
        <v>0</v>
      </c>
      <c r="F192" s="129">
        <f ca="1">IF($C188=F$185,'Plant model'!$G$139,'Charts 2'!F192)</f>
        <v>0</v>
      </c>
      <c r="G192" s="129">
        <f>IF($C188=G$185,'Plant model'!$G$139,'Charts 2'!G192)</f>
        <v>0</v>
      </c>
      <c r="H192" s="129">
        <f ca="1">IF($C188=H$185,'Plant model'!$G$139,'Charts 2'!H192)</f>
        <v>0</v>
      </c>
      <c r="I192" s="129">
        <f ca="1">IF($C188=I$185,'Plant model'!$G$139,'Charts 2'!I192)</f>
        <v>0</v>
      </c>
      <c r="J192" s="129">
        <f ca="1">IF($C188=J$185,'Plant model'!$G$139,'Charts 2'!J192)</f>
        <v>0</v>
      </c>
      <c r="M192" s="189" t="s">
        <v>541</v>
      </c>
      <c r="N192" s="188"/>
      <c r="O192" s="129">
        <f ca="1">D192/'Plant model'!$E$14</f>
        <v>0</v>
      </c>
      <c r="P192" s="129">
        <f ca="1">E192/'Plant model'!$E$14</f>
        <v>0</v>
      </c>
      <c r="Q192" s="129">
        <f ca="1">F192/'Plant model'!$E$14</f>
        <v>0</v>
      </c>
      <c r="R192" s="129">
        <f>G192/'Plant model'!$E$14</f>
        <v>0</v>
      </c>
      <c r="S192" s="129">
        <f ca="1">H192/'Plant model'!$E$14</f>
        <v>0</v>
      </c>
      <c r="T192" s="129">
        <f ca="1">I192/'Plant model'!$E$14</f>
        <v>0</v>
      </c>
      <c r="U192" s="129">
        <f ca="1">J192/'Plant model'!$E$14</f>
        <v>0</v>
      </c>
    </row>
    <row r="193" spans="2:21" x14ac:dyDescent="0.25">
      <c r="B193" s="117" t="str">
        <f>B187&amp;" (US$/t)"</f>
        <v>Opex (US$/t)</v>
      </c>
      <c r="D193" s="129">
        <f ca="1">IF($C187=D$185,'Plant model'!$G$797+'Plant model'!$G$805,'Charts 2'!D193)</f>
        <v>312.88280225259894</v>
      </c>
      <c r="E193" s="129">
        <f ca="1">IF($C187=E$185,'Plant model'!$G$797+'Plant model'!$G$805,'Charts 2'!E193)</f>
        <v>357.58034543154167</v>
      </c>
      <c r="F193" s="129">
        <f ca="1">IF($C187=F$185,'Plant model'!$G$797+'Plant model'!$G$805,'Charts 2'!F193)</f>
        <v>402.27788861048452</v>
      </c>
      <c r="G193" s="129">
        <f>IF($C187=G$185,'Plant model'!$G$797+'Plant model'!$G$805,'Charts 2'!G193)</f>
        <v>364.88405527946469</v>
      </c>
      <c r="H193" s="129">
        <f ca="1">IF($C187=H$185,'Plant model'!$G$797+'Plant model'!$G$805,'Charts 2'!H193)</f>
        <v>491.67297496836983</v>
      </c>
      <c r="I193" s="129">
        <f ca="1">IF($C187=I$185,'Plant model'!$G$797+'Plant model'!$G$805,'Charts 2'!I193)</f>
        <v>536.37051814731251</v>
      </c>
      <c r="J193" s="129">
        <f ca="1">IF($C187=J$185,'Plant model'!$G$797+'Plant model'!$G$805,'Charts 2'!J193)</f>
        <v>581.06806132625513</v>
      </c>
      <c r="M193" s="189" t="s">
        <v>542</v>
      </c>
      <c r="N193" s="188"/>
      <c r="O193" s="129">
        <f ca="1">D193/'Plant model'!$E$14</f>
        <v>393.81095311843796</v>
      </c>
      <c r="P193" s="129">
        <f ca="1">E193/'Plant model'!$E$14</f>
        <v>450.06966070678624</v>
      </c>
      <c r="Q193" s="129">
        <f ca="1">F193/'Plant model'!$E$14</f>
        <v>506.32836829513474</v>
      </c>
      <c r="R193" s="129">
        <f>G193/'Plant model'!$E$14</f>
        <v>473.87539646683723</v>
      </c>
      <c r="S193" s="129">
        <f ca="1">H193/'Plant model'!$E$14</f>
        <v>618.84578347183117</v>
      </c>
      <c r="T193" s="129">
        <f ca="1">I193/'Plant model'!$E$14</f>
        <v>675.10449106017938</v>
      </c>
      <c r="U193" s="129">
        <f ca="1">J193/'Plant model'!$E$14</f>
        <v>731.3631986485276</v>
      </c>
    </row>
    <row r="194" spans="2:21" x14ac:dyDescent="0.25">
      <c r="B194" s="117" t="str">
        <f>B188&amp;" (US$/t)"</f>
        <v>Iron ore price (US$/t)</v>
      </c>
      <c r="D194" s="129">
        <f ca="1">IF($C188=D$185,'Plant model'!$G$199,'Charts 2'!D194)</f>
        <v>118.73388500000006</v>
      </c>
      <c r="E194" s="129">
        <f ca="1">IF($C188=E$185,'Plant model'!$G$199,'Charts 2'!E194)</f>
        <v>135.69586857142852</v>
      </c>
      <c r="F194" s="129">
        <f ca="1">IF($C188=F$185,'Plant model'!$G$199,'Charts 2'!F194)</f>
        <v>152.65785214285719</v>
      </c>
      <c r="G194" s="129">
        <f>IF($C188=G$185,'Plant model'!$G$199,'Charts 2'!G194)</f>
        <v>119.37078571428567</v>
      </c>
      <c r="H194" s="129">
        <f ca="1">IF($C188=H$185,'Plant model'!$G$199,'Charts 2'!H194)</f>
        <v>186.58181928571423</v>
      </c>
      <c r="I194" s="129">
        <f ca="1">IF($C188=I$185,'Plant model'!$G$199,'Charts 2'!I194)</f>
        <v>203.54380285714291</v>
      </c>
      <c r="J194" s="129">
        <f ca="1">IF($C188=J$185,'Plant model'!$G$199,'Charts 2'!J194)</f>
        <v>220.50578642857141</v>
      </c>
      <c r="M194" s="189" t="s">
        <v>543</v>
      </c>
      <c r="N194" s="188"/>
      <c r="O194" s="129">
        <f ca="1">D194/'Plant model'!$E$14</f>
        <v>149.4447891755822</v>
      </c>
      <c r="P194" s="129">
        <f ca="1">E194/'Plant model'!$E$14</f>
        <v>170.7940447720938</v>
      </c>
      <c r="Q194" s="129">
        <f ca="1">F194/'Plant model'!$E$14</f>
        <v>192.14330036860565</v>
      </c>
      <c r="R194" s="129">
        <f>G194/'Plant model'!$E$14</f>
        <v>155.02699443413724</v>
      </c>
      <c r="S194" s="129">
        <f ca="1">H194/'Plant model'!$E$14</f>
        <v>234.84181156162899</v>
      </c>
      <c r="T194" s="129">
        <f ca="1">I194/'Plant model'!$E$14</f>
        <v>256.19106715814087</v>
      </c>
      <c r="U194" s="129">
        <f ca="1">J194/'Plant model'!$E$14</f>
        <v>277.54032275465249</v>
      </c>
    </row>
    <row r="195" spans="2:21" x14ac:dyDescent="0.25">
      <c r="B195" s="117" t="str">
        <f>B189&amp;" (US$m)"</f>
        <v>Capex (US$m)</v>
      </c>
      <c r="D195" s="129">
        <f ca="1">IF($C189=D$185,'Plant model'!$E$1771,'Charts 2'!D195)</f>
        <v>272.92315389875688</v>
      </c>
      <c r="E195" s="129">
        <f ca="1">IF($C189=E$185,'Plant model'!$E$1771,'Charts 2'!E195)</f>
        <v>312.43213901755689</v>
      </c>
      <c r="F195" s="129">
        <f ca="1">IF($C189=F$185,'Plant model'!$E$1771,'Charts 2'!F195)</f>
        <v>351.96804063656481</v>
      </c>
      <c r="G195" s="129">
        <f>IF($C189=G$185,'Plant model'!$E$1771,'Charts 2'!G195)</f>
        <v>465.57598916478941</v>
      </c>
      <c r="H195" s="129">
        <f ca="1">IF($C189=H$185,'Plant model'!$E$1771,'Charts 2'!H195)</f>
        <v>391.56612143716615</v>
      </c>
      <c r="I195" s="129">
        <f ca="1">IF($C189=I$185,'Plant model'!$E$1771,'Charts 2'!I195)</f>
        <v>391.56612143716615</v>
      </c>
      <c r="J195" s="129">
        <f ca="1">IF($C189=J$185,'Plant model'!$E$1771,'Charts 2'!J195)</f>
        <v>391.56612143716615</v>
      </c>
      <c r="M195" s="189" t="s">
        <v>540</v>
      </c>
      <c r="N195" s="188"/>
      <c r="O195" s="129">
        <f ca="1">D195/'Plant model'!$E$14</f>
        <v>343.51561220737176</v>
      </c>
      <c r="P195" s="129">
        <f ca="1">E195/'Plant model'!$E$14</f>
        <v>393.24372437703823</v>
      </c>
      <c r="Q195" s="129">
        <f ca="1">F195/'Plant model'!$E$14</f>
        <v>443.00571508692866</v>
      </c>
      <c r="R195" s="129">
        <f>G195/'Plant model'!$E$14</f>
        <v>604.64414177245374</v>
      </c>
      <c r="S195" s="129">
        <f ca="1">H195/'Plant model'!$E$14</f>
        <v>492.84596782525631</v>
      </c>
      <c r="T195" s="129">
        <f ca="1">I195/'Plant model'!$E$14</f>
        <v>492.84596782525631</v>
      </c>
      <c r="U195" s="129">
        <f ca="1">J195/'Plant model'!$E$14</f>
        <v>492.84596782525631</v>
      </c>
    </row>
    <row r="196" spans="2:21" x14ac:dyDescent="0.25">
      <c r="B196" s="117" t="str">
        <f>B190&amp;" (C$:US$)"</f>
        <v>FX Rate (C$:US$)</v>
      </c>
      <c r="D196" s="133">
        <f ca="1">IF($C190=D$185,'Plant model'!$G$14,'Charts 2'!D196)</f>
        <v>0.55230000000000001</v>
      </c>
      <c r="E196" s="133">
        <f ca="1">IF($C190=E$185,'Plant model'!$G$14,'Charts 2'!E196)</f>
        <v>0.63119999999999998</v>
      </c>
      <c r="F196" s="133">
        <f ca="1">IF($C190=F$185,'Plant model'!$G$14,'Charts 2'!F196)</f>
        <v>0.71010000000000018</v>
      </c>
      <c r="G196" s="133">
        <f>IF($C190=G$185,'Plant model'!$G$14,'Charts 2'!G196)</f>
        <v>0.7699999999999998</v>
      </c>
      <c r="H196" s="133">
        <f ca="1">IF($C190=H$185,'Plant model'!$G$14,'Charts 2'!H196)</f>
        <v>0.86790000000000034</v>
      </c>
      <c r="I196" s="133">
        <f ca="1">IF($C190=I$185,'Plant model'!$G$14,'Charts 2'!I196)</f>
        <v>0.94679999999999986</v>
      </c>
      <c r="J196" s="133">
        <f ca="1">IF($C190=J$185,'Plant model'!$G$14,'Charts 2'!J196)</f>
        <v>1.0257000000000003</v>
      </c>
      <c r="M196" s="117" t="s">
        <v>544</v>
      </c>
      <c r="N196" s="188"/>
      <c r="O196" s="133">
        <f ca="1">D196</f>
        <v>0.55230000000000001</v>
      </c>
      <c r="P196" s="133">
        <f t="shared" ref="P196:U196" ca="1" si="8">E196</f>
        <v>0.63119999999999998</v>
      </c>
      <c r="Q196" s="133">
        <f t="shared" ca="1" si="8"/>
        <v>0.71010000000000018</v>
      </c>
      <c r="R196" s="133">
        <f t="shared" si="8"/>
        <v>0.7699999999999998</v>
      </c>
      <c r="S196" s="133">
        <f t="shared" ca="1" si="8"/>
        <v>0.86790000000000034</v>
      </c>
      <c r="T196" s="133">
        <f t="shared" ca="1" si="8"/>
        <v>0.94679999999999986</v>
      </c>
      <c r="U196" s="133">
        <f t="shared" ca="1" si="8"/>
        <v>1.0257000000000003</v>
      </c>
    </row>
    <row r="197" spans="2:21" x14ac:dyDescent="0.25">
      <c r="M197" s="185"/>
      <c r="N197" s="185"/>
      <c r="O197" s="185"/>
      <c r="P197" s="185"/>
      <c r="Q197" s="185"/>
      <c r="R197" s="185"/>
      <c r="S197" s="185"/>
      <c r="T197" s="185"/>
    </row>
    <row r="198" spans="2:21" x14ac:dyDescent="0.25">
      <c r="M198" s="185"/>
      <c r="N198" s="185"/>
      <c r="O198" s="185"/>
      <c r="P198" s="185"/>
      <c r="Q198" s="185"/>
      <c r="R198" s="185"/>
      <c r="S198" s="185"/>
      <c r="T198" s="185"/>
    </row>
    <row r="216" spans="2:21" x14ac:dyDescent="0.25">
      <c r="B216" s="112" t="s">
        <v>756</v>
      </c>
      <c r="M216" s="112"/>
    </row>
    <row r="217" spans="2:21" x14ac:dyDescent="0.25">
      <c r="B217" s="112"/>
    </row>
    <row r="218" spans="2:21" x14ac:dyDescent="0.25">
      <c r="D218" s="71">
        <f>D185</f>
        <v>0.7</v>
      </c>
      <c r="E218" s="71">
        <f t="shared" ref="E218:J218" si="9">E185</f>
        <v>0.79999999999999993</v>
      </c>
      <c r="F218" s="71">
        <f t="shared" si="9"/>
        <v>0.89999999999999991</v>
      </c>
      <c r="G218" s="71">
        <f t="shared" si="9"/>
        <v>0.99999999999999989</v>
      </c>
      <c r="H218" s="71">
        <f t="shared" si="9"/>
        <v>1.0999999999999999</v>
      </c>
      <c r="I218" s="71">
        <f t="shared" si="9"/>
        <v>1.2</v>
      </c>
      <c r="J218" s="71">
        <f t="shared" si="9"/>
        <v>1.3</v>
      </c>
      <c r="O218" s="71"/>
      <c r="P218" s="71"/>
      <c r="Q218" s="71"/>
      <c r="R218" s="71"/>
      <c r="S218" s="71"/>
      <c r="T218" s="71"/>
      <c r="U218" s="71"/>
    </row>
    <row r="219" spans="2:21" x14ac:dyDescent="0.25">
      <c r="B219" s="118" t="str">
        <f>'Plant model'!$C$82</f>
        <v>Pig Iron Price</v>
      </c>
      <c r="C219" s="71">
        <f>C186</f>
        <v>1</v>
      </c>
      <c r="D219" s="452" t="e">
        <f ca="1">IF(AND($C$219=D$218,$C$220=1,$C$221=1,$C$222=1,$C$223=1),'Plant model'!$G$1385,'Charts 2'!D219)</f>
        <v>#NAME?</v>
      </c>
      <c r="E219" s="452" t="e">
        <f ca="1">IF(AND($C$219=E$218,$C$220=1,$C$221=1,$C$222=1,$C$223=1),'Plant model'!$G$1385,'Charts 2'!E219)</f>
        <v>#NAME?</v>
      </c>
      <c r="F219" s="452" t="e">
        <f ca="1">IF(AND($C$219=F$218,$C$220=1,$C$221=1,$C$222=1,$C$223=1),'Plant model'!$G$1385,'Charts 2'!F219)</f>
        <v>#NAME?</v>
      </c>
      <c r="G219" s="452">
        <f>IF(AND($C$219=G$218,$C$220=1,$C$221=1,$C$222=1,$C$223=1),'Plant model'!$G$1385,'Charts 2'!G219)</f>
        <v>0.20405463977629545</v>
      </c>
      <c r="H219" s="452" t="e">
        <f ca="1">IF(AND($C$219=H$218,$C$220=1,$C$221=1,$C$222=1,$C$223=1),'Plant model'!$G$1385,'Charts 2'!H219)</f>
        <v>#NAME?</v>
      </c>
      <c r="I219" s="452" t="e">
        <f ca="1">IF(AND($C$219=I$218,$C$220=1,$C$221=1,$C$222=1,$C$223=1),'Plant model'!$G$1385,'Charts 2'!I219)</f>
        <v>#NAME?</v>
      </c>
      <c r="J219" s="452" t="e">
        <f ca="1">IF(AND($C$219=J$218,$C$220=1,$C$221=1,$C$222=1,$C$223=1),'Plant model'!$G$1385,'Charts 2'!J219)</f>
        <v>#NAME?</v>
      </c>
      <c r="M219" s="117"/>
      <c r="N219" s="71"/>
      <c r="O219" s="72"/>
      <c r="P219" s="72"/>
      <c r="Q219" s="72"/>
      <c r="R219" s="72"/>
      <c r="S219" s="72"/>
      <c r="T219" s="72"/>
      <c r="U219" s="72"/>
    </row>
    <row r="220" spans="2:21" x14ac:dyDescent="0.25">
      <c r="B220" s="118" t="str">
        <f>'Plant model'!$C$83</f>
        <v>Opex</v>
      </c>
      <c r="C220" s="71">
        <f>C187</f>
        <v>1</v>
      </c>
      <c r="D220" s="72">
        <f ca="1">IF(AND($C$220=D$218,$C$221=1,$C$222=1,$C$223=1),'Plant model'!$G$1385,'Charts 2'!D220)</f>
        <v>0.25369725539074661</v>
      </c>
      <c r="E220" s="72">
        <f ca="1">IF(AND($C$220=E$218,$C$221=1,$C$222=1,$C$223=1),'Plant model'!$G$1385,'Charts 2'!E220)</f>
        <v>0.22255714268313609</v>
      </c>
      <c r="F220" s="72">
        <f ca="1">IF(AND($C$220=F$218,$C$221=1,$C$222=1,$C$223=1),'Plant model'!$G$1385,'Charts 2'!F220)</f>
        <v>0.18950698578159342</v>
      </c>
      <c r="G220" s="72">
        <f>IF(AND($C$220=G$218,$C$221=1,$C$222=1,$C$223=1),'Plant model'!$G$1385,'Charts 2'!G220)</f>
        <v>0.20405463977629545</v>
      </c>
      <c r="H220" s="72">
        <f ca="1">IF(AND($C$220=H$218,$C$221=1,$C$222=1,$C$223=1),'Plant model'!$G$1385,'Charts 2'!H220)</f>
        <v>0.11490952751361094</v>
      </c>
      <c r="I220" s="72">
        <f ca="1">IF(AND($C$220=I$218,$C$221=1,$C$222=1,$C$223=1),'Plant model'!$G$1385,'Charts 2'!I220)</f>
        <v>7.0300521768470237E-2</v>
      </c>
      <c r="J220" s="72">
        <f ca="1">IF(AND($C$220=J$218,$C$221=1,$C$222=1,$C$223=1),'Plant model'!$G$1385,'Charts 2'!J220)</f>
        <v>6.8049620792822729E-3</v>
      </c>
      <c r="M220" s="117"/>
      <c r="N220" s="71"/>
      <c r="O220" s="72"/>
      <c r="P220" s="72"/>
      <c r="Q220" s="72"/>
      <c r="R220" s="72"/>
      <c r="S220" s="72"/>
      <c r="T220" s="72"/>
      <c r="U220" s="72"/>
    </row>
    <row r="221" spans="2:21" x14ac:dyDescent="0.25">
      <c r="B221" s="118" t="str">
        <f>'Plant model'!$C$84</f>
        <v>Iron ore price</v>
      </c>
      <c r="C221" s="71">
        <f>C188</f>
        <v>1</v>
      </c>
      <c r="D221" s="72">
        <f ca="1">IF(AND($C$220=1,$C$221=D$218,$C$222=1,$C$223=1),'Plant model'!$G$1385,'Charts 2'!D221)</f>
        <v>0.16941129515358089</v>
      </c>
      <c r="E221" s="72">
        <f ca="1">IF(AND($C$220=1,$C$221=E$218,$C$222=1,$C$223=1),'Plant model'!$G$1385,'Charts 2'!E221)</f>
        <v>0.16424457613563237</v>
      </c>
      <c r="F221" s="72">
        <f ca="1">IF(AND($C$220=1,$C$221=F$218,$C$222=1,$C$223=1),'Plant model'!$G$1385,'Charts 2'!F221)</f>
        <v>0.15908578868420498</v>
      </c>
      <c r="G221" s="72">
        <f>IF(AND($C$220=1,$C$221=G$218,$C$222=1,$C$223=1),'Plant model'!$G$1385,'Charts 2'!G221)</f>
        <v>0.20405463977629545</v>
      </c>
      <c r="H221" s="72">
        <f ca="1">IF(AND($C$220=1,$C$221=H$218,$C$222=1,$C$223=1),'Plant model'!$G$1385,'Charts 2'!H221)</f>
        <v>0.14875255911122265</v>
      </c>
      <c r="I221" s="72">
        <f ca="1">IF(AND($C$220=1,$C$221=I$218,$C$222=1,$C$223=1),'Plant model'!$G$1385,'Charts 2'!I221)</f>
        <v>0.14356993636431437</v>
      </c>
      <c r="J221" s="72">
        <f ca="1">IF(AND($C$220=1,$C$221=J$218,$C$222=1,$C$223=1),'Plant model'!$G$1385,'Charts 2'!J221)</f>
        <v>0.13838688724268677</v>
      </c>
      <c r="M221" s="117"/>
      <c r="N221" s="71"/>
      <c r="O221" s="72"/>
      <c r="P221" s="72"/>
      <c r="Q221" s="72"/>
      <c r="R221" s="72"/>
      <c r="S221" s="72"/>
      <c r="T221" s="72"/>
      <c r="U221" s="72"/>
    </row>
    <row r="222" spans="2:21" x14ac:dyDescent="0.25">
      <c r="B222" s="118" t="str">
        <f>'Plant model'!$C$85</f>
        <v>Capex</v>
      </c>
      <c r="C222" s="71">
        <f>C189</f>
        <v>1</v>
      </c>
      <c r="D222" s="72">
        <f ca="1">IF(AND($C$220=1,$C$221=1,$C$222=D$218,$C$223=1),'Plant model'!$G$1385,'Charts 2'!D222)</f>
        <v>0.2108645281224184</v>
      </c>
      <c r="E222" s="72">
        <f ca="1">IF(AND($C$220=1,$C$221=1,$C$222=E$218,$C$223=1),'Plant model'!$G$1385,'Charts 2'!E222)</f>
        <v>0.18847507371244432</v>
      </c>
      <c r="F222" s="72">
        <f ca="1">IF(AND($C$220=1,$C$221=1,$C$222=F$218,$C$223=1),'Plant model'!$G$1385,'Charts 2'!F222)</f>
        <v>0.16981177987672069</v>
      </c>
      <c r="G222" s="72">
        <f>IF(AND($C$220=1,$C$221=1,$C$222=G$218,$C$223=1),'Plant model'!$G$1385,'Charts 2'!G222)</f>
        <v>0.20405463977629545</v>
      </c>
      <c r="H222" s="72">
        <f ca="1">IF(AND($C$220=1,$C$221=1,$C$222=H$218,$C$223=1),'Plant model'!$G$1385,'Charts 2'!H222)</f>
        <v>0.14052997672239309</v>
      </c>
      <c r="I222" s="72">
        <f ca="1">IF(AND($C$220=1,$C$221=1,$C$222=I$218,$C$223=1),'Plant model'!$G$1385,'Charts 2'!I222)</f>
        <v>0.12854194509243255</v>
      </c>
      <c r="J222" s="72">
        <f ca="1">IF(AND($C$220=1,$C$221=1,$C$222=J$218,$C$223=1),'Plant model'!$G$1385,'Charts 2'!J222)</f>
        <v>0.11794957505848336</v>
      </c>
      <c r="M222" s="117"/>
      <c r="N222" s="71"/>
      <c r="O222" s="72"/>
      <c r="P222" s="72"/>
      <c r="Q222" s="72"/>
      <c r="R222" s="72"/>
      <c r="S222" s="72"/>
      <c r="T222" s="72"/>
      <c r="U222" s="72"/>
    </row>
    <row r="223" spans="2:21" x14ac:dyDescent="0.25">
      <c r="B223" s="118" t="str">
        <f>'Plant model'!$C$86</f>
        <v>FX Rate</v>
      </c>
      <c r="C223" s="71">
        <f>C190</f>
        <v>1</v>
      </c>
      <c r="D223" s="72">
        <f ca="1">IF(AND($C$220=1,$C$221=1,$C$222=1,$C$223=D$218),'Plant model'!$G$1385,'Charts 2'!D223)</f>
        <v>0.17778449315493372</v>
      </c>
      <c r="E223" s="72">
        <f ca="1">IF(AND($C$220=1,$C$221=1,$C$222=1,$C$223=E$218),'Plant model'!$G$1385,'Charts 2'!E223)</f>
        <v>0.16999399896557965</v>
      </c>
      <c r="F223" s="72">
        <f ca="1">IF(AND($C$220=1,$C$221=1,$C$222=1,$C$223=F$218),'Plant model'!$G$1385,'Charts 2'!F223)</f>
        <v>0.16203043063893419</v>
      </c>
      <c r="G223" s="72">
        <f>IF(AND($C$220=1,$C$221=1,$C$222=1,$C$223=G$218),'Plant model'!$G$1385,'Charts 2'!G223)</f>
        <v>0.20405463977629545</v>
      </c>
      <c r="H223" s="72">
        <f ca="1">IF(AND($C$220=1,$C$221=1,$C$222=1,$C$223=H$218),'Plant model'!$G$1385,'Charts 2'!H223)</f>
        <v>0.14562775253672999</v>
      </c>
      <c r="I223" s="72">
        <f ca="1">IF(AND($C$220=1,$C$221=1,$C$222=1,$C$223=I$218),'Plant model'!$G$1385,'Charts 2'!I223)</f>
        <v>0.13714791273921945</v>
      </c>
      <c r="J223" s="72">
        <f ca="1">IF(AND($C$220=1,$C$221=1,$C$222=1,$C$223=J$218),'Plant model'!$G$1385,'Charts 2'!J223)</f>
        <v>0.12845127221016805</v>
      </c>
      <c r="M223" s="117"/>
      <c r="N223" s="71"/>
      <c r="O223" s="72"/>
      <c r="P223" s="72"/>
      <c r="Q223" s="72"/>
      <c r="R223" s="72"/>
      <c r="S223" s="72"/>
      <c r="T223" s="72"/>
      <c r="U223" s="72"/>
    </row>
    <row r="225" spans="2:21" x14ac:dyDescent="0.25">
      <c r="B225" s="117" t="str">
        <f>B219&amp;" (USD/t)"</f>
        <v>Pig Iron Price (USD/t)</v>
      </c>
      <c r="D225" s="129">
        <f t="shared" ref="D225:J226" ca="1" si="10">D192</f>
        <v>0</v>
      </c>
      <c r="E225" s="129">
        <f t="shared" ca="1" si="10"/>
        <v>0</v>
      </c>
      <c r="F225" s="129">
        <f t="shared" ca="1" si="10"/>
        <v>0</v>
      </c>
      <c r="G225" s="129">
        <f t="shared" si="10"/>
        <v>0</v>
      </c>
      <c r="H225" s="129">
        <f t="shared" ca="1" si="10"/>
        <v>0</v>
      </c>
      <c r="I225" s="129">
        <f t="shared" ca="1" si="10"/>
        <v>0</v>
      </c>
      <c r="J225" s="129">
        <f t="shared" ca="1" si="10"/>
        <v>0</v>
      </c>
      <c r="M225" s="117"/>
      <c r="O225" s="129"/>
      <c r="P225" s="129"/>
      <c r="Q225" s="129"/>
      <c r="R225" s="129"/>
      <c r="S225" s="129"/>
      <c r="T225" s="129"/>
      <c r="U225" s="129"/>
    </row>
    <row r="226" spans="2:21" x14ac:dyDescent="0.25">
      <c r="B226" s="117" t="str">
        <f>B220&amp;" (USD/t)"</f>
        <v>Opex (USD/t)</v>
      </c>
      <c r="D226" s="129">
        <f t="shared" ca="1" si="10"/>
        <v>312.88280225259894</v>
      </c>
      <c r="E226" s="129">
        <f t="shared" ca="1" si="10"/>
        <v>357.58034543154167</v>
      </c>
      <c r="F226" s="129">
        <f t="shared" ca="1" si="10"/>
        <v>402.27788861048452</v>
      </c>
      <c r="G226" s="129">
        <f t="shared" si="10"/>
        <v>364.88405527946469</v>
      </c>
      <c r="H226" s="129">
        <f t="shared" ca="1" si="10"/>
        <v>491.67297496836983</v>
      </c>
      <c r="I226" s="129">
        <f t="shared" ca="1" si="10"/>
        <v>536.37051814731251</v>
      </c>
      <c r="J226" s="129">
        <f t="shared" ca="1" si="10"/>
        <v>581.06806132625513</v>
      </c>
      <c r="M226" s="117"/>
      <c r="O226" s="129"/>
      <c r="P226" s="129"/>
      <c r="Q226" s="129"/>
      <c r="R226" s="129"/>
      <c r="S226" s="129"/>
      <c r="T226" s="129"/>
      <c r="U226" s="129"/>
    </row>
    <row r="227" spans="2:21" x14ac:dyDescent="0.25">
      <c r="B227" s="117" t="str">
        <f>B221&amp;" (USD/t)"</f>
        <v>Iron ore price (USD/t)</v>
      </c>
      <c r="D227" s="129">
        <f ca="1">D194</f>
        <v>118.73388500000006</v>
      </c>
      <c r="E227" s="129">
        <f t="shared" ref="E227:J227" ca="1" si="11">E194</f>
        <v>135.69586857142852</v>
      </c>
      <c r="F227" s="129">
        <f t="shared" ca="1" si="11"/>
        <v>152.65785214285719</v>
      </c>
      <c r="G227" s="129">
        <f t="shared" si="11"/>
        <v>119.37078571428567</v>
      </c>
      <c r="H227" s="129">
        <f t="shared" ca="1" si="11"/>
        <v>186.58181928571423</v>
      </c>
      <c r="I227" s="129">
        <f t="shared" ca="1" si="11"/>
        <v>203.54380285714291</v>
      </c>
      <c r="J227" s="129">
        <f t="shared" ca="1" si="11"/>
        <v>220.50578642857141</v>
      </c>
      <c r="M227" s="117"/>
      <c r="O227" s="129"/>
      <c r="P227" s="129"/>
      <c r="Q227" s="129"/>
      <c r="R227" s="129"/>
      <c r="S227" s="129"/>
      <c r="T227" s="129"/>
      <c r="U227" s="129"/>
    </row>
    <row r="228" spans="2:21" x14ac:dyDescent="0.25">
      <c r="B228" s="117" t="str">
        <f>B222&amp;" (C$m)"</f>
        <v>Capex (C$m)</v>
      </c>
      <c r="D228" s="129">
        <f ca="1">D195</f>
        <v>272.92315389875688</v>
      </c>
      <c r="E228" s="129">
        <f t="shared" ref="E228:J228" ca="1" si="12">E195</f>
        <v>312.43213901755689</v>
      </c>
      <c r="F228" s="129">
        <f t="shared" ca="1" si="12"/>
        <v>351.96804063656481</v>
      </c>
      <c r="G228" s="129">
        <f t="shared" si="12"/>
        <v>465.57598916478941</v>
      </c>
      <c r="H228" s="129">
        <f t="shared" ca="1" si="12"/>
        <v>391.56612143716615</v>
      </c>
      <c r="I228" s="129">
        <f t="shared" ca="1" si="12"/>
        <v>391.56612143716615</v>
      </c>
      <c r="J228" s="129">
        <f t="shared" ca="1" si="12"/>
        <v>391.56612143716615</v>
      </c>
      <c r="M228" s="117"/>
      <c r="O228" s="129"/>
      <c r="P228" s="129"/>
      <c r="Q228" s="129"/>
      <c r="R228" s="129"/>
      <c r="S228" s="129"/>
      <c r="T228" s="129"/>
      <c r="U228" s="129"/>
    </row>
    <row r="229" spans="2:21" x14ac:dyDescent="0.25">
      <c r="B229" s="117" t="str">
        <f>B223&amp;" (C$:USD)"</f>
        <v>FX Rate (C$:USD)</v>
      </c>
      <c r="D229" s="133">
        <f ca="1">D196</f>
        <v>0.55230000000000001</v>
      </c>
      <c r="E229" s="133">
        <f t="shared" ref="E229:J229" ca="1" si="13">E196</f>
        <v>0.63119999999999998</v>
      </c>
      <c r="F229" s="133">
        <f t="shared" ca="1" si="13"/>
        <v>0.71010000000000018</v>
      </c>
      <c r="G229" s="133">
        <f t="shared" si="13"/>
        <v>0.7699999999999998</v>
      </c>
      <c r="H229" s="133">
        <f t="shared" ca="1" si="13"/>
        <v>0.86790000000000034</v>
      </c>
      <c r="I229" s="133">
        <f t="shared" ca="1" si="13"/>
        <v>0.94679999999999986</v>
      </c>
      <c r="J229" s="133">
        <f t="shared" ca="1" si="13"/>
        <v>1.0257000000000003</v>
      </c>
      <c r="M229" s="117"/>
      <c r="O229" s="133"/>
      <c r="P229" s="133"/>
      <c r="Q229" s="133"/>
      <c r="R229" s="133"/>
      <c r="S229" s="133"/>
      <c r="T229" s="133"/>
      <c r="U229" s="133"/>
    </row>
    <row r="247" spans="2:21" s="116" customFormat="1" x14ac:dyDescent="0.25"/>
    <row r="249" spans="2:21" x14ac:dyDescent="0.25">
      <c r="B249" s="112" t="s">
        <v>453</v>
      </c>
      <c r="M249" s="112"/>
    </row>
    <row r="250" spans="2:21" x14ac:dyDescent="0.25">
      <c r="B250" s="112"/>
    </row>
    <row r="251" spans="2:21" x14ac:dyDescent="0.25">
      <c r="B251" s="112"/>
      <c r="D251" s="135" t="s">
        <v>343</v>
      </c>
      <c r="E251" s="184"/>
      <c r="F251" s="184"/>
      <c r="G251" s="184"/>
      <c r="H251" s="184"/>
      <c r="I251" s="184"/>
      <c r="J251" s="184"/>
      <c r="M251" s="185"/>
      <c r="N251" s="186"/>
      <c r="O251" s="135" t="s">
        <v>539</v>
      </c>
      <c r="P251" s="184"/>
      <c r="Q251" s="184"/>
      <c r="R251" s="184"/>
      <c r="S251" s="184"/>
      <c r="T251" s="184"/>
      <c r="U251" s="184"/>
    </row>
    <row r="252" spans="2:21" x14ac:dyDescent="0.25">
      <c r="D252" s="147">
        <v>0.7</v>
      </c>
      <c r="E252" s="72">
        <f t="shared" ref="E252:J252" si="14">D252+0.1</f>
        <v>0.79999999999999993</v>
      </c>
      <c r="F252" s="72">
        <f>E252+0.1</f>
        <v>0.89999999999999991</v>
      </c>
      <c r="G252" s="72">
        <f t="shared" si="14"/>
        <v>0.99999999999999989</v>
      </c>
      <c r="H252" s="72">
        <f t="shared" si="14"/>
        <v>1.0999999999999999</v>
      </c>
      <c r="I252" s="72">
        <f t="shared" si="14"/>
        <v>1.2</v>
      </c>
      <c r="J252" s="72">
        <f t="shared" si="14"/>
        <v>1.3</v>
      </c>
      <c r="M252" s="185"/>
      <c r="N252" s="187"/>
      <c r="O252" s="72">
        <f t="shared" ref="O252:U252" si="15">D252</f>
        <v>0.7</v>
      </c>
      <c r="P252" s="72">
        <f t="shared" si="15"/>
        <v>0.79999999999999993</v>
      </c>
      <c r="Q252" s="72">
        <f t="shared" si="15"/>
        <v>0.89999999999999991</v>
      </c>
      <c r="R252" s="72">
        <f t="shared" si="15"/>
        <v>0.99999999999999989</v>
      </c>
      <c r="S252" s="72">
        <f t="shared" si="15"/>
        <v>1.0999999999999999</v>
      </c>
      <c r="T252" s="72">
        <f t="shared" si="15"/>
        <v>1.2</v>
      </c>
      <c r="U252" s="72">
        <f t="shared" si="15"/>
        <v>1.3</v>
      </c>
    </row>
    <row r="253" spans="2:21" x14ac:dyDescent="0.25">
      <c r="B253" s="118" t="str">
        <f>'Plant model'!$C$82</f>
        <v>Pig Iron Price</v>
      </c>
      <c r="C253" s="149">
        <f>'Plant model'!E82</f>
        <v>1</v>
      </c>
      <c r="D253" s="450" t="e">
        <f ca="1">IF(AND($C$253=D$252,$C$254=1,$C$255=1,$C$256=1,$C257=1),'Plant model'!$E$1487,'Charts 2'!D253)</f>
        <v>#NAME?</v>
      </c>
      <c r="E253" s="450">
        <f ca="1">IF(AND($C$253=E$252,$C$254=1,$C$255=1,$C$256=1,$C257=1),'Plant model'!$E$1487,'Charts 2'!E253)</f>
        <v>0</v>
      </c>
      <c r="F253" s="450" t="e">
        <f ca="1">IF(AND($C$253=F$252,$C$254=1,$C$255=1,$C$256=1,$C257=1),'Plant model'!$E$1487,'Charts 2'!F253)</f>
        <v>#NAME?</v>
      </c>
      <c r="G253" s="450">
        <f>IF(AND($C$253=G$252,$C$254=1,$C$255=1,$C$256=1,$C257=1),'Plant model'!$E$1487,'Charts 2'!G253)</f>
        <v>458.55534678290945</v>
      </c>
      <c r="H253" s="450" t="e">
        <f ca="1">IF(AND($C$253=H$252,$C$254=1,$C$255=1,$C$256=1,$C257=1),'Plant model'!$E$1487,'Charts 2'!H253)</f>
        <v>#NAME?</v>
      </c>
      <c r="I253" s="450" t="e">
        <f ca="1">IF(AND($C$253=I$252,$C$254=1,$C$255=1,$C$256=1,$C257=1),'Plant model'!$E$1487,'Charts 2'!I253)</f>
        <v>#NAME?</v>
      </c>
      <c r="J253" s="450" t="e">
        <f ca="1">IF(AND($C$253=J$252,$C$254=1,$C$255=1,$C$256=1,$C257=1),'Plant model'!$E$1487,'Charts 2'!J253)</f>
        <v>#NAME?</v>
      </c>
      <c r="M253" s="189"/>
      <c r="N253" s="187">
        <f>C253</f>
        <v>1</v>
      </c>
      <c r="O253" s="129" t="e">
        <f ca="1">D253/'Plant model'!$E$14</f>
        <v>#NAME?</v>
      </c>
      <c r="P253" s="129" t="e">
        <f ca="1">E253/'Plant model'!$E$14</f>
        <v>#NAME?</v>
      </c>
      <c r="Q253" s="129" t="e">
        <f ca="1">F253/'Plant model'!$E$14</f>
        <v>#NAME?</v>
      </c>
      <c r="R253" s="129">
        <f>G253/'Plant model'!$E$14</f>
        <v>595.52642439338888</v>
      </c>
      <c r="S253" s="129" t="e">
        <f ca="1">H253/'Plant model'!$E$14</f>
        <v>#NAME?</v>
      </c>
      <c r="T253" s="129" t="e">
        <f ca="1">I253/'Plant model'!$E$14</f>
        <v>#NAME?</v>
      </c>
      <c r="U253" s="129" t="e">
        <f ca="1">J253/'Plant model'!$E$14</f>
        <v>#NAME?</v>
      </c>
    </row>
    <row r="254" spans="2:21" x14ac:dyDescent="0.25">
      <c r="B254" s="118" t="str">
        <f>'Plant model'!$C$83</f>
        <v>Opex</v>
      </c>
      <c r="C254" s="149">
        <f>'Plant model'!E83</f>
        <v>1</v>
      </c>
      <c r="D254" s="129">
        <f ca="1">IF(AND($C$254=D$252,$C$255=1,$C$256=1,$C257=1),'Plant model'!$E$1487,'Charts 2'!D254)</f>
        <v>469.57488454157215</v>
      </c>
      <c r="E254" s="129">
        <f ca="1">IF(AND($C$254=E$252,$C$255=1,$C$256=1,$C257=1),'Plant model'!$E$1487,'Charts 2'!E254)</f>
        <v>412.83997050804902</v>
      </c>
      <c r="F254" s="129">
        <f ca="1">IF(AND($C$254=F$252,$C$255=1,$C$256=1,$C257=1),'Plant model'!$E$1487,'Charts 2'!F254)</f>
        <v>354.4557292258537</v>
      </c>
      <c r="G254" s="129">
        <f>IF(AND($C$254=G$252,$C$255=1,$C$256=1,$C257=1),'Plant model'!$E$1487,'Charts 2'!G254)</f>
        <v>458.55534678290945</v>
      </c>
      <c r="H254" s="129">
        <f ca="1">IF(AND($C$254=H$252,$C$255=1,$C$256=1,$C257=1),'Plant model'!$E$1487,'Charts 2'!H254)</f>
        <v>213.3250921296268</v>
      </c>
      <c r="I254" s="129">
        <f ca="1">IF(AND($C$254=I$252,$C$255=1,$C$256=1,$C257=1),'Plant model'!$E$1487,'Charts 2'!I254)</f>
        <v>140.65976338549069</v>
      </c>
      <c r="J254" s="129">
        <f ca="1">IF(AND($C$254=J$252,$C$255=1,$C$256=1,$C257=1),'Plant model'!$E$1487,'Charts 2'!J254)</f>
        <v>67.994434641354459</v>
      </c>
      <c r="M254" s="189"/>
      <c r="N254" s="187">
        <f>C254</f>
        <v>1</v>
      </c>
      <c r="O254" s="129">
        <f ca="1">D254/'Plant model'!$E$14</f>
        <v>591.03195033552186</v>
      </c>
      <c r="P254" s="129">
        <f ca="1">E254/'Plant model'!$E$14</f>
        <v>519.62236690755071</v>
      </c>
      <c r="Q254" s="129">
        <f ca="1">F254/'Plant model'!$E$14</f>
        <v>446.13685239251566</v>
      </c>
      <c r="R254" s="129">
        <f>G254/'Plant model'!$E$14</f>
        <v>595.52642439338888</v>
      </c>
      <c r="S254" s="129">
        <f ca="1">H254/'Plant model'!$E$14</f>
        <v>268.50231860242519</v>
      </c>
      <c r="T254" s="129">
        <f ca="1">I254/'Plant model'!$E$14</f>
        <v>177.04186706795556</v>
      </c>
      <c r="U254" s="129">
        <f ca="1">J254/'Plant model'!$E$14</f>
        <v>85.581415533485796</v>
      </c>
    </row>
    <row r="255" spans="2:21" x14ac:dyDescent="0.25">
      <c r="B255" s="118" t="str">
        <f>'Plant model'!$C$84</f>
        <v>Iron ore price</v>
      </c>
      <c r="C255" s="149">
        <f>'Plant model'!E84</f>
        <v>1</v>
      </c>
      <c r="D255" s="129">
        <f ca="1">IF(AND($C$254=1,$C$255=D$252,$C$256=1,$C257=1),'Plant model'!$E$1487,'Charts 2'!D255)</f>
        <v>316.50118375788298</v>
      </c>
      <c r="E255" s="129">
        <f ca="1">IF(AND($C$254=1,$C$255=E$252,$C$256=1,$C257=1),'Plant model'!$E$1487,'Charts 2'!E255)</f>
        <v>306.49235858249398</v>
      </c>
      <c r="F255" s="129">
        <f ca="1">IF(AND($C$254=1,$C$255=F$252,$C$256=1,$C257=1),'Plant model'!$E$1487,'Charts 2'!F255)</f>
        <v>296.24138972812841</v>
      </c>
      <c r="G255" s="129">
        <f>IF(AND($C$254=1,$C$255=G$252,$C$256=1,$C257=1),'Plant model'!$E$1487,'Charts 2'!G255)</f>
        <v>458.55534678290945</v>
      </c>
      <c r="H255" s="129">
        <f ca="1">IF(AND($C$254=1,$C$255=H$252,$C$256=1,$C257=1),'Plant model'!$E$1487,'Charts 2'!H255)</f>
        <v>275.73945201939779</v>
      </c>
      <c r="I255" s="129">
        <f ca="1">IF(AND($C$254=1,$C$255=I$252,$C$256=1,$C257=1),'Plant model'!$E$1487,'Charts 2'!I255)</f>
        <v>265.48848316503273</v>
      </c>
      <c r="J255" s="129">
        <f ca="1">IF(AND($C$254=1,$C$255=J$252,$C$256=1,$C257=1),'Plant model'!$E$1487,'Charts 2'!J255)</f>
        <v>255.23751431066736</v>
      </c>
      <c r="M255" s="189"/>
      <c r="N255" s="187">
        <f>C255</f>
        <v>1</v>
      </c>
      <c r="O255" s="129">
        <f ca="1">D255/'Plant model'!$E$14</f>
        <v>398.36524072735432</v>
      </c>
      <c r="P255" s="129">
        <f ca="1">E255/'Plant model'!$E$14</f>
        <v>385.76760048142728</v>
      </c>
      <c r="Q255" s="129">
        <f ca="1">F255/'Plant model'!$E$14</f>
        <v>372.86518530916101</v>
      </c>
      <c r="R255" s="129">
        <f>G255/'Plant model'!$E$14</f>
        <v>595.52642439338888</v>
      </c>
      <c r="S255" s="129">
        <f ca="1">H255/'Plant model'!$E$14</f>
        <v>347.06035496462908</v>
      </c>
      <c r="T255" s="129">
        <f ca="1">I255/'Plant model'!$E$14</f>
        <v>334.15793979236344</v>
      </c>
      <c r="U255" s="129">
        <f ca="1">J255/'Plant model'!$E$14</f>
        <v>321.25552462009739</v>
      </c>
    </row>
    <row r="256" spans="2:21" x14ac:dyDescent="0.25">
      <c r="B256" s="118" t="str">
        <f>'Plant model'!$C$85</f>
        <v>Capex</v>
      </c>
      <c r="C256" s="149">
        <f>'Plant model'!E85</f>
        <v>1</v>
      </c>
      <c r="D256" s="129">
        <f ca="1">IF(AND($C$254=1,$C$255=1,$C$256=D$252,$C257=1),'Plant model'!$E$1487,'Charts 2'!D256)</f>
        <v>283.61439246118744</v>
      </c>
      <c r="E256" s="129">
        <f ca="1">IF(AND($C$254=1,$C$255=1,$C$256=E$252,$C257=1),'Plant model'!$E$1487,'Charts 2'!E256)</f>
        <v>286.45241287564926</v>
      </c>
      <c r="F256" s="129">
        <f ca="1">IF(AND($C$254=1,$C$255=1,$C$256=F$252,$C257=1),'Plant model'!$E$1487,'Charts 2'!F256)</f>
        <v>287.22400594543296</v>
      </c>
      <c r="G256" s="129">
        <f>IF(AND($C$254=1,$C$255=1,$C$256=G$252,$C257=1),'Plant model'!$E$1487,'Charts 2'!G256)</f>
        <v>458.55534678290945</v>
      </c>
      <c r="H256" s="129">
        <f ca="1">IF(AND($C$254=1,$C$255=1,$C$256=H$252,$C257=1),'Plant model'!$E$1487,'Charts 2'!H256)</f>
        <v>284.76179571919755</v>
      </c>
      <c r="I256" s="129">
        <f ca="1">IF(AND($C$254=1,$C$255=1,$C$256=I$252,$C257=1),'Plant model'!$E$1487,'Charts 2'!I256)</f>
        <v>283.52817000792845</v>
      </c>
      <c r="J256" s="129">
        <f ca="1">IF(AND($C$254=1,$C$255=1,$C$256=J$252,$C257=1),'Plant model'!$E$1487,'Charts 2'!J256)</f>
        <v>282.29457136953664</v>
      </c>
      <c r="M256" s="189"/>
      <c r="N256" s="187">
        <f>C256</f>
        <v>1</v>
      </c>
      <c r="O256" s="129">
        <f ca="1">D256/'Plant model'!$E$14</f>
        <v>356.97217427462232</v>
      </c>
      <c r="P256" s="129">
        <f ca="1">E256/'Plant model'!$E$14</f>
        <v>360.54425786739995</v>
      </c>
      <c r="Q256" s="129">
        <f ca="1">F256/'Plant model'!$E$14</f>
        <v>361.51542598544114</v>
      </c>
      <c r="R256" s="129">
        <f>G256/'Plant model'!$E$14</f>
        <v>595.52642439338888</v>
      </c>
      <c r="S256" s="129">
        <f ca="1">H256/'Plant model'!$E$14</f>
        <v>358.41635710408752</v>
      </c>
      <c r="T256" s="129">
        <f ca="1">I256/'Plant model'!$E$14</f>
        <v>356.86365010437817</v>
      </c>
      <c r="U256" s="129">
        <f ca="1">J256/'Plant model'!$E$14</f>
        <v>355.31097718003355</v>
      </c>
    </row>
    <row r="257" spans="2:21" x14ac:dyDescent="0.25">
      <c r="B257" s="118" t="str">
        <f>'Plant model'!$C$86</f>
        <v>FX Rate</v>
      </c>
      <c r="C257" s="149">
        <f>'Plant model'!E86</f>
        <v>1</v>
      </c>
      <c r="D257" s="129">
        <f ca="1">IF(AND($C$254=1,$C$255=1,$C$256=1,$C257=D$252),'Plant model'!$E$1487,'Charts 2'!D257)</f>
        <v>331.44307394283976</v>
      </c>
      <c r="E257" s="129">
        <f ca="1">IF(AND($C$254=1,$C$255=1,$C$256=1,$C257=E$252),'Plant model'!$E$1487,'Charts 2'!E257)</f>
        <v>317.05934737100222</v>
      </c>
      <c r="F257" s="129">
        <f ca="1">IF(AND($C$254=1,$C$255=1,$C$256=1,$C257=F$252),'Plant model'!$E$1487,'Charts 2'!F257)</f>
        <v>301.77637611476376</v>
      </c>
      <c r="G257" s="129">
        <f>IF(AND($C$254=1,$C$255=1,$C$256=1,$C257=G$252),'Plant model'!$E$1487,'Charts 2'!G257)</f>
        <v>458.55534678290945</v>
      </c>
      <c r="H257" s="129">
        <f ca="1">IF(AND($C$254=1,$C$255=1,$C$256=1,$C257=H$252),'Plant model'!$E$1487,'Charts 2'!H257)</f>
        <v>270.20446563276215</v>
      </c>
      <c r="I257" s="129">
        <f ca="1">IF(AND($C$254=1,$C$255=1,$C$256=1,$C257=I$252),'Plant model'!$E$1487,'Charts 2'!I257)</f>
        <v>254.41851039176129</v>
      </c>
      <c r="J257" s="129">
        <f ca="1">IF(AND($C$254=1,$C$255=1,$C$256=1,$C257=J$252),'Plant model'!$E$1487,'Charts 2'!J257)</f>
        <v>238.63255515076057</v>
      </c>
      <c r="M257" s="189"/>
      <c r="N257" s="187">
        <f>C257</f>
        <v>1</v>
      </c>
      <c r="O257" s="129">
        <f ca="1">D257/'Plant model'!$E$14</f>
        <v>417.17189923579582</v>
      </c>
      <c r="P257" s="129">
        <f ca="1">E257/'Plant model'!$E$14</f>
        <v>399.06777516803299</v>
      </c>
      <c r="Q257" s="129">
        <f ca="1">F257/'Plant model'!$E$14</f>
        <v>379.8318138637681</v>
      </c>
      <c r="R257" s="129">
        <f>G257/'Plant model'!$E$14</f>
        <v>595.52642439338888</v>
      </c>
      <c r="S257" s="129">
        <f ca="1">H257/'Plant model'!$E$14</f>
        <v>340.09372641002159</v>
      </c>
      <c r="T257" s="129">
        <f ca="1">I257/'Plant model'!$E$14</f>
        <v>320.22468268314827</v>
      </c>
      <c r="U257" s="129">
        <f ca="1">J257/'Plant model'!$E$14</f>
        <v>300.35563895627513</v>
      </c>
    </row>
    <row r="258" spans="2:21" x14ac:dyDescent="0.25">
      <c r="B258" s="118"/>
      <c r="C258" s="149"/>
      <c r="D258" s="129"/>
      <c r="E258" s="129"/>
      <c r="F258" s="129"/>
      <c r="G258" s="129"/>
      <c r="H258" s="129"/>
      <c r="I258" s="129"/>
      <c r="J258" s="129"/>
      <c r="M258" s="185"/>
      <c r="N258" s="185"/>
    </row>
    <row r="259" spans="2:21" x14ac:dyDescent="0.25">
      <c r="B259" s="117" t="str">
        <f>B253&amp;" (USD/t)"</f>
        <v>Pig Iron Price (USD/t)</v>
      </c>
      <c r="D259" s="129">
        <f t="shared" ref="D259:J263" ca="1" si="16">D225</f>
        <v>0</v>
      </c>
      <c r="E259" s="129">
        <f t="shared" ca="1" si="16"/>
        <v>0</v>
      </c>
      <c r="F259" s="129">
        <f t="shared" ca="1" si="16"/>
        <v>0</v>
      </c>
      <c r="G259" s="129">
        <f t="shared" si="16"/>
        <v>0</v>
      </c>
      <c r="H259" s="129">
        <f t="shared" ca="1" si="16"/>
        <v>0</v>
      </c>
      <c r="I259" s="129">
        <f t="shared" ca="1" si="16"/>
        <v>0</v>
      </c>
      <c r="J259" s="129">
        <f t="shared" ca="1" si="16"/>
        <v>0</v>
      </c>
      <c r="M259" s="189" t="s">
        <v>541</v>
      </c>
      <c r="N259" s="188"/>
      <c r="O259" s="129">
        <f ca="1">D259/'Plant model'!$E$14</f>
        <v>0</v>
      </c>
      <c r="P259" s="129">
        <f ca="1">E259/'Plant model'!$E$14</f>
        <v>0</v>
      </c>
      <c r="Q259" s="129">
        <f ca="1">F259/'Plant model'!$E$14</f>
        <v>0</v>
      </c>
      <c r="R259" s="129">
        <f>G259/'Plant model'!$E$14</f>
        <v>0</v>
      </c>
      <c r="S259" s="129">
        <f ca="1">H259/'Plant model'!$E$14</f>
        <v>0</v>
      </c>
      <c r="T259" s="129">
        <f ca="1">I259/'Plant model'!$E$14</f>
        <v>0</v>
      </c>
      <c r="U259" s="129">
        <f ca="1">J259/'Plant model'!$E$14</f>
        <v>0</v>
      </c>
    </row>
    <row r="260" spans="2:21" x14ac:dyDescent="0.25">
      <c r="B260" s="117" t="str">
        <f>B254&amp;" (USD/t)"</f>
        <v>Opex (USD/t)</v>
      </c>
      <c r="D260" s="129">
        <f t="shared" ca="1" si="16"/>
        <v>312.88280225259894</v>
      </c>
      <c r="E260" s="129">
        <f t="shared" ca="1" si="16"/>
        <v>357.58034543154167</v>
      </c>
      <c r="F260" s="129">
        <f t="shared" ca="1" si="16"/>
        <v>402.27788861048452</v>
      </c>
      <c r="G260" s="129">
        <f t="shared" si="16"/>
        <v>364.88405527946469</v>
      </c>
      <c r="H260" s="129">
        <f t="shared" ca="1" si="16"/>
        <v>491.67297496836983</v>
      </c>
      <c r="I260" s="129">
        <f t="shared" ca="1" si="16"/>
        <v>536.37051814731251</v>
      </c>
      <c r="J260" s="129">
        <f t="shared" ca="1" si="16"/>
        <v>581.06806132625513</v>
      </c>
      <c r="M260" s="189" t="s">
        <v>542</v>
      </c>
      <c r="N260" s="188"/>
      <c r="O260" s="129">
        <f ca="1">D260/'Plant model'!$E$14</f>
        <v>393.81095311843796</v>
      </c>
      <c r="P260" s="129">
        <f ca="1">E260/'Plant model'!$E$14</f>
        <v>450.06966070678624</v>
      </c>
      <c r="Q260" s="129">
        <f ca="1">F260/'Plant model'!$E$14</f>
        <v>506.32836829513474</v>
      </c>
      <c r="R260" s="129">
        <f>G260/'Plant model'!$E$14</f>
        <v>473.87539646683723</v>
      </c>
      <c r="S260" s="129">
        <f ca="1">H260/'Plant model'!$E$14</f>
        <v>618.84578347183117</v>
      </c>
      <c r="T260" s="129">
        <f ca="1">I260/'Plant model'!$E$14</f>
        <v>675.10449106017938</v>
      </c>
      <c r="U260" s="129">
        <f ca="1">J260/'Plant model'!$E$14</f>
        <v>731.3631986485276</v>
      </c>
    </row>
    <row r="261" spans="2:21" x14ac:dyDescent="0.25">
      <c r="B261" s="117" t="str">
        <f>B255&amp;" (USD/t)"</f>
        <v>Iron ore price (USD/t)</v>
      </c>
      <c r="D261" s="129">
        <f t="shared" ca="1" si="16"/>
        <v>118.73388500000006</v>
      </c>
      <c r="E261" s="129">
        <f t="shared" ca="1" si="16"/>
        <v>135.69586857142852</v>
      </c>
      <c r="F261" s="129">
        <f t="shared" ca="1" si="16"/>
        <v>152.65785214285719</v>
      </c>
      <c r="G261" s="129">
        <f t="shared" si="16"/>
        <v>119.37078571428567</v>
      </c>
      <c r="H261" s="129">
        <f t="shared" ca="1" si="16"/>
        <v>186.58181928571423</v>
      </c>
      <c r="I261" s="129">
        <f t="shared" ca="1" si="16"/>
        <v>203.54380285714291</v>
      </c>
      <c r="J261" s="129">
        <f t="shared" ca="1" si="16"/>
        <v>220.50578642857141</v>
      </c>
      <c r="M261" s="189" t="s">
        <v>543</v>
      </c>
      <c r="N261" s="188"/>
      <c r="O261" s="129">
        <f ca="1">D261/'Plant model'!$E$14</f>
        <v>149.4447891755822</v>
      </c>
      <c r="P261" s="129">
        <f ca="1">E261/'Plant model'!$E$14</f>
        <v>170.7940447720938</v>
      </c>
      <c r="Q261" s="129">
        <f ca="1">F261/'Plant model'!$E$14</f>
        <v>192.14330036860565</v>
      </c>
      <c r="R261" s="129">
        <f>G261/'Plant model'!$E$14</f>
        <v>155.02699443413724</v>
      </c>
      <c r="S261" s="129">
        <f ca="1">H261/'Plant model'!$E$14</f>
        <v>234.84181156162899</v>
      </c>
      <c r="T261" s="129">
        <f ca="1">I261/'Plant model'!$E$14</f>
        <v>256.19106715814087</v>
      </c>
      <c r="U261" s="129">
        <f ca="1">J261/'Plant model'!$E$14</f>
        <v>277.54032275465249</v>
      </c>
    </row>
    <row r="262" spans="2:21" x14ac:dyDescent="0.25">
      <c r="B262" s="117" t="str">
        <f>B256&amp;" (US$m)"</f>
        <v>Capex (US$m)</v>
      </c>
      <c r="D262" s="129">
        <f t="shared" ca="1" si="16"/>
        <v>272.92315389875688</v>
      </c>
      <c r="E262" s="129">
        <f t="shared" ca="1" si="16"/>
        <v>312.43213901755689</v>
      </c>
      <c r="F262" s="129">
        <f t="shared" ca="1" si="16"/>
        <v>351.96804063656481</v>
      </c>
      <c r="G262" s="129">
        <f t="shared" si="16"/>
        <v>465.57598916478941</v>
      </c>
      <c r="H262" s="129">
        <f t="shared" ca="1" si="16"/>
        <v>391.56612143716615</v>
      </c>
      <c r="I262" s="129">
        <f t="shared" ca="1" si="16"/>
        <v>391.56612143716615</v>
      </c>
      <c r="J262" s="129">
        <f t="shared" ca="1" si="16"/>
        <v>391.56612143716615</v>
      </c>
      <c r="M262" s="189" t="s">
        <v>540</v>
      </c>
      <c r="N262" s="188"/>
      <c r="O262" s="129">
        <f ca="1">D262/'Plant model'!$E$14</f>
        <v>343.51561220737176</v>
      </c>
      <c r="P262" s="129">
        <f ca="1">E262/'Plant model'!$E$14</f>
        <v>393.24372437703823</v>
      </c>
      <c r="Q262" s="129">
        <f ca="1">F262/'Plant model'!$E$14</f>
        <v>443.00571508692866</v>
      </c>
      <c r="R262" s="129">
        <f>G262/'Plant model'!$E$14</f>
        <v>604.64414177245374</v>
      </c>
      <c r="S262" s="129">
        <f ca="1">H262/'Plant model'!$E$14</f>
        <v>492.84596782525631</v>
      </c>
      <c r="T262" s="129">
        <f ca="1">I262/'Plant model'!$E$14</f>
        <v>492.84596782525631</v>
      </c>
      <c r="U262" s="129">
        <f ca="1">J262/'Plant model'!$E$14</f>
        <v>492.84596782525631</v>
      </c>
    </row>
    <row r="263" spans="2:21" x14ac:dyDescent="0.25">
      <c r="B263" s="117" t="str">
        <f>B257</f>
        <v>FX Rate</v>
      </c>
      <c r="D263" s="133">
        <f t="shared" ca="1" si="16"/>
        <v>0.55230000000000001</v>
      </c>
      <c r="E263" s="133">
        <f t="shared" ca="1" si="16"/>
        <v>0.63119999999999998</v>
      </c>
      <c r="F263" s="133">
        <f t="shared" ca="1" si="16"/>
        <v>0.71010000000000018</v>
      </c>
      <c r="G263" s="133">
        <f t="shared" si="16"/>
        <v>0.7699999999999998</v>
      </c>
      <c r="H263" s="133">
        <f t="shared" ca="1" si="16"/>
        <v>0.86790000000000034</v>
      </c>
      <c r="I263" s="133">
        <f t="shared" ca="1" si="16"/>
        <v>0.94679999999999986</v>
      </c>
      <c r="J263" s="133">
        <f t="shared" ca="1" si="16"/>
        <v>1.0257000000000003</v>
      </c>
      <c r="M263" s="117" t="s">
        <v>544</v>
      </c>
      <c r="N263" s="188"/>
      <c r="O263" s="133">
        <f t="shared" ref="O263:U263" ca="1" si="17">D263</f>
        <v>0.55230000000000001</v>
      </c>
      <c r="P263" s="133">
        <f t="shared" ca="1" si="17"/>
        <v>0.63119999999999998</v>
      </c>
      <c r="Q263" s="133">
        <f t="shared" ca="1" si="17"/>
        <v>0.71010000000000018</v>
      </c>
      <c r="R263" s="133">
        <f t="shared" si="17"/>
        <v>0.7699999999999998</v>
      </c>
      <c r="S263" s="133">
        <f t="shared" ca="1" si="17"/>
        <v>0.86790000000000034</v>
      </c>
      <c r="T263" s="133">
        <f t="shared" ca="1" si="17"/>
        <v>0.94679999999999986</v>
      </c>
      <c r="U263" s="133">
        <f t="shared" ca="1" si="17"/>
        <v>1.0257000000000003</v>
      </c>
    </row>
    <row r="264" spans="2:21" x14ac:dyDescent="0.25">
      <c r="M264" s="117"/>
      <c r="N264" s="129"/>
      <c r="O264" s="129"/>
      <c r="P264" s="129"/>
      <c r="Q264" s="129"/>
      <c r="R264" s="129"/>
      <c r="S264" s="129"/>
      <c r="T264" s="129"/>
    </row>
    <row r="284" spans="2:21" x14ac:dyDescent="0.25">
      <c r="B284" s="112" t="s">
        <v>489</v>
      </c>
      <c r="M284" s="112"/>
    </row>
    <row r="285" spans="2:21" x14ac:dyDescent="0.25">
      <c r="B285" s="112"/>
    </row>
    <row r="286" spans="2:21" x14ac:dyDescent="0.25">
      <c r="D286" s="288">
        <v>0.75</v>
      </c>
      <c r="E286" s="288">
        <f t="shared" ref="E286:J286" si="18">D286+0.25</f>
        <v>1</v>
      </c>
      <c r="F286" s="288">
        <f t="shared" si="18"/>
        <v>1.25</v>
      </c>
      <c r="G286" s="288">
        <f t="shared" si="18"/>
        <v>1.5</v>
      </c>
      <c r="H286" s="288">
        <f t="shared" si="18"/>
        <v>1.75</v>
      </c>
      <c r="I286" s="288">
        <f t="shared" si="18"/>
        <v>2</v>
      </c>
      <c r="J286" s="288">
        <f t="shared" si="18"/>
        <v>2.25</v>
      </c>
      <c r="O286" s="288">
        <f>D286</f>
        <v>0.75</v>
      </c>
      <c r="P286" s="288">
        <f t="shared" ref="P286:U286" si="19">E286</f>
        <v>1</v>
      </c>
      <c r="Q286" s="288">
        <f t="shared" si="19"/>
        <v>1.25</v>
      </c>
      <c r="R286" s="288">
        <f t="shared" si="19"/>
        <v>1.5</v>
      </c>
      <c r="S286" s="288">
        <f t="shared" si="19"/>
        <v>1.75</v>
      </c>
      <c r="T286" s="288">
        <f t="shared" si="19"/>
        <v>2</v>
      </c>
      <c r="U286" s="288">
        <f t="shared" si="19"/>
        <v>2.25</v>
      </c>
    </row>
    <row r="287" spans="2:21" x14ac:dyDescent="0.25">
      <c r="B287" s="118" t="str">
        <f>'Plant model'!C1485</f>
        <v>9 year door-to-door tenor</v>
      </c>
      <c r="C287" s="287">
        <f>NPV('Plant model'!$E$1483,'Plant model'!L1476:AE1476)</f>
        <v>558.50412066090587</v>
      </c>
      <c r="D287" s="129">
        <f>$C287/D$286</f>
        <v>744.67216088120779</v>
      </c>
      <c r="E287" s="129">
        <f t="shared" ref="E287:J289" si="20">$C287/E$286</f>
        <v>558.50412066090587</v>
      </c>
      <c r="F287" s="129">
        <f t="shared" si="20"/>
        <v>446.80329652872467</v>
      </c>
      <c r="G287" s="129">
        <f t="shared" si="20"/>
        <v>372.33608044060389</v>
      </c>
      <c r="H287" s="129">
        <f t="shared" si="20"/>
        <v>319.14521180623194</v>
      </c>
      <c r="I287" s="129">
        <f t="shared" si="20"/>
        <v>279.25206033045293</v>
      </c>
      <c r="J287" s="129">
        <f t="shared" si="20"/>
        <v>248.22405362706928</v>
      </c>
      <c r="M287" s="117" t="str">
        <f>B287</f>
        <v>9 year door-to-door tenor</v>
      </c>
      <c r="N287" s="287">
        <f>C287/'Plant model'!$E$14</f>
        <v>725.33002683234531</v>
      </c>
      <c r="O287" s="133">
        <f>$N287/O$286</f>
        <v>967.10670244312712</v>
      </c>
      <c r="P287" s="133">
        <f t="shared" ref="P287:U289" si="21">$N287/P$286</f>
        <v>725.33002683234531</v>
      </c>
      <c r="Q287" s="133">
        <f t="shared" si="21"/>
        <v>580.26402146587623</v>
      </c>
      <c r="R287" s="133">
        <f t="shared" si="21"/>
        <v>483.55335122156356</v>
      </c>
      <c r="S287" s="133">
        <f t="shared" si="21"/>
        <v>414.47430104705444</v>
      </c>
      <c r="T287" s="133">
        <f t="shared" si="21"/>
        <v>362.66501341617266</v>
      </c>
      <c r="U287" s="133">
        <f t="shared" si="21"/>
        <v>322.36890081437571</v>
      </c>
    </row>
    <row r="288" spans="2:21" x14ac:dyDescent="0.25">
      <c r="B288" s="118" t="str">
        <f>'Plant model'!C1486</f>
        <v>10 year door-to-door tenor</v>
      </c>
      <c r="C288" s="287">
        <f>NPV('Plant model'!$E$1483,'Plant model'!L1477:AE1477)</f>
        <v>625.88399341409422</v>
      </c>
      <c r="D288" s="129">
        <f>$C288/D$286</f>
        <v>834.51199121879233</v>
      </c>
      <c r="E288" s="129">
        <f t="shared" si="20"/>
        <v>625.88399341409422</v>
      </c>
      <c r="F288" s="129">
        <f t="shared" si="20"/>
        <v>500.70719473127537</v>
      </c>
      <c r="G288" s="129">
        <f t="shared" si="20"/>
        <v>417.25599560939617</v>
      </c>
      <c r="H288" s="129">
        <f t="shared" si="20"/>
        <v>357.64799623662526</v>
      </c>
      <c r="I288" s="129">
        <f t="shared" si="20"/>
        <v>312.94199670704711</v>
      </c>
      <c r="J288" s="129">
        <f t="shared" si="20"/>
        <v>278.17066373959744</v>
      </c>
      <c r="M288" s="117" t="str">
        <f>B288</f>
        <v>10 year door-to-door tenor</v>
      </c>
      <c r="N288" s="287">
        <f>C288/'Plant model'!$E$14</f>
        <v>812.83635508323925</v>
      </c>
      <c r="O288" s="133">
        <f>$N288/O$286</f>
        <v>1083.7818067776523</v>
      </c>
      <c r="P288" s="133">
        <f t="shared" si="21"/>
        <v>812.83635508323925</v>
      </c>
      <c r="Q288" s="133">
        <f t="shared" si="21"/>
        <v>650.2690840665914</v>
      </c>
      <c r="R288" s="133">
        <f t="shared" si="21"/>
        <v>541.89090338882613</v>
      </c>
      <c r="S288" s="133">
        <f t="shared" si="21"/>
        <v>464.47791719042243</v>
      </c>
      <c r="T288" s="133">
        <f t="shared" si="21"/>
        <v>406.41817754161963</v>
      </c>
      <c r="U288" s="133">
        <f t="shared" si="21"/>
        <v>361.26060225921742</v>
      </c>
    </row>
    <row r="289" spans="2:21" x14ac:dyDescent="0.25">
      <c r="B289" s="118" t="str">
        <f>'Plant model'!C1487</f>
        <v>11 year door-to-door tenor</v>
      </c>
      <c r="C289" s="287">
        <f>NPV('Plant model'!$E$1483,'Plant model'!L1478:AE1478)</f>
        <v>687.83302017436415</v>
      </c>
      <c r="D289" s="129">
        <f>$C289/D$286</f>
        <v>917.11069356581891</v>
      </c>
      <c r="E289" s="129">
        <f t="shared" si="20"/>
        <v>687.83302017436415</v>
      </c>
      <c r="F289" s="129">
        <f t="shared" si="20"/>
        <v>550.2664161394913</v>
      </c>
      <c r="G289" s="129">
        <f>$C289/G$286</f>
        <v>458.55534678290945</v>
      </c>
      <c r="H289" s="129">
        <f t="shared" si="20"/>
        <v>393.04744009963667</v>
      </c>
      <c r="I289" s="129">
        <f t="shared" si="20"/>
        <v>343.91651008718208</v>
      </c>
      <c r="J289" s="129">
        <f t="shared" si="20"/>
        <v>305.7035645219396</v>
      </c>
      <c r="M289" s="117" t="str">
        <f>B289</f>
        <v>11 year door-to-door tenor</v>
      </c>
      <c r="N289" s="287">
        <f>C289/'Plant model'!$E$14</f>
        <v>893.28963659008332</v>
      </c>
      <c r="O289" s="133">
        <f>$N289/O$286</f>
        <v>1191.0528487867778</v>
      </c>
      <c r="P289" s="133">
        <f t="shared" si="21"/>
        <v>893.28963659008332</v>
      </c>
      <c r="Q289" s="133">
        <f t="shared" si="21"/>
        <v>714.6317092720667</v>
      </c>
      <c r="R289" s="133">
        <f t="shared" si="21"/>
        <v>595.52642439338888</v>
      </c>
      <c r="S289" s="133">
        <f t="shared" si="21"/>
        <v>510.45122090861906</v>
      </c>
      <c r="T289" s="133">
        <f t="shared" si="21"/>
        <v>446.64481829504166</v>
      </c>
      <c r="U289" s="133">
        <f t="shared" si="21"/>
        <v>397.01761626225925</v>
      </c>
    </row>
    <row r="290" spans="2:21" x14ac:dyDescent="0.25">
      <c r="B290" s="118"/>
      <c r="C290" s="71"/>
      <c r="D290" s="72"/>
      <c r="E290" s="72"/>
      <c r="F290" s="72"/>
      <c r="G290" s="72"/>
      <c r="H290" s="72"/>
      <c r="I290" s="72"/>
      <c r="J290" s="72"/>
      <c r="M290" s="117"/>
      <c r="N290" s="71"/>
      <c r="O290" s="72"/>
      <c r="P290" s="72"/>
      <c r="Q290" s="72"/>
      <c r="R290" s="72"/>
      <c r="S290" s="72"/>
      <c r="T290" s="72"/>
      <c r="U290" s="72"/>
    </row>
    <row r="291" spans="2:21" x14ac:dyDescent="0.25">
      <c r="B291" s="118"/>
      <c r="C291" s="71"/>
      <c r="D291" s="72"/>
      <c r="E291" s="72"/>
      <c r="F291" s="72"/>
      <c r="G291" s="72"/>
      <c r="H291" s="72"/>
      <c r="I291" s="72"/>
      <c r="J291" s="72"/>
    </row>
    <row r="293" spans="2:21" x14ac:dyDescent="0.25">
      <c r="B293" s="117"/>
      <c r="D293" s="129"/>
      <c r="E293" s="129"/>
      <c r="F293" s="129"/>
      <c r="G293" s="129"/>
      <c r="H293" s="129"/>
      <c r="I293" s="129"/>
      <c r="J293" s="129"/>
      <c r="M293" s="117"/>
      <c r="O293" s="129"/>
      <c r="P293" s="129"/>
      <c r="Q293" s="129"/>
      <c r="R293" s="129"/>
      <c r="S293" s="129"/>
      <c r="T293" s="129"/>
      <c r="U293" s="129"/>
    </row>
    <row r="294" spans="2:21" x14ac:dyDescent="0.25">
      <c r="B294" s="117"/>
      <c r="D294" s="129"/>
      <c r="E294" s="129"/>
      <c r="F294" s="129"/>
      <c r="G294" s="129"/>
      <c r="H294" s="129"/>
      <c r="I294" s="129"/>
      <c r="J294" s="129"/>
      <c r="M294" s="117"/>
      <c r="O294" s="129"/>
      <c r="P294" s="129"/>
      <c r="Q294" s="129"/>
      <c r="R294" s="129"/>
      <c r="S294" s="129"/>
      <c r="T294" s="129"/>
      <c r="U294" s="129"/>
    </row>
    <row r="295" spans="2:21" x14ac:dyDescent="0.25">
      <c r="B295" s="117"/>
      <c r="D295" s="129"/>
      <c r="E295" s="129"/>
      <c r="F295" s="129"/>
      <c r="G295" s="129"/>
      <c r="H295" s="129"/>
      <c r="I295" s="129"/>
      <c r="J295" s="129"/>
      <c r="M295" s="117"/>
      <c r="O295" s="129"/>
      <c r="P295" s="129"/>
      <c r="Q295" s="129"/>
      <c r="R295" s="129"/>
      <c r="S295" s="129"/>
      <c r="T295" s="129"/>
      <c r="U295" s="129"/>
    </row>
    <row r="296" spans="2:21" x14ac:dyDescent="0.25">
      <c r="B296" s="117"/>
      <c r="D296" s="129"/>
      <c r="E296" s="129"/>
      <c r="F296" s="129"/>
      <c r="G296" s="129"/>
      <c r="H296" s="129"/>
      <c r="I296" s="129"/>
      <c r="J296" s="129"/>
      <c r="M296" s="117"/>
      <c r="O296" s="129"/>
      <c r="P296" s="129"/>
      <c r="Q296" s="129"/>
      <c r="R296" s="129"/>
      <c r="S296" s="129"/>
      <c r="T296" s="129"/>
      <c r="U296" s="129"/>
    </row>
    <row r="297" spans="2:21" x14ac:dyDescent="0.25">
      <c r="B297" s="117"/>
      <c r="D297" s="133"/>
      <c r="E297" s="133"/>
      <c r="F297" s="133"/>
      <c r="G297" s="133"/>
      <c r="H297" s="133"/>
      <c r="I297" s="133"/>
      <c r="J297" s="133"/>
    </row>
    <row r="319" s="116" customFormat="1" x14ac:dyDescent="0.25"/>
    <row r="321" spans="12:22" x14ac:dyDescent="0.25">
      <c r="M321" s="112" t="s">
        <v>678</v>
      </c>
    </row>
    <row r="323" spans="12:22" ht="20.25" customHeight="1" x14ac:dyDescent="0.25">
      <c r="M323" t="str">
        <f>"Year "&amp;'Plant model'!E1389&amp;" EBITDA"</f>
        <v>Year 5 EBITDA</v>
      </c>
      <c r="N323" s="127">
        <f>SUMIF('Plant model'!$I$1427:$AE$1427,1,'Plant model'!$I$1257:$AE$1257)</f>
        <v>137.98341723309574</v>
      </c>
      <c r="O323" s="127">
        <f>SUMIF('Plant model'!$I$1427:$AE$1427,1,'Plant model'!$I$1257:$AE$1257)</f>
        <v>137.98341723309574</v>
      </c>
      <c r="P323" s="127">
        <f>SUMIF('Plant model'!$I$1427:$AE$1427,1,'Plant model'!$I$1257:$AE$1257)</f>
        <v>137.98341723309574</v>
      </c>
      <c r="Q323" s="127">
        <f>SUMIF('Plant model'!$I$1427:$AE$1427,1,'Plant model'!$I$1257:$AE$1257)</f>
        <v>137.98341723309574</v>
      </c>
      <c r="R323" s="127">
        <f>SUMIF('Plant model'!$I$1427:$AE$1427,1,'Plant model'!$I$1257:$AE$1257)</f>
        <v>137.98341723309574</v>
      </c>
      <c r="S323" s="127">
        <f>SUMIF('Plant model'!$I$1427:$AE$1427,1,'Plant model'!$I$1257:$AE$1257)</f>
        <v>137.98341723309574</v>
      </c>
      <c r="T323" s="127">
        <f>SUMIF('Plant model'!$I$1427:$AE$1427,1,'Plant model'!$I$1257:$AE$1257)</f>
        <v>137.98341723309574</v>
      </c>
      <c r="U323" s="127">
        <f>SUMIF('Plant model'!$I$1427:$AE$1427,1,'Plant model'!$I$1257:$AE$1257)</f>
        <v>137.98341723309574</v>
      </c>
      <c r="V323" s="127">
        <f>SUMIF('Plant model'!$I$1427:$AE$1427,1,'Plant model'!$I$1257:$AE$1257)</f>
        <v>137.98341723309574</v>
      </c>
    </row>
    <row r="324" spans="12:22" ht="20.25" customHeight="1" x14ac:dyDescent="0.25">
      <c r="L324" s="289"/>
      <c r="M324" t="s">
        <v>492</v>
      </c>
      <c r="N324" s="290">
        <v>6</v>
      </c>
      <c r="O324" s="289">
        <f t="shared" ref="O324:V324" si="22">N324+0.5</f>
        <v>6.5</v>
      </c>
      <c r="P324" s="289">
        <f t="shared" si="22"/>
        <v>7</v>
      </c>
      <c r="Q324" s="289">
        <f t="shared" si="22"/>
        <v>7.5</v>
      </c>
      <c r="R324" s="289">
        <f t="shared" si="22"/>
        <v>8</v>
      </c>
      <c r="S324" s="289">
        <f t="shared" si="22"/>
        <v>8.5</v>
      </c>
      <c r="T324" s="289">
        <f t="shared" si="22"/>
        <v>9</v>
      </c>
      <c r="U324" s="289">
        <f t="shared" si="22"/>
        <v>9.5</v>
      </c>
      <c r="V324" s="289">
        <f t="shared" si="22"/>
        <v>10</v>
      </c>
    </row>
    <row r="325" spans="12:22" ht="20.25" customHeight="1" x14ac:dyDescent="0.25">
      <c r="M325" t="s">
        <v>493</v>
      </c>
      <c r="N325" s="133">
        <f t="shared" ref="N325:V325" si="23">N323*N324</f>
        <v>827.90050339857441</v>
      </c>
      <c r="O325" s="133">
        <f t="shared" si="23"/>
        <v>896.89221201512225</v>
      </c>
      <c r="P325" s="133">
        <f t="shared" si="23"/>
        <v>965.88392063167021</v>
      </c>
      <c r="Q325" s="133">
        <f t="shared" si="23"/>
        <v>1034.875629248218</v>
      </c>
      <c r="R325" s="133">
        <f t="shared" si="23"/>
        <v>1103.8673378647659</v>
      </c>
      <c r="S325" s="133">
        <f t="shared" si="23"/>
        <v>1172.8590464813137</v>
      </c>
      <c r="T325" s="133">
        <f t="shared" si="23"/>
        <v>1241.8507550978616</v>
      </c>
      <c r="U325" s="133">
        <f t="shared" si="23"/>
        <v>1310.8424637144094</v>
      </c>
      <c r="V325" s="133">
        <f t="shared" si="23"/>
        <v>1379.8341723309572</v>
      </c>
    </row>
    <row r="326" spans="12:22" ht="20.25" customHeight="1" x14ac:dyDescent="0.25">
      <c r="M326" t="s">
        <v>494</v>
      </c>
      <c r="N326" s="127">
        <f>SUM('Plant model'!$I$1429:$AE$1429)</f>
        <v>-156.31578947368425</v>
      </c>
      <c r="O326" s="127">
        <f>SUM('Plant model'!$I$1429:$AE$1429)</f>
        <v>-156.31578947368425</v>
      </c>
      <c r="P326" s="127">
        <f>SUM('Plant model'!$I$1429:$AE$1429)</f>
        <v>-156.31578947368425</v>
      </c>
      <c r="Q326" s="127">
        <f>SUM('Plant model'!$I$1429:$AE$1429)</f>
        <v>-156.31578947368425</v>
      </c>
      <c r="R326" s="127">
        <f>SUM('Plant model'!$I$1429:$AE$1429)</f>
        <v>-156.31578947368425</v>
      </c>
      <c r="S326" s="127">
        <f>SUM('Plant model'!$I$1429:$AE$1429)</f>
        <v>-156.31578947368425</v>
      </c>
      <c r="T326" s="127">
        <f>SUM('Plant model'!$I$1429:$AE$1429)</f>
        <v>-156.31578947368425</v>
      </c>
      <c r="U326" s="127">
        <f>SUM('Plant model'!$I$1429:$AE$1429)</f>
        <v>-156.31578947368425</v>
      </c>
      <c r="V326" s="127">
        <f>SUM('Plant model'!$I$1429:$AE$1429)</f>
        <v>-156.31578947368425</v>
      </c>
    </row>
    <row r="327" spans="12:22" ht="20.25" customHeight="1" x14ac:dyDescent="0.25">
      <c r="M327" t="s">
        <v>495</v>
      </c>
      <c r="N327" s="133">
        <f t="shared" ref="N327:V327" si="24">N325+N326</f>
        <v>671.58471392489014</v>
      </c>
      <c r="O327" s="133">
        <f t="shared" si="24"/>
        <v>740.57642254143798</v>
      </c>
      <c r="P327" s="133">
        <f t="shared" si="24"/>
        <v>809.56813115798593</v>
      </c>
      <c r="Q327" s="133">
        <f t="shared" si="24"/>
        <v>878.55983977453377</v>
      </c>
      <c r="R327" s="133">
        <f t="shared" si="24"/>
        <v>947.55154839108161</v>
      </c>
      <c r="S327" s="133">
        <f t="shared" si="24"/>
        <v>1016.5432570076294</v>
      </c>
      <c r="T327" s="133">
        <f t="shared" si="24"/>
        <v>1085.5349656241774</v>
      </c>
      <c r="U327" s="133">
        <f t="shared" si="24"/>
        <v>1154.5266742407252</v>
      </c>
      <c r="V327" s="133">
        <f t="shared" si="24"/>
        <v>1223.5183828572731</v>
      </c>
    </row>
    <row r="328" spans="12:22" ht="20.25" customHeight="1" x14ac:dyDescent="0.25">
      <c r="M328" s="112" t="s">
        <v>496</v>
      </c>
      <c r="N328" s="291">
        <f ca="1">IF(N$324='Plant model'!$E$1390,'Plant model'!$G$1436,'Charts 2'!N328)</f>
        <v>0.28503339412985018</v>
      </c>
      <c r="O328" s="291">
        <f ca="1">IF(O$324='Plant model'!$E$1390,'Plant model'!$G$1436,'Charts 2'!O328)</f>
        <v>0.30362464868797301</v>
      </c>
      <c r="P328" s="291">
        <f>IF(P$324='Plant model'!$E$1390,'Plant model'!$G$1436,'Charts 2'!P328)</f>
        <v>0.57720335922957444</v>
      </c>
      <c r="Q328" s="291">
        <f ca="1">IF(Q$324='Plant model'!$E$1390,'Plant model'!$G$1436,'Charts 2'!Q328)</f>
        <v>0.33724955758269415</v>
      </c>
      <c r="R328" s="291">
        <f ca="1">IF(R$324='Plant model'!$E$1390,'Plant model'!$G$1436,'Charts 2'!R328)</f>
        <v>0.35259293746498432</v>
      </c>
      <c r="S328" s="291">
        <f ca="1">IF(S$324='Plant model'!$E$1390,'Plant model'!$G$1436,'Charts 2'!S328)</f>
        <v>0.36711468874534514</v>
      </c>
      <c r="T328" s="291">
        <f ca="1">IF(T$324='Plant model'!$E$1390,'Plant model'!$G$1436,'Charts 2'!T328)</f>
        <v>0.38090710192447452</v>
      </c>
      <c r="U328" s="291">
        <f ca="1">IF(U$324='Plant model'!$E$1390,'Plant model'!$G$1436,'Charts 2'!U328)</f>
        <v>0.39404726469341389</v>
      </c>
      <c r="V328" s="291">
        <f ca="1">IF(V$324='Plant model'!$E$1390,'Plant model'!$G$1436,'Charts 2'!V328)</f>
        <v>0.4066002774651698</v>
      </c>
    </row>
    <row r="331" spans="12:22" x14ac:dyDescent="0.25">
      <c r="M331" s="112" t="s">
        <v>679</v>
      </c>
    </row>
    <row r="333" spans="12:22" x14ac:dyDescent="0.25">
      <c r="M333" t="str">
        <f>"Year "&amp;'Plant model'!E1389&amp;" EBITDA"</f>
        <v>Year 5 EBITDA</v>
      </c>
      <c r="N333" s="127">
        <f>SUMIF('Plant model'!$I$1427:$AE$1427,1,'Plant model'!$I$1257:$AE$1257)</f>
        <v>137.98341723309574</v>
      </c>
      <c r="O333" s="127">
        <f>SUMIF('Plant model'!$I$1427:$AE$1427,1,'Plant model'!$I$1257:$AE$1257)</f>
        <v>137.98341723309574</v>
      </c>
      <c r="P333" s="127">
        <f>SUMIF('Plant model'!$I$1427:$AE$1427,1,'Plant model'!$I$1257:$AE$1257)</f>
        <v>137.98341723309574</v>
      </c>
      <c r="Q333" s="127">
        <f>SUMIF('Plant model'!$I$1427:$AE$1427,1,'Plant model'!$I$1257:$AE$1257)</f>
        <v>137.98341723309574</v>
      </c>
      <c r="R333" s="127">
        <f>SUMIF('Plant model'!$I$1427:$AE$1427,1,'Plant model'!$I$1257:$AE$1257)</f>
        <v>137.98341723309574</v>
      </c>
      <c r="S333" s="127">
        <f>SUMIF('Plant model'!$I$1427:$AE$1427,1,'Plant model'!$I$1257:$AE$1257)</f>
        <v>137.98341723309574</v>
      </c>
      <c r="T333" s="127">
        <f>SUMIF('Plant model'!$I$1427:$AE$1427,1,'Plant model'!$I$1257:$AE$1257)</f>
        <v>137.98341723309574</v>
      </c>
      <c r="U333" s="127">
        <f>SUMIF('Plant model'!$I$1427:$AE$1427,1,'Plant model'!$I$1257:$AE$1257)</f>
        <v>137.98341723309574</v>
      </c>
      <c r="V333" s="127">
        <f>SUMIF('Plant model'!$I$1427:$AE$1427,1,'Plant model'!$I$1257:$AE$1257)</f>
        <v>137.98341723309574</v>
      </c>
    </row>
    <row r="334" spans="12:22" x14ac:dyDescent="0.25">
      <c r="M334" t="s">
        <v>492</v>
      </c>
      <c r="N334" s="405">
        <f>N324</f>
        <v>6</v>
      </c>
      <c r="O334" s="405">
        <f t="shared" ref="O334:V334" si="25">O324</f>
        <v>6.5</v>
      </c>
      <c r="P334" s="405">
        <f t="shared" si="25"/>
        <v>7</v>
      </c>
      <c r="Q334" s="405">
        <f t="shared" si="25"/>
        <v>7.5</v>
      </c>
      <c r="R334" s="405">
        <f t="shared" si="25"/>
        <v>8</v>
      </c>
      <c r="S334" s="405">
        <f t="shared" si="25"/>
        <v>8.5</v>
      </c>
      <c r="T334" s="405">
        <f t="shared" si="25"/>
        <v>9</v>
      </c>
      <c r="U334" s="405">
        <f t="shared" si="25"/>
        <v>9.5</v>
      </c>
      <c r="V334" s="405">
        <f t="shared" si="25"/>
        <v>10</v>
      </c>
    </row>
    <row r="335" spans="12:22" x14ac:dyDescent="0.25">
      <c r="M335" t="s">
        <v>493</v>
      </c>
      <c r="N335" s="133">
        <f t="shared" ref="N335:V335" si="26">N333*N334</f>
        <v>827.90050339857441</v>
      </c>
      <c r="O335" s="133">
        <f t="shared" si="26"/>
        <v>896.89221201512225</v>
      </c>
      <c r="P335" s="133">
        <f t="shared" si="26"/>
        <v>965.88392063167021</v>
      </c>
      <c r="Q335" s="133">
        <f t="shared" si="26"/>
        <v>1034.875629248218</v>
      </c>
      <c r="R335" s="133">
        <f t="shared" si="26"/>
        <v>1103.8673378647659</v>
      </c>
      <c r="S335" s="133">
        <f t="shared" si="26"/>
        <v>1172.8590464813137</v>
      </c>
      <c r="T335" s="133">
        <f t="shared" si="26"/>
        <v>1241.8507550978616</v>
      </c>
      <c r="U335" s="133">
        <f t="shared" si="26"/>
        <v>1310.8424637144094</v>
      </c>
      <c r="V335" s="133">
        <f t="shared" si="26"/>
        <v>1379.8341723309572</v>
      </c>
    </row>
    <row r="336" spans="12:22" x14ac:dyDescent="0.25">
      <c r="M336" t="s">
        <v>494</v>
      </c>
      <c r="N336" s="283">
        <v>0</v>
      </c>
      <c r="O336" s="283">
        <v>0</v>
      </c>
      <c r="P336" s="283">
        <v>0</v>
      </c>
      <c r="Q336" s="283">
        <v>0</v>
      </c>
      <c r="R336" s="283">
        <v>0</v>
      </c>
      <c r="S336" s="283">
        <v>0</v>
      </c>
      <c r="T336" s="283">
        <v>0</v>
      </c>
      <c r="U336" s="283">
        <v>0</v>
      </c>
      <c r="V336" s="283">
        <v>0</v>
      </c>
    </row>
    <row r="337" spans="13:22" x14ac:dyDescent="0.25">
      <c r="M337" t="s">
        <v>495</v>
      </c>
      <c r="N337" s="133">
        <f t="shared" ref="N337:V337" si="27">N335+N336</f>
        <v>827.90050339857441</v>
      </c>
      <c r="O337" s="133">
        <f t="shared" si="27"/>
        <v>896.89221201512225</v>
      </c>
      <c r="P337" s="133">
        <f t="shared" si="27"/>
        <v>965.88392063167021</v>
      </c>
      <c r="Q337" s="133">
        <f t="shared" si="27"/>
        <v>1034.875629248218</v>
      </c>
      <c r="R337" s="133">
        <f t="shared" si="27"/>
        <v>1103.8673378647659</v>
      </c>
      <c r="S337" s="133">
        <f t="shared" si="27"/>
        <v>1172.8590464813137</v>
      </c>
      <c r="T337" s="133">
        <f t="shared" si="27"/>
        <v>1241.8507550978616</v>
      </c>
      <c r="U337" s="133">
        <f t="shared" si="27"/>
        <v>1310.8424637144094</v>
      </c>
      <c r="V337" s="133">
        <f t="shared" si="27"/>
        <v>1379.8341723309572</v>
      </c>
    </row>
    <row r="338" spans="13:22" x14ac:dyDescent="0.25">
      <c r="M338" s="112" t="s">
        <v>496</v>
      </c>
      <c r="N338" s="291">
        <f ca="1">IF(N$334='Plant model'!$E$1390,'Plant model'!$G$1395,'Charts 2'!N338)</f>
        <v>0.17127004965384307</v>
      </c>
      <c r="O338" s="291">
        <f ca="1">IF(O$334='Plant model'!$E$1390,'Plant model'!$G$1395,'Charts 2'!O338)</f>
        <v>0.18183326015718859</v>
      </c>
      <c r="P338" s="291">
        <f>IF(P$334='Plant model'!$E$1390,'Plant model'!$G$1395,'Charts 2'!P338)</f>
        <v>0.28079604145244552</v>
      </c>
      <c r="Q338" s="291">
        <f ca="1">IF(Q$334='Plant model'!$E$1390,'Plant model'!$G$1395,'Charts 2'!Q338)</f>
        <v>0.20159752161123157</v>
      </c>
      <c r="R338" s="291">
        <f ca="1">IF(R$334='Plant model'!$E$1390,'Plant model'!$G$1395,'Charts 2'!R338)</f>
        <v>0.21088116966216086</v>
      </c>
      <c r="S338" s="291">
        <f ca="1">IF(S$334='Plant model'!$E$1390,'Plant model'!$G$1395,'Charts 2'!S338)</f>
        <v>0.21981161462907228</v>
      </c>
      <c r="T338" s="291">
        <f ca="1">IF(T$334='Plant model'!$E$1390,'Plant model'!$G$1395,'Charts 2'!T338)</f>
        <v>0.22841769644635246</v>
      </c>
      <c r="U338" s="291">
        <f ca="1">IF(U$334='Plant model'!$E$1390,'Plant model'!$G$1395,'Charts 2'!U338)</f>
        <v>0.23672473574205943</v>
      </c>
      <c r="V338" s="291">
        <f ca="1">IF(V$334='Plant model'!$E$1390,'Plant model'!$G$1395,'Charts 2'!V338)</f>
        <v>0.24475509429496212</v>
      </c>
    </row>
    <row r="342" spans="13:22" x14ac:dyDescent="0.25">
      <c r="M342" s="112" t="s">
        <v>680</v>
      </c>
    </row>
    <row r="344" spans="13:22" x14ac:dyDescent="0.25">
      <c r="M344" t="str">
        <f t="shared" ref="M344:M349" si="28">M323</f>
        <v>Year 5 EBITDA</v>
      </c>
      <c r="N344" s="133">
        <f>N323/N362</f>
        <v>179.19924315986458</v>
      </c>
      <c r="O344" s="133">
        <f t="shared" ref="O344:V344" si="29">O323/O362</f>
        <v>179.19924315986458</v>
      </c>
      <c r="P344" s="133">
        <f t="shared" si="29"/>
        <v>179.19924315986458</v>
      </c>
      <c r="Q344" s="133">
        <f t="shared" si="29"/>
        <v>179.19924315986458</v>
      </c>
      <c r="R344" s="133">
        <f t="shared" si="29"/>
        <v>179.19924315986458</v>
      </c>
      <c r="S344" s="133">
        <f t="shared" si="29"/>
        <v>179.19924315986458</v>
      </c>
      <c r="T344" s="133">
        <f t="shared" si="29"/>
        <v>179.19924315986458</v>
      </c>
      <c r="U344" s="133">
        <f t="shared" si="29"/>
        <v>179.19924315986458</v>
      </c>
      <c r="V344" s="133">
        <f t="shared" si="29"/>
        <v>179.19924315986458</v>
      </c>
    </row>
    <row r="345" spans="13:22" x14ac:dyDescent="0.25">
      <c r="M345" t="str">
        <f t="shared" si="28"/>
        <v>Exit multiple</v>
      </c>
      <c r="N345" s="289">
        <f>N334</f>
        <v>6</v>
      </c>
      <c r="O345" s="289">
        <f t="shared" ref="O345:V345" si="30">O334</f>
        <v>6.5</v>
      </c>
      <c r="P345" s="289">
        <f t="shared" si="30"/>
        <v>7</v>
      </c>
      <c r="Q345" s="289">
        <f t="shared" si="30"/>
        <v>7.5</v>
      </c>
      <c r="R345" s="289">
        <f t="shared" si="30"/>
        <v>8</v>
      </c>
      <c r="S345" s="289">
        <f t="shared" si="30"/>
        <v>8.5</v>
      </c>
      <c r="T345" s="289">
        <f t="shared" si="30"/>
        <v>9</v>
      </c>
      <c r="U345" s="289">
        <f t="shared" si="30"/>
        <v>9.5</v>
      </c>
      <c r="V345" s="289">
        <f t="shared" si="30"/>
        <v>10</v>
      </c>
    </row>
    <row r="346" spans="13:22" x14ac:dyDescent="0.25">
      <c r="M346" t="str">
        <f t="shared" si="28"/>
        <v>Enterprise value</v>
      </c>
      <c r="N346" s="133">
        <f t="shared" ref="N346:V346" si="31">N344*N345</f>
        <v>1075.1954589591874</v>
      </c>
      <c r="O346" s="133">
        <f t="shared" si="31"/>
        <v>1164.7950805391197</v>
      </c>
      <c r="P346" s="133">
        <f t="shared" si="31"/>
        <v>1254.394702119052</v>
      </c>
      <c r="Q346" s="133">
        <f t="shared" si="31"/>
        <v>1343.9943236989843</v>
      </c>
      <c r="R346" s="133">
        <f t="shared" si="31"/>
        <v>1433.5939452789166</v>
      </c>
      <c r="S346" s="133">
        <f t="shared" si="31"/>
        <v>1523.193566858849</v>
      </c>
      <c r="T346" s="133">
        <f t="shared" si="31"/>
        <v>1612.7931884387813</v>
      </c>
      <c r="U346" s="133">
        <f t="shared" si="31"/>
        <v>1702.3928100187136</v>
      </c>
      <c r="V346" s="133">
        <f t="shared" si="31"/>
        <v>1791.9924315986459</v>
      </c>
    </row>
    <row r="347" spans="13:22" x14ac:dyDescent="0.25">
      <c r="M347" t="str">
        <f t="shared" si="28"/>
        <v>Less debt</v>
      </c>
      <c r="N347" s="139">
        <f>N326/N362</f>
        <v>-203.00751879699251</v>
      </c>
      <c r="O347" s="139">
        <f t="shared" ref="O347:V347" si="32">O326/O362</f>
        <v>-203.00751879699251</v>
      </c>
      <c r="P347" s="139">
        <f t="shared" si="32"/>
        <v>-203.00751879699251</v>
      </c>
      <c r="Q347" s="139">
        <f t="shared" si="32"/>
        <v>-203.00751879699251</v>
      </c>
      <c r="R347" s="139">
        <f t="shared" si="32"/>
        <v>-203.00751879699251</v>
      </c>
      <c r="S347" s="139">
        <f t="shared" si="32"/>
        <v>-203.00751879699251</v>
      </c>
      <c r="T347" s="139">
        <f t="shared" si="32"/>
        <v>-203.00751879699251</v>
      </c>
      <c r="U347" s="139">
        <f t="shared" si="32"/>
        <v>-203.00751879699251</v>
      </c>
      <c r="V347" s="139">
        <f t="shared" si="32"/>
        <v>-203.00751879699251</v>
      </c>
    </row>
    <row r="348" spans="13:22" x14ac:dyDescent="0.25">
      <c r="M348" t="str">
        <f t="shared" si="28"/>
        <v>Equity Value</v>
      </c>
      <c r="N348" s="133">
        <f>N346+N347</f>
        <v>872.18794016219488</v>
      </c>
      <c r="O348" s="133">
        <f t="shared" ref="O348:V348" si="33">O346+O347</f>
        <v>961.7875617421272</v>
      </c>
      <c r="P348" s="133">
        <f t="shared" si="33"/>
        <v>1051.3871833220594</v>
      </c>
      <c r="Q348" s="133">
        <f t="shared" si="33"/>
        <v>1140.9868049019917</v>
      </c>
      <c r="R348" s="133">
        <f t="shared" si="33"/>
        <v>1230.586426481924</v>
      </c>
      <c r="S348" s="133">
        <f t="shared" si="33"/>
        <v>1320.1860480618564</v>
      </c>
      <c r="T348" s="133">
        <f t="shared" si="33"/>
        <v>1409.7856696417887</v>
      </c>
      <c r="U348" s="133">
        <f t="shared" si="33"/>
        <v>1499.385291221721</v>
      </c>
      <c r="V348" s="133">
        <f t="shared" si="33"/>
        <v>1588.9849128016533</v>
      </c>
    </row>
    <row r="349" spans="13:22" x14ac:dyDescent="0.25">
      <c r="M349" s="112" t="str">
        <f t="shared" si="28"/>
        <v>IRR to Investors</v>
      </c>
      <c r="N349" s="142">
        <f ca="1">N328</f>
        <v>0.28503339412985018</v>
      </c>
      <c r="O349" s="142">
        <f t="shared" ref="O349:V349" ca="1" si="34">O328</f>
        <v>0.30362464868797301</v>
      </c>
      <c r="P349" s="142">
        <f t="shared" si="34"/>
        <v>0.57720335922957444</v>
      </c>
      <c r="Q349" s="142">
        <f t="shared" ca="1" si="34"/>
        <v>0.33724955758269415</v>
      </c>
      <c r="R349" s="142">
        <f t="shared" ca="1" si="34"/>
        <v>0.35259293746498432</v>
      </c>
      <c r="S349" s="142">
        <f t="shared" ca="1" si="34"/>
        <v>0.36711468874534514</v>
      </c>
      <c r="T349" s="142">
        <f t="shared" ca="1" si="34"/>
        <v>0.38090710192447452</v>
      </c>
      <c r="U349" s="142">
        <f t="shared" ca="1" si="34"/>
        <v>0.39404726469341389</v>
      </c>
      <c r="V349" s="142">
        <f t="shared" ca="1" si="34"/>
        <v>0.4066002774651698</v>
      </c>
    </row>
    <row r="352" spans="13:22" x14ac:dyDescent="0.25">
      <c r="M352" s="112" t="s">
        <v>681</v>
      </c>
    </row>
    <row r="354" spans="2:22" x14ac:dyDescent="0.25">
      <c r="M354" t="str">
        <f t="shared" ref="M354:M359" si="35">M333</f>
        <v>Year 5 EBITDA</v>
      </c>
      <c r="N354" s="133">
        <f>N344</f>
        <v>179.19924315986458</v>
      </c>
      <c r="O354" s="133">
        <f t="shared" ref="O354:V354" si="36">O344</f>
        <v>179.19924315986458</v>
      </c>
      <c r="P354" s="133">
        <f t="shared" si="36"/>
        <v>179.19924315986458</v>
      </c>
      <c r="Q354" s="133">
        <f t="shared" si="36"/>
        <v>179.19924315986458</v>
      </c>
      <c r="R354" s="133">
        <f t="shared" si="36"/>
        <v>179.19924315986458</v>
      </c>
      <c r="S354" s="133">
        <f t="shared" si="36"/>
        <v>179.19924315986458</v>
      </c>
      <c r="T354" s="133">
        <f t="shared" si="36"/>
        <v>179.19924315986458</v>
      </c>
      <c r="U354" s="133">
        <f t="shared" si="36"/>
        <v>179.19924315986458</v>
      </c>
      <c r="V354" s="133">
        <f t="shared" si="36"/>
        <v>179.19924315986458</v>
      </c>
    </row>
    <row r="355" spans="2:22" x14ac:dyDescent="0.25">
      <c r="M355" t="str">
        <f t="shared" si="35"/>
        <v>Exit multiple</v>
      </c>
      <c r="N355" s="289">
        <f>N345</f>
        <v>6</v>
      </c>
      <c r="O355" s="289">
        <f t="shared" ref="O355:V355" si="37">O345</f>
        <v>6.5</v>
      </c>
      <c r="P355" s="289">
        <f t="shared" si="37"/>
        <v>7</v>
      </c>
      <c r="Q355" s="289">
        <f t="shared" si="37"/>
        <v>7.5</v>
      </c>
      <c r="R355" s="289">
        <f t="shared" si="37"/>
        <v>8</v>
      </c>
      <c r="S355" s="289">
        <f t="shared" si="37"/>
        <v>8.5</v>
      </c>
      <c r="T355" s="289">
        <f t="shared" si="37"/>
        <v>9</v>
      </c>
      <c r="U355" s="289">
        <f t="shared" si="37"/>
        <v>9.5</v>
      </c>
      <c r="V355" s="289">
        <f t="shared" si="37"/>
        <v>10</v>
      </c>
    </row>
    <row r="356" spans="2:22" x14ac:dyDescent="0.25">
      <c r="M356" t="str">
        <f t="shared" si="35"/>
        <v>Enterprise value</v>
      </c>
      <c r="N356" s="133">
        <f>N354*N355</f>
        <v>1075.1954589591874</v>
      </c>
      <c r="O356" s="133">
        <f t="shared" ref="O356:V356" si="38">O354*O355</f>
        <v>1164.7950805391197</v>
      </c>
      <c r="P356" s="133">
        <f t="shared" si="38"/>
        <v>1254.394702119052</v>
      </c>
      <c r="Q356" s="133">
        <f t="shared" si="38"/>
        <v>1343.9943236989843</v>
      </c>
      <c r="R356" s="133">
        <f t="shared" si="38"/>
        <v>1433.5939452789166</v>
      </c>
      <c r="S356" s="133">
        <f t="shared" si="38"/>
        <v>1523.193566858849</v>
      </c>
      <c r="T356" s="133">
        <f t="shared" si="38"/>
        <v>1612.7931884387813</v>
      </c>
      <c r="U356" s="133">
        <f t="shared" si="38"/>
        <v>1702.3928100187136</v>
      </c>
      <c r="V356" s="133">
        <f t="shared" si="38"/>
        <v>1791.9924315986459</v>
      </c>
    </row>
    <row r="357" spans="2:22" x14ac:dyDescent="0.25">
      <c r="M357" t="str">
        <f t="shared" si="35"/>
        <v>Less debt</v>
      </c>
      <c r="N357" s="133">
        <f>N336/N362</f>
        <v>0</v>
      </c>
      <c r="O357" s="133">
        <f t="shared" ref="O357:V357" si="39">O336/O362</f>
        <v>0</v>
      </c>
      <c r="P357" s="133">
        <f t="shared" si="39"/>
        <v>0</v>
      </c>
      <c r="Q357" s="133">
        <f t="shared" si="39"/>
        <v>0</v>
      </c>
      <c r="R357" s="133">
        <f t="shared" si="39"/>
        <v>0</v>
      </c>
      <c r="S357" s="133">
        <f t="shared" si="39"/>
        <v>0</v>
      </c>
      <c r="T357" s="133">
        <f t="shared" si="39"/>
        <v>0</v>
      </c>
      <c r="U357" s="133">
        <f t="shared" si="39"/>
        <v>0</v>
      </c>
      <c r="V357" s="133">
        <f t="shared" si="39"/>
        <v>0</v>
      </c>
    </row>
    <row r="358" spans="2:22" x14ac:dyDescent="0.25">
      <c r="M358" t="str">
        <f t="shared" si="35"/>
        <v>Equity Value</v>
      </c>
      <c r="N358" s="133">
        <f>N356+N357</f>
        <v>1075.1954589591874</v>
      </c>
      <c r="O358" s="133">
        <f t="shared" ref="O358:V358" si="40">O356+O357</f>
        <v>1164.7950805391197</v>
      </c>
      <c r="P358" s="133">
        <f t="shared" si="40"/>
        <v>1254.394702119052</v>
      </c>
      <c r="Q358" s="133">
        <f t="shared" si="40"/>
        <v>1343.9943236989843</v>
      </c>
      <c r="R358" s="133">
        <f t="shared" si="40"/>
        <v>1433.5939452789166</v>
      </c>
      <c r="S358" s="133">
        <f t="shared" si="40"/>
        <v>1523.193566858849</v>
      </c>
      <c r="T358" s="133">
        <f t="shared" si="40"/>
        <v>1612.7931884387813</v>
      </c>
      <c r="U358" s="133">
        <f t="shared" si="40"/>
        <v>1702.3928100187136</v>
      </c>
      <c r="V358" s="133">
        <f t="shared" si="40"/>
        <v>1791.9924315986459</v>
      </c>
    </row>
    <row r="359" spans="2:22" x14ac:dyDescent="0.25">
      <c r="M359" s="112" t="str">
        <f t="shared" si="35"/>
        <v>IRR to Investors</v>
      </c>
      <c r="N359" s="142">
        <f ca="1">N338</f>
        <v>0.17127004965384307</v>
      </c>
      <c r="O359" s="142">
        <f t="shared" ref="O359:V359" ca="1" si="41">O338</f>
        <v>0.18183326015718859</v>
      </c>
      <c r="P359" s="142">
        <f t="shared" si="41"/>
        <v>0.28079604145244552</v>
      </c>
      <c r="Q359" s="142">
        <f t="shared" ca="1" si="41"/>
        <v>0.20159752161123157</v>
      </c>
      <c r="R359" s="142">
        <f t="shared" ca="1" si="41"/>
        <v>0.21088116966216086</v>
      </c>
      <c r="S359" s="142">
        <f t="shared" ca="1" si="41"/>
        <v>0.21981161462907228</v>
      </c>
      <c r="T359" s="142">
        <f t="shared" ca="1" si="41"/>
        <v>0.22841769644635246</v>
      </c>
      <c r="U359" s="142">
        <f t="shared" ca="1" si="41"/>
        <v>0.23672473574205943</v>
      </c>
      <c r="V359" s="142">
        <f t="shared" ca="1" si="41"/>
        <v>0.24475509429496212</v>
      </c>
    </row>
    <row r="362" spans="2:22" x14ac:dyDescent="0.25">
      <c r="M362" t="str">
        <f>"Year "&amp;'Plant model'!E1389&amp;" fx rate CAD:USD"</f>
        <v>Year 5 fx rate CAD:USD</v>
      </c>
      <c r="N362" s="127">
        <f>SUMIF('Plant model'!$I$1427:$AE$1427,1,'Plant model'!$I$14:$AE$14)</f>
        <v>0.77</v>
      </c>
      <c r="O362" s="127">
        <f>SUMIF('Plant model'!$I$1427:$AE$1427,1,'Plant model'!$I$14:$AE$14)</f>
        <v>0.77</v>
      </c>
      <c r="P362" s="127">
        <f>SUMIF('Plant model'!$I$1427:$AE$1427,1,'Plant model'!$I$14:$AE$14)</f>
        <v>0.77</v>
      </c>
      <c r="Q362" s="127">
        <f>SUMIF('Plant model'!$I$1427:$AE$1427,1,'Plant model'!$I$14:$AE$14)</f>
        <v>0.77</v>
      </c>
      <c r="R362" s="127">
        <f>SUMIF('Plant model'!$I$1427:$AE$1427,1,'Plant model'!$I$14:$AE$14)</f>
        <v>0.77</v>
      </c>
      <c r="S362" s="127">
        <f>SUMIF('Plant model'!$I$1427:$AE$1427,1,'Plant model'!$I$14:$AE$14)</f>
        <v>0.77</v>
      </c>
      <c r="T362" s="127">
        <f>SUMIF('Plant model'!$I$1427:$AE$1427,1,'Plant model'!$I$14:$AE$14)</f>
        <v>0.77</v>
      </c>
      <c r="U362" s="127">
        <f>SUMIF('Plant model'!$I$1427:$AE$1427,1,'Plant model'!$I$14:$AE$14)</f>
        <v>0.77</v>
      </c>
      <c r="V362" s="127">
        <f>SUMIF('Plant model'!$I$1427:$AE$1427,1,'Plant model'!$I$14:$AE$14)</f>
        <v>0.77</v>
      </c>
    </row>
    <row r="364" spans="2:22" s="116" customFormat="1" x14ac:dyDescent="0.25"/>
    <row r="367" spans="2:22" x14ac:dyDescent="0.25">
      <c r="B367" s="112" t="str">
        <f>"Capex (US$m) "&amp;" - "&amp;'Cover Page'!G24</f>
        <v>Capex (US$m)  - Gas Based Shaft Furnace + EAF</v>
      </c>
      <c r="D367" s="113" t="s">
        <v>339</v>
      </c>
      <c r="E367" s="113" t="s">
        <v>8</v>
      </c>
    </row>
    <row r="369" spans="2:5" x14ac:dyDescent="0.25">
      <c r="B369" s="116" t="str">
        <f>CAPEX!F8</f>
        <v>Labour</v>
      </c>
      <c r="D369" s="127">
        <f>CAPEX!F22/1000000*CAPEX!D52</f>
        <v>107.39905841111988</v>
      </c>
      <c r="E369" s="132">
        <f>D369/$D$377</f>
        <v>0.22744000478773538</v>
      </c>
    </row>
    <row r="370" spans="2:5" x14ac:dyDescent="0.25">
      <c r="B370" s="116" t="str">
        <f>CAPEX!G8</f>
        <v>Permanent Equipment</v>
      </c>
      <c r="D370" s="127">
        <f>CAPEX!G22/1000000*CAPEX!D52</f>
        <v>233.01321241599999</v>
      </c>
      <c r="E370" s="132">
        <f t="shared" ref="E370:E376" si="42">D370/$D$377</f>
        <v>0.49345429030328897</v>
      </c>
    </row>
    <row r="371" spans="2:5" x14ac:dyDescent="0.25">
      <c r="B371" s="116" t="str">
        <f>CAPEX!H8</f>
        <v>Permanent Material</v>
      </c>
      <c r="D371" s="127">
        <f>CAPEX!H22/1000000*CAPEX!D52</f>
        <v>39.343842175625255</v>
      </c>
      <c r="E371" s="132">
        <f t="shared" si="42"/>
        <v>8.3318827792121658E-2</v>
      </c>
    </row>
    <row r="372" spans="2:5" x14ac:dyDescent="0.25">
      <c r="B372" s="116" t="str">
        <f>CAPEX!I8</f>
        <v>Permanent Fabrication</v>
      </c>
      <c r="D372" s="127">
        <f>CAPEX!I22/1000000*CAPEX!D52</f>
        <v>2.6893609600000001</v>
      </c>
      <c r="E372" s="132">
        <f t="shared" si="42"/>
        <v>5.6952852163461585E-3</v>
      </c>
    </row>
    <row r="373" spans="2:5" x14ac:dyDescent="0.25">
      <c r="B373" s="116" t="str">
        <f>CAPEX!J8</f>
        <v>Sub-Contract</v>
      </c>
      <c r="D373" s="127">
        <f>CAPEX!J22/1000000*CAPEX!D52</f>
        <v>3.8170953600000006</v>
      </c>
      <c r="E373" s="132">
        <f t="shared" si="42"/>
        <v>8.0834990529465856E-3</v>
      </c>
    </row>
    <row r="374" spans="2:5" x14ac:dyDescent="0.25">
      <c r="B374" s="397" t="s">
        <v>639</v>
      </c>
      <c r="D374" s="127">
        <f>(CAPEX!M43-CAPEX!M42)/1000000</f>
        <v>48.672732428536477</v>
      </c>
      <c r="E374" s="132">
        <f t="shared" si="42"/>
        <v>0.10307470717482864</v>
      </c>
    </row>
    <row r="375" spans="2:5" x14ac:dyDescent="0.25">
      <c r="B375" s="398" t="str">
        <f>'Plant model'!C869</f>
        <v>Contingency</v>
      </c>
      <c r="D375" s="127">
        <f>'Plant model'!E869</f>
        <v>37.273000000000003</v>
      </c>
      <c r="E375" s="132">
        <f t="shared" si="42"/>
        <v>7.8933385672732601E-2</v>
      </c>
    </row>
    <row r="376" spans="2:5" x14ac:dyDescent="0.25">
      <c r="B376" t="str">
        <f>'Plant model'!C875</f>
        <v>Site specific capex</v>
      </c>
      <c r="D376" s="127">
        <f>'Plant model'!E889</f>
        <v>0</v>
      </c>
      <c r="E376" s="132">
        <f t="shared" si="42"/>
        <v>0</v>
      </c>
    </row>
    <row r="377" spans="2:5" x14ac:dyDescent="0.25">
      <c r="B377" s="112" t="s">
        <v>45</v>
      </c>
      <c r="D377" s="134">
        <f>SUM(D369:D376)</f>
        <v>472.20830175128162</v>
      </c>
      <c r="E377" s="132">
        <f>SUM(E369:E376)</f>
        <v>1</v>
      </c>
    </row>
    <row r="378" spans="2:5" x14ac:dyDescent="0.25">
      <c r="B378" s="112"/>
    </row>
    <row r="379" spans="2:5" x14ac:dyDescent="0.25">
      <c r="B379" s="112"/>
    </row>
    <row r="380" spans="2:5" x14ac:dyDescent="0.25">
      <c r="B380" s="112"/>
    </row>
    <row r="381" spans="2:5" x14ac:dyDescent="0.25">
      <c r="B381" s="112"/>
    </row>
    <row r="382" spans="2:5" x14ac:dyDescent="0.25">
      <c r="B382" s="112"/>
    </row>
    <row r="383" spans="2:5" x14ac:dyDescent="0.25">
      <c r="B383" s="112"/>
    </row>
    <row r="384" spans="2:5" x14ac:dyDescent="0.25">
      <c r="B384" s="112" t="str">
        <f>"Capex (C$m) "&amp;" - "&amp;'Cover Page'!G24</f>
        <v>Capex (C$m)  - Gas Based Shaft Furnace + EAF</v>
      </c>
      <c r="D384" s="113" t="s">
        <v>545</v>
      </c>
      <c r="E384" s="113" t="s">
        <v>8</v>
      </c>
    </row>
    <row r="386" spans="2:5" x14ac:dyDescent="0.25">
      <c r="B386" s="116" t="str">
        <f>B369</f>
        <v>Labour</v>
      </c>
      <c r="D386" s="127">
        <f>CAPEX!F22/1000000</f>
        <v>134.24882301389985</v>
      </c>
      <c r="E386" s="132">
        <f>D386/$D$394</f>
        <v>0.22737967849891869</v>
      </c>
    </row>
    <row r="387" spans="2:5" x14ac:dyDescent="0.25">
      <c r="B387" s="116" t="str">
        <f t="shared" ref="B387:B392" si="43">B370</f>
        <v>Permanent Equipment</v>
      </c>
      <c r="D387" s="127">
        <f>CAPEX!G22/1000000</f>
        <v>291.26651551999998</v>
      </c>
      <c r="E387" s="132">
        <f t="shared" ref="E387:E393" si="44">D387/$D$394</f>
        <v>0.49332340626614496</v>
      </c>
    </row>
    <row r="388" spans="2:5" x14ac:dyDescent="0.25">
      <c r="B388" s="116" t="str">
        <f t="shared" si="43"/>
        <v>Permanent Material</v>
      </c>
      <c r="D388" s="127">
        <f>CAPEX!H22/1000000</f>
        <v>49.179802719531565</v>
      </c>
      <c r="E388" s="132">
        <f t="shared" si="44"/>
        <v>8.3296728268891576E-2</v>
      </c>
    </row>
    <row r="389" spans="2:5" x14ac:dyDescent="0.25">
      <c r="B389" s="116" t="str">
        <f t="shared" si="43"/>
        <v>Permanent Fabrication</v>
      </c>
      <c r="D389" s="127">
        <f>CAPEX!I22/1000000</f>
        <v>3.3617011999999997</v>
      </c>
      <c r="E389" s="132">
        <f t="shared" si="44"/>
        <v>5.6937745963425426E-3</v>
      </c>
    </row>
    <row r="390" spans="2:5" x14ac:dyDescent="0.25">
      <c r="B390" s="116" t="str">
        <f t="shared" si="43"/>
        <v>Sub-Contract</v>
      </c>
      <c r="D390" s="127">
        <f>CAPEX!J22/1000000</f>
        <v>4.7713692000000005</v>
      </c>
      <c r="E390" s="132">
        <f t="shared" si="44"/>
        <v>8.0813549820344666E-3</v>
      </c>
    </row>
    <row r="391" spans="2:5" x14ac:dyDescent="0.25">
      <c r="B391" s="397" t="str">
        <f t="shared" si="43"/>
        <v>Indirects</v>
      </c>
      <c r="D391" s="127">
        <f>(CAPEX!K43-CAPEX!K42)/1000000</f>
        <v>60.950767999999997</v>
      </c>
      <c r="E391" s="132">
        <f t="shared" si="44"/>
        <v>0.10323342671441708</v>
      </c>
    </row>
    <row r="392" spans="2:5" x14ac:dyDescent="0.25">
      <c r="B392" s="398" t="str">
        <f t="shared" si="43"/>
        <v>Contingency</v>
      </c>
      <c r="D392" s="127">
        <f>CAPEX!K42/1000000</f>
        <v>46.637999999999998</v>
      </c>
      <c r="E392" s="132">
        <f t="shared" si="44"/>
        <v>7.8991630673250643E-2</v>
      </c>
    </row>
    <row r="393" spans="2:5" x14ac:dyDescent="0.25">
      <c r="B393" t="str">
        <f>B376</f>
        <v>Site specific capex</v>
      </c>
      <c r="D393" s="127">
        <f>'Plant model'!E889/'Plant model'!E14</f>
        <v>0</v>
      </c>
      <c r="E393" s="132">
        <f t="shared" si="44"/>
        <v>0</v>
      </c>
    </row>
    <row r="394" spans="2:5" x14ac:dyDescent="0.25">
      <c r="B394" s="112" t="s">
        <v>45</v>
      </c>
      <c r="D394" s="134">
        <f>SUM(D386:D393)</f>
        <v>590.41697965343144</v>
      </c>
      <c r="E394" s="132">
        <f>SUM(E386:E393)</f>
        <v>0.99999999999999989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R89"/>
  <sheetViews>
    <sheetView showGridLines="0" workbookViewId="0">
      <selection activeCell="D5" sqref="D5"/>
    </sheetView>
  </sheetViews>
  <sheetFormatPr defaultColWidth="8.7109375" defaultRowHeight="12.75" outlineLevelRow="1" x14ac:dyDescent="0.2"/>
  <cols>
    <col min="1" max="1" width="8.7109375" style="155"/>
    <col min="2" max="2" width="22" style="155" bestFit="1" customWidth="1"/>
    <col min="3" max="3" width="8.7109375" style="155"/>
    <col min="4" max="10" width="12.42578125" style="155" customWidth="1"/>
    <col min="11" max="16384" width="8.7109375" style="155"/>
  </cols>
  <sheetData>
    <row r="2" spans="2:18" x14ac:dyDescent="0.2">
      <c r="D2" s="253">
        <f>'Plant model'!I2</f>
        <v>-2</v>
      </c>
      <c r="E2" s="253">
        <f>'Plant model'!J2</f>
        <v>-1</v>
      </c>
      <c r="F2" s="253">
        <f>'Plant model'!K2</f>
        <v>0</v>
      </c>
      <c r="G2" s="253">
        <f>'Plant model'!L2</f>
        <v>1</v>
      </c>
      <c r="H2" s="253">
        <f>'Plant model'!M2</f>
        <v>2</v>
      </c>
      <c r="I2" s="253">
        <f>'Plant model'!N2</f>
        <v>3</v>
      </c>
      <c r="J2" s="253">
        <f>'Plant model'!O2</f>
        <v>4</v>
      </c>
    </row>
    <row r="5" spans="2:18" x14ac:dyDescent="0.2">
      <c r="D5" s="330">
        <f>'Plant model'!I3</f>
        <v>2022</v>
      </c>
      <c r="E5" s="252">
        <f t="shared" ref="E5:J5" si="0">D5+1</f>
        <v>2023</v>
      </c>
      <c r="F5" s="252">
        <f t="shared" si="0"/>
        <v>2024</v>
      </c>
      <c r="G5" s="252">
        <f t="shared" si="0"/>
        <v>2025</v>
      </c>
      <c r="H5" s="252">
        <f t="shared" si="0"/>
        <v>2026</v>
      </c>
      <c r="I5" s="252">
        <f t="shared" si="0"/>
        <v>2027</v>
      </c>
      <c r="J5" s="252">
        <f t="shared" si="0"/>
        <v>2028</v>
      </c>
      <c r="N5" s="158"/>
      <c r="O5" s="158"/>
      <c r="P5" s="158"/>
      <c r="Q5" s="158"/>
      <c r="R5" s="158"/>
    </row>
    <row r="6" spans="2:18" x14ac:dyDescent="0.2">
      <c r="N6" s="157"/>
      <c r="O6" s="157"/>
      <c r="P6" s="157"/>
      <c r="Q6" s="157"/>
    </row>
    <row r="7" spans="2:18" x14ac:dyDescent="0.2">
      <c r="B7" s="156" t="s">
        <v>330</v>
      </c>
      <c r="N7" s="157"/>
      <c r="O7" s="157"/>
      <c r="P7" s="157"/>
      <c r="Q7" s="157"/>
    </row>
    <row r="8" spans="2:18" x14ac:dyDescent="0.2">
      <c r="B8" s="156"/>
    </row>
    <row r="9" spans="2:18" x14ac:dyDescent="0.2">
      <c r="B9" s="228" t="str">
        <f>'Plant model'!C1213</f>
        <v>Revenue</v>
      </c>
      <c r="C9" s="228"/>
      <c r="D9" s="229">
        <f>'Plant model'!I1213</f>
        <v>0</v>
      </c>
      <c r="E9" s="229">
        <f>'Plant model'!J1213</f>
        <v>0</v>
      </c>
      <c r="F9" s="229">
        <f>'Plant model'!K1213</f>
        <v>91.613421249999988</v>
      </c>
      <c r="G9" s="229">
        <f>'Plant model'!L1213</f>
        <v>146.58147399999999</v>
      </c>
      <c r="H9" s="229">
        <f>'Plant model'!M1213</f>
        <v>293.16294799999997</v>
      </c>
      <c r="I9" s="229">
        <f>'Plant model'!N1213</f>
        <v>293.16294799999997</v>
      </c>
      <c r="J9" s="229">
        <f>'Plant model'!O1213</f>
        <v>293.16294799999997</v>
      </c>
    </row>
    <row r="10" spans="2:18" x14ac:dyDescent="0.2">
      <c r="B10" s="228" t="str">
        <f>'Plant model'!C1214</f>
        <v>Operating costs</v>
      </c>
      <c r="C10" s="228"/>
      <c r="D10" s="229">
        <f>'Plant model'!I1214</f>
        <v>0</v>
      </c>
      <c r="E10" s="229">
        <f>'Plant model'!J1214</f>
        <v>0</v>
      </c>
      <c r="F10" s="229">
        <f>'Plant model'!K1214</f>
        <v>-47.852836965524475</v>
      </c>
      <c r="G10" s="229">
        <f>'Plant model'!L1214</f>
        <v>-73.395648131607246</v>
      </c>
      <c r="H10" s="229">
        <f>'Plant model'!M1214</f>
        <v>-148.94539245333979</v>
      </c>
      <c r="I10" s="229">
        <f>'Plant model'!N1214</f>
        <v>-148.94539245333979</v>
      </c>
      <c r="J10" s="229">
        <f>'Plant model'!O1214</f>
        <v>-148.94539245333982</v>
      </c>
    </row>
    <row r="11" spans="2:18" x14ac:dyDescent="0.2">
      <c r="B11" s="228" t="str">
        <f>'Plant model'!C1215</f>
        <v>SG&amp;A</v>
      </c>
      <c r="C11" s="228"/>
      <c r="D11" s="229">
        <f>'Plant model'!I1215</f>
        <v>0</v>
      </c>
      <c r="E11" s="229">
        <f>'Plant model'!J1215</f>
        <v>0</v>
      </c>
      <c r="F11" s="229">
        <f>'Plant model'!K1215</f>
        <v>-2.2925483655322112</v>
      </c>
      <c r="G11" s="229">
        <f>'Plant model'!L1215</f>
        <v>-3.1170691567822111</v>
      </c>
      <c r="H11" s="229">
        <f>'Plant model'!M1215</f>
        <v>-6.2341383135644222</v>
      </c>
      <c r="I11" s="229">
        <f>'Plant model'!N1215</f>
        <v>-6.2341383135644222</v>
      </c>
      <c r="J11" s="229">
        <f>'Plant model'!O1215</f>
        <v>-6.2341383135644222</v>
      </c>
    </row>
    <row r="12" spans="2:18" x14ac:dyDescent="0.2">
      <c r="B12" s="228" t="str">
        <f>'Plant model'!C1216</f>
        <v>Change in working capital</v>
      </c>
      <c r="C12" s="228"/>
      <c r="D12" s="229">
        <f>'Plant model'!I1216</f>
        <v>0</v>
      </c>
      <c r="E12" s="229">
        <f>'Plant model'!J1216</f>
        <v>0</v>
      </c>
      <c r="F12" s="229">
        <f>'Plant model'!K1216</f>
        <v>-14.160716131695661</v>
      </c>
      <c r="G12" s="229">
        <f>'Plant model'!L1216</f>
        <v>-5.0492683477797407</v>
      </c>
      <c r="H12" s="229">
        <f>'Plant model'!M1216</f>
        <v>-18.996095745112967</v>
      </c>
      <c r="I12" s="229">
        <f>'Plant model'!N1216</f>
        <v>0</v>
      </c>
      <c r="J12" s="229">
        <f>'Plant model'!O1216</f>
        <v>0</v>
      </c>
    </row>
    <row r="13" spans="2:18" x14ac:dyDescent="0.2">
      <c r="B13" s="228" t="str">
        <f>'Plant model'!C1217</f>
        <v>Cash taxes</v>
      </c>
      <c r="C13" s="228"/>
      <c r="D13" s="229">
        <f>'Plant model'!I1217</f>
        <v>0</v>
      </c>
      <c r="E13" s="229">
        <f>'Plant model'!J1217</f>
        <v>0</v>
      </c>
      <c r="F13" s="229">
        <f>'Plant model'!K1217</f>
        <v>0</v>
      </c>
      <c r="G13" s="229">
        <f>'Plant model'!L1217</f>
        <v>0</v>
      </c>
      <c r="H13" s="229">
        <f>'Plant model'!M1217</f>
        <v>0</v>
      </c>
      <c r="I13" s="229">
        <f>'Plant model'!N1217</f>
        <v>0</v>
      </c>
      <c r="J13" s="229">
        <f>'Plant model'!O1217</f>
        <v>0</v>
      </c>
    </row>
    <row r="14" spans="2:18" x14ac:dyDescent="0.2">
      <c r="B14" s="230" t="str">
        <f>'Plant model'!C1218</f>
        <v>Operating cash flow</v>
      </c>
      <c r="C14" s="228"/>
      <c r="D14" s="231">
        <f>'Plant model'!I1218</f>
        <v>0</v>
      </c>
      <c r="E14" s="231">
        <f>'Plant model'!J1218</f>
        <v>0</v>
      </c>
      <c r="F14" s="231">
        <f>'Plant model'!K1218</f>
        <v>27.307319787247639</v>
      </c>
      <c r="G14" s="231">
        <f>'Plant model'!L1218</f>
        <v>65.019488363830789</v>
      </c>
      <c r="H14" s="231">
        <f>'Plant model'!M1218</f>
        <v>118.9873214879828</v>
      </c>
      <c r="I14" s="231">
        <f>'Plant model'!N1218</f>
        <v>137.98341723309576</v>
      </c>
      <c r="J14" s="231">
        <f>'Plant model'!O1218</f>
        <v>137.98341723309574</v>
      </c>
    </row>
    <row r="16" spans="2:18" x14ac:dyDescent="0.2">
      <c r="B16" s="228" t="str">
        <f>'Plant model'!C1220</f>
        <v>Capital expenditures</v>
      </c>
      <c r="C16" s="228"/>
      <c r="D16" s="229">
        <f>'Plant model'!I1220</f>
        <v>-56.557541166478941</v>
      </c>
      <c r="E16" s="229">
        <f>'Plant model'!J1220</f>
        <v>-267.7061937697539</v>
      </c>
      <c r="F16" s="229">
        <f>'Plant model'!K1220</f>
        <v>-151.31219647855653</v>
      </c>
      <c r="G16" s="229">
        <f>'Plant model'!L1220</f>
        <v>0</v>
      </c>
      <c r="H16" s="229">
        <f>'Plant model'!M1220</f>
        <v>0</v>
      </c>
      <c r="I16" s="229">
        <f>'Plant model'!N1220</f>
        <v>0</v>
      </c>
      <c r="J16" s="229">
        <f>'Plant model'!O1220</f>
        <v>0</v>
      </c>
    </row>
    <row r="17" spans="2:10" x14ac:dyDescent="0.2">
      <c r="B17" s="230" t="str">
        <f>'Plant model'!C1221</f>
        <v>Pre-finance cash flow</v>
      </c>
      <c r="C17" s="228"/>
      <c r="D17" s="231">
        <f>'Plant model'!I1221</f>
        <v>-56.557541166478941</v>
      </c>
      <c r="E17" s="231">
        <f>'Plant model'!J1221</f>
        <v>-267.7061937697539</v>
      </c>
      <c r="F17" s="231">
        <f>'Plant model'!K1221</f>
        <v>-124.00487669130889</v>
      </c>
      <c r="G17" s="231">
        <f>'Plant model'!L1221</f>
        <v>65.019488363830789</v>
      </c>
      <c r="H17" s="231">
        <f>'Plant model'!M1221</f>
        <v>118.9873214879828</v>
      </c>
      <c r="I17" s="231">
        <f>'Plant model'!N1221</f>
        <v>137.98341723309576</v>
      </c>
      <c r="J17" s="231">
        <f>'Plant model'!O1221</f>
        <v>137.98341723309574</v>
      </c>
    </row>
    <row r="19" spans="2:10" x14ac:dyDescent="0.2">
      <c r="B19" s="228" t="str">
        <f>'Plant model'!C1223</f>
        <v>Senior debt drawdown</v>
      </c>
      <c r="C19" s="228"/>
      <c r="D19" s="229">
        <f>'Plant model'!I1223</f>
        <v>33</v>
      </c>
      <c r="E19" s="229">
        <f>'Plant model'!J1223</f>
        <v>189.75</v>
      </c>
      <c r="F19" s="229">
        <f>'Plant model'!K1223</f>
        <v>107.25</v>
      </c>
      <c r="G19" s="229">
        <f>'Plant model'!L1223</f>
        <v>0</v>
      </c>
      <c r="H19" s="229">
        <f>'Plant model'!M1223</f>
        <v>0</v>
      </c>
      <c r="I19" s="229">
        <f>'Plant model'!N1223</f>
        <v>0</v>
      </c>
      <c r="J19" s="229">
        <f>'Plant model'!O1223</f>
        <v>0</v>
      </c>
    </row>
    <row r="20" spans="2:10" x14ac:dyDescent="0.2">
      <c r="B20" s="228" t="str">
        <f>'Plant model'!C1224</f>
        <v>Senior debt repayment</v>
      </c>
      <c r="C20" s="228"/>
      <c r="D20" s="229">
        <f>'Plant model'!I1224</f>
        <v>0</v>
      </c>
      <c r="E20" s="229">
        <f>'Plant model'!J1224</f>
        <v>0</v>
      </c>
      <c r="F20" s="229">
        <f>'Plant model'!K1224</f>
        <v>-17.368421052631579</v>
      </c>
      <c r="G20" s="229">
        <f>'Plant model'!L1224</f>
        <v>-17.368421052631579</v>
      </c>
      <c r="H20" s="229">
        <f>'Plant model'!M1224</f>
        <v>-34.736842105263158</v>
      </c>
      <c r="I20" s="229">
        <f>'Plant model'!N1224</f>
        <v>-34.736842105263158</v>
      </c>
      <c r="J20" s="229">
        <f>'Plant model'!O1224</f>
        <v>-34.736842105263158</v>
      </c>
    </row>
    <row r="21" spans="2:10" x14ac:dyDescent="0.2">
      <c r="B21" s="228" t="str">
        <f>'Plant model'!C1225</f>
        <v>Senior debt Financing fees</v>
      </c>
      <c r="C21" s="228"/>
      <c r="D21" s="229">
        <f>'Plant model'!I1225</f>
        <v>-9.8466004862175804</v>
      </c>
      <c r="E21" s="229">
        <f>'Plant model'!J1225</f>
        <v>-2.0445363821433498</v>
      </c>
      <c r="F21" s="229">
        <f>'Plant model'!K1225</f>
        <v>-0.27739940863251478</v>
      </c>
      <c r="G21" s="229">
        <f>'Plant model'!L1225</f>
        <v>0</v>
      </c>
      <c r="H21" s="229">
        <f>'Plant model'!M1225</f>
        <v>0</v>
      </c>
      <c r="I21" s="229">
        <f>'Plant model'!N1225</f>
        <v>0</v>
      </c>
      <c r="J21" s="229">
        <f>'Plant model'!O1225</f>
        <v>0</v>
      </c>
    </row>
    <row r="22" spans="2:10" x14ac:dyDescent="0.2">
      <c r="B22" s="228" t="str">
        <f>'Plant model'!C1226</f>
        <v>Senior debt Interest</v>
      </c>
      <c r="C22" s="228"/>
      <c r="D22" s="229">
        <f>'Plant model'!I1226</f>
        <v>0</v>
      </c>
      <c r="E22" s="229">
        <f>'Plant model'!J1226</f>
        <v>0</v>
      </c>
      <c r="F22" s="229">
        <f>'Plant model'!K1226</f>
        <v>0</v>
      </c>
      <c r="G22" s="229">
        <f>'Plant model'!L1226</f>
        <v>0</v>
      </c>
      <c r="H22" s="229">
        <f>'Plant model'!M1226</f>
        <v>0</v>
      </c>
      <c r="I22" s="229">
        <f>'Plant model'!N1226</f>
        <v>0</v>
      </c>
      <c r="J22" s="229">
        <f>'Plant model'!O1226</f>
        <v>0</v>
      </c>
    </row>
    <row r="23" spans="2:10" x14ac:dyDescent="0.2">
      <c r="B23" s="228" t="str">
        <f>'Plant model'!C1227</f>
        <v>Working capital drawdown</v>
      </c>
      <c r="C23" s="228"/>
      <c r="D23" s="229">
        <f>'Plant model'!I1227</f>
        <v>0</v>
      </c>
      <c r="E23" s="229">
        <f>'Plant model'!J1227</f>
        <v>0</v>
      </c>
      <c r="F23" s="229">
        <f>'Plant model'!K1227</f>
        <v>17.57147782279073</v>
      </c>
      <c r="G23" s="229">
        <f>'Plant model'!L1227</f>
        <v>5.8571592742635694</v>
      </c>
      <c r="H23" s="229">
        <f>'Plant model'!M1227</f>
        <v>23.428637097054299</v>
      </c>
      <c r="I23" s="229">
        <f>'Plant model'!N1227</f>
        <v>0</v>
      </c>
      <c r="J23" s="229">
        <f>'Plant model'!O1227</f>
        <v>0</v>
      </c>
    </row>
    <row r="24" spans="2:10" x14ac:dyDescent="0.2">
      <c r="B24" s="228" t="str">
        <f>'Plant model'!C1228</f>
        <v>Working capital repayment</v>
      </c>
      <c r="C24" s="228"/>
      <c r="D24" s="229">
        <f>'Plant model'!I1228</f>
        <v>0</v>
      </c>
      <c r="E24" s="229">
        <f>'Plant model'!J1228</f>
        <v>0</v>
      </c>
      <c r="F24" s="229">
        <f>'Plant model'!K1228</f>
        <v>0</v>
      </c>
      <c r="G24" s="229">
        <f>'Plant model'!L1228</f>
        <v>0</v>
      </c>
      <c r="H24" s="229">
        <f>'Plant model'!M1228</f>
        <v>0</v>
      </c>
      <c r="I24" s="229">
        <f>'Plant model'!N1228</f>
        <v>0</v>
      </c>
      <c r="J24" s="229">
        <f>'Plant model'!O1228</f>
        <v>0</v>
      </c>
    </row>
    <row r="25" spans="2:10" x14ac:dyDescent="0.2">
      <c r="B25" s="228" t="str">
        <f>'Plant model'!C1229</f>
        <v>Working capital interest</v>
      </c>
      <c r="C25" s="228"/>
      <c r="D25" s="229">
        <f>'Plant model'!I1229</f>
        <v>0</v>
      </c>
      <c r="E25" s="229">
        <f>'Plant model'!J1229</f>
        <v>0</v>
      </c>
      <c r="F25" s="229">
        <f>'Plant model'!K1229</f>
        <v>-0.39824532786748684</v>
      </c>
      <c r="G25" s="229">
        <f>'Plant model'!L1229</f>
        <v>-0.85338284543032894</v>
      </c>
      <c r="H25" s="229">
        <f>'Plant model'!M1229</f>
        <v>-2.8114364516465162</v>
      </c>
      <c r="I25" s="229">
        <f>'Plant model'!N1229</f>
        <v>-3.748581935528688</v>
      </c>
      <c r="J25" s="229">
        <f>'Plant model'!O1229</f>
        <v>-3.748581935528688</v>
      </c>
    </row>
    <row r="26" spans="2:10" x14ac:dyDescent="0.2">
      <c r="B26" s="228" t="str">
        <f>'Plant model'!C1230</f>
        <v>Cost overrun debt drawdown</v>
      </c>
      <c r="C26" s="228"/>
      <c r="D26" s="229">
        <f>'Plant model'!I1230</f>
        <v>0</v>
      </c>
      <c r="E26" s="229">
        <f>'Plant model'!J1230</f>
        <v>0</v>
      </c>
      <c r="F26" s="229">
        <f>'Plant model'!K1230</f>
        <v>0</v>
      </c>
      <c r="G26" s="229">
        <f>'Plant model'!L1230</f>
        <v>0</v>
      </c>
      <c r="H26" s="229">
        <f>'Plant model'!M1230</f>
        <v>0</v>
      </c>
      <c r="I26" s="229">
        <f>'Plant model'!N1230</f>
        <v>0</v>
      </c>
      <c r="J26" s="229">
        <f>'Plant model'!O1230</f>
        <v>0</v>
      </c>
    </row>
    <row r="27" spans="2:10" x14ac:dyDescent="0.2">
      <c r="B27" s="228" t="str">
        <f>'Plant model'!C1231</f>
        <v>Cost overrun debt repayment</v>
      </c>
      <c r="C27" s="228"/>
      <c r="D27" s="229">
        <f>'Plant model'!I1231</f>
        <v>0</v>
      </c>
      <c r="E27" s="229">
        <f>'Plant model'!J1231</f>
        <v>0</v>
      </c>
      <c r="F27" s="229">
        <f>'Plant model'!K1231</f>
        <v>0</v>
      </c>
      <c r="G27" s="229">
        <f>'Plant model'!L1231</f>
        <v>0</v>
      </c>
      <c r="H27" s="229">
        <f>'Plant model'!M1231</f>
        <v>0</v>
      </c>
      <c r="I27" s="229">
        <f>'Plant model'!N1231</f>
        <v>0</v>
      </c>
      <c r="J27" s="229">
        <f>'Plant model'!O1231</f>
        <v>0</v>
      </c>
    </row>
    <row r="28" spans="2:10" x14ac:dyDescent="0.2">
      <c r="B28" s="228" t="str">
        <f>'Plant model'!C1232</f>
        <v>Cost overrun debt interest</v>
      </c>
      <c r="C28" s="228"/>
      <c r="D28" s="229">
        <f>'Plant model'!I1232</f>
        <v>0</v>
      </c>
      <c r="E28" s="229">
        <f>'Plant model'!J1232</f>
        <v>0</v>
      </c>
      <c r="F28" s="229">
        <f>'Plant model'!K1232</f>
        <v>0</v>
      </c>
      <c r="G28" s="229">
        <f>'Plant model'!L1232</f>
        <v>0</v>
      </c>
      <c r="H28" s="229">
        <f>'Plant model'!M1232</f>
        <v>0</v>
      </c>
      <c r="I28" s="229">
        <f>'Plant model'!N1232</f>
        <v>0</v>
      </c>
      <c r="J28" s="229">
        <f>'Plant model'!O1232</f>
        <v>0</v>
      </c>
    </row>
    <row r="29" spans="2:10" x14ac:dyDescent="0.2">
      <c r="B29" s="228" t="str">
        <f>'Plant model'!C1233</f>
        <v>Cost overrun debt fees</v>
      </c>
      <c r="C29" s="228"/>
      <c r="D29" s="229">
        <f>'Plant model'!I1233</f>
        <v>-0.23192009709146702</v>
      </c>
      <c r="E29" s="229">
        <f>'Plant model'!J1233</f>
        <v>-0.23192009709146702</v>
      </c>
      <c r="F29" s="229">
        <f>'Plant model'!K1233</f>
        <v>-0.11596004854573351</v>
      </c>
      <c r="G29" s="229">
        <f>'Plant model'!L1233</f>
        <v>0</v>
      </c>
      <c r="H29" s="229">
        <f>'Plant model'!M1233</f>
        <v>0</v>
      </c>
      <c r="I29" s="229">
        <f>'Plant model'!N1233</f>
        <v>0</v>
      </c>
      <c r="J29" s="229">
        <f>'Plant model'!O1233</f>
        <v>0</v>
      </c>
    </row>
    <row r="30" spans="2:10" x14ac:dyDescent="0.2">
      <c r="B30" s="228" t="str">
        <f>'Plant model'!C1234</f>
        <v>Pre-Construction 80/20 Loan Facility drawdown</v>
      </c>
      <c r="C30" s="228"/>
      <c r="D30" s="229">
        <f>'Plant model'!I1234</f>
        <v>9.9999422500000001</v>
      </c>
      <c r="E30" s="229">
        <f>'Plant model'!J1234</f>
        <v>0</v>
      </c>
      <c r="F30" s="229">
        <f>'Plant model'!K1234</f>
        <v>0</v>
      </c>
      <c r="G30" s="229">
        <f>'Plant model'!L1234</f>
        <v>0</v>
      </c>
      <c r="H30" s="229">
        <f>'Plant model'!M1234</f>
        <v>0</v>
      </c>
      <c r="I30" s="229">
        <f>'Plant model'!N1234</f>
        <v>0</v>
      </c>
      <c r="J30" s="229">
        <f>'Plant model'!O1234</f>
        <v>0</v>
      </c>
    </row>
    <row r="31" spans="2:10" x14ac:dyDescent="0.2">
      <c r="B31" s="228" t="str">
        <f>'Plant model'!C1235</f>
        <v>Pre-Construction 80/20 Loan Facility repayment</v>
      </c>
      <c r="C31" s="228"/>
      <c r="D31" s="229">
        <f>'Plant model'!I1235</f>
        <v>0</v>
      </c>
      <c r="E31" s="229">
        <f>'Plant model'!J1235</f>
        <v>0</v>
      </c>
      <c r="F31" s="229">
        <f>'Plant model'!K1235</f>
        <v>0</v>
      </c>
      <c r="G31" s="229">
        <f>'Plant model'!L1235</f>
        <v>0</v>
      </c>
      <c r="H31" s="229">
        <f>'Plant model'!M1235</f>
        <v>0</v>
      </c>
      <c r="I31" s="229">
        <f>'Plant model'!N1235</f>
        <v>0</v>
      </c>
      <c r="J31" s="229">
        <f>'Plant model'!O1235</f>
        <v>0</v>
      </c>
    </row>
    <row r="32" spans="2:10" x14ac:dyDescent="0.2">
      <c r="B32" s="228" t="str">
        <f>'Plant model'!C1236</f>
        <v>Pre-Construction 80/20 Loan Facility interest</v>
      </c>
      <c r="C32" s="228"/>
      <c r="D32" s="229">
        <f>'Plant model'!I1236</f>
        <v>-1.0099932893521877</v>
      </c>
      <c r="E32" s="229">
        <f>'Plant model'!J1236</f>
        <v>-1.2644676976568752</v>
      </c>
      <c r="F32" s="229">
        <f>'Plant model'!K1236</f>
        <v>-1.2644676976568752</v>
      </c>
      <c r="G32" s="229">
        <f>'Plant model'!L1236</f>
        <v>-0.63223384882843758</v>
      </c>
      <c r="H32" s="229">
        <f>'Plant model'!M1236</f>
        <v>-0.10537230813807293</v>
      </c>
      <c r="I32" s="229">
        <f>'Plant model'!N1236</f>
        <v>-0.10537230813807293</v>
      </c>
      <c r="J32" s="229">
        <f>'Plant model'!O1236</f>
        <v>-0.10537230813807293</v>
      </c>
    </row>
    <row r="33" spans="1:10" x14ac:dyDescent="0.2">
      <c r="B33" s="228" t="str">
        <f>'Plant model'!C1237</f>
        <v>Pre-Construction 80/20 Loan Facility fees</v>
      </c>
      <c r="C33" s="228"/>
      <c r="D33" s="229">
        <f>'Plant model'!I1237</f>
        <v>-0.35</v>
      </c>
      <c r="E33" s="229">
        <f>'Plant model'!J1237</f>
        <v>0</v>
      </c>
      <c r="F33" s="229">
        <f>'Plant model'!K1237</f>
        <v>0</v>
      </c>
      <c r="G33" s="229">
        <f>'Plant model'!L1237</f>
        <v>0</v>
      </c>
      <c r="H33" s="229">
        <f>'Plant model'!M1237</f>
        <v>0</v>
      </c>
      <c r="I33" s="229">
        <f>'Plant model'!N1237</f>
        <v>0</v>
      </c>
      <c r="J33" s="229">
        <f>'Plant model'!O1237</f>
        <v>0</v>
      </c>
    </row>
    <row r="34" spans="1:10" x14ac:dyDescent="0.2">
      <c r="A34" s="157"/>
      <c r="B34" s="228" t="str">
        <f>'Plant model'!C1238</f>
        <v>Equity issued</v>
      </c>
      <c r="C34" s="228"/>
      <c r="D34" s="229">
        <f>'Plant model'!I1238</f>
        <v>24.996112789140177</v>
      </c>
      <c r="E34" s="229">
        <f>'Plant model'!J1238</f>
        <v>81.497117946645588</v>
      </c>
      <c r="F34" s="229">
        <f>'Plant model'!K1238</f>
        <v>38.329538430666908</v>
      </c>
      <c r="G34" s="229">
        <f>'Plant model'!L1238</f>
        <v>0</v>
      </c>
      <c r="H34" s="229" t="e">
        <f ca="1">'Plant model'!M1238</f>
        <v>#NAME?</v>
      </c>
      <c r="I34" s="229" t="e">
        <f ca="1">'Plant model'!N1238</f>
        <v>#NAME?</v>
      </c>
      <c r="J34" s="229" t="e">
        <f ca="1">'Plant model'!O1238</f>
        <v>#NAME?</v>
      </c>
    </row>
    <row r="35" spans="1:10" x14ac:dyDescent="0.2">
      <c r="B35" s="230" t="str">
        <f>'Plant model'!C1239</f>
        <v>Financing cash flows</v>
      </c>
      <c r="C35" s="230"/>
      <c r="D35" s="231">
        <f>'Plant model'!I1239</f>
        <v>56.557541166478934</v>
      </c>
      <c r="E35" s="231">
        <f>'Plant model'!J1239</f>
        <v>267.7061937697539</v>
      </c>
      <c r="F35" s="231">
        <f>'Plant model'!K1239</f>
        <v>143.72652271812345</v>
      </c>
      <c r="G35" s="231">
        <f>'Plant model'!L1239</f>
        <v>-12.996878472626776</v>
      </c>
      <c r="H35" s="231" t="e">
        <f ca="1">'Plant model'!M1239</f>
        <v>#NAME?</v>
      </c>
      <c r="I35" s="231" t="e">
        <f ca="1">'Plant model'!N1239</f>
        <v>#NAME?</v>
      </c>
      <c r="J35" s="231" t="e">
        <f ca="1">'Plant model'!O1239</f>
        <v>#NAME?</v>
      </c>
    </row>
    <row r="37" spans="1:10" x14ac:dyDescent="0.2">
      <c r="B37" s="228" t="str">
        <f>'Plant model'!C1241</f>
        <v>Dividends</v>
      </c>
      <c r="C37" s="228"/>
      <c r="D37" s="229">
        <f>'Plant model'!I1241</f>
        <v>0</v>
      </c>
      <c r="E37" s="229">
        <f>'Plant model'!J1241</f>
        <v>0</v>
      </c>
      <c r="F37" s="229">
        <f>'Plant model'!K1241</f>
        <v>0</v>
      </c>
      <c r="G37" s="229">
        <f>'Plant model'!L1241</f>
        <v>0</v>
      </c>
      <c r="H37" s="229">
        <f>'Plant model'!M1241</f>
        <v>0</v>
      </c>
      <c r="I37" s="229">
        <f>'Plant model'!N1241</f>
        <v>0</v>
      </c>
      <c r="J37" s="229">
        <f>'Plant model'!O1241</f>
        <v>0</v>
      </c>
    </row>
    <row r="39" spans="1:10" x14ac:dyDescent="0.2">
      <c r="B39" s="230" t="str">
        <f>'Plant model'!C1243</f>
        <v>Total cash flows</v>
      </c>
      <c r="C39" s="228"/>
      <c r="D39" s="231">
        <f>'Plant model'!I1243</f>
        <v>-7.1054273576010019E-15</v>
      </c>
      <c r="E39" s="231">
        <f>'Plant model'!J1243</f>
        <v>0</v>
      </c>
      <c r="F39" s="231">
        <f>'Plant model'!K1243</f>
        <v>19.721646026814554</v>
      </c>
      <c r="G39" s="231">
        <f>'Plant model'!L1243</f>
        <v>52.022609891204013</v>
      </c>
      <c r="H39" s="231" t="e">
        <f ca="1">'Plant model'!M1243</f>
        <v>#NAME?</v>
      </c>
      <c r="I39" s="231" t="e">
        <f ca="1">'Plant model'!N1243</f>
        <v>#NAME?</v>
      </c>
      <c r="J39" s="231" t="e">
        <f ca="1">'Plant model'!O1243</f>
        <v>#NAME?</v>
      </c>
    </row>
    <row r="42" spans="1:10" x14ac:dyDescent="0.2">
      <c r="D42" s="154">
        <f t="shared" ref="D42:J42" si="1">D5</f>
        <v>2022</v>
      </c>
      <c r="E42" s="154">
        <f t="shared" si="1"/>
        <v>2023</v>
      </c>
      <c r="F42" s="154">
        <f t="shared" si="1"/>
        <v>2024</v>
      </c>
      <c r="G42" s="154">
        <f t="shared" si="1"/>
        <v>2025</v>
      </c>
      <c r="H42" s="154">
        <f t="shared" si="1"/>
        <v>2026</v>
      </c>
      <c r="I42" s="154">
        <f t="shared" si="1"/>
        <v>2027</v>
      </c>
      <c r="J42" s="154">
        <f t="shared" si="1"/>
        <v>2028</v>
      </c>
    </row>
    <row r="44" spans="1:10" x14ac:dyDescent="0.2">
      <c r="B44" s="160" t="s">
        <v>332</v>
      </c>
      <c r="C44" s="161"/>
      <c r="D44" s="161"/>
      <c r="E44" s="161"/>
      <c r="F44" s="161"/>
      <c r="G44" s="161"/>
      <c r="H44" s="161"/>
      <c r="I44" s="161"/>
      <c r="J44" s="161"/>
    </row>
    <row r="46" spans="1:10" x14ac:dyDescent="0.2">
      <c r="B46" s="228" t="str">
        <f>'Plant model'!C1254</f>
        <v>Revenue</v>
      </c>
      <c r="C46" s="228"/>
      <c r="D46" s="229">
        <f>'Plant model'!I1254</f>
        <v>0</v>
      </c>
      <c r="E46" s="229">
        <f>'Plant model'!J1254</f>
        <v>0</v>
      </c>
      <c r="F46" s="229">
        <f>'Plant model'!K1254</f>
        <v>91.613421249999988</v>
      </c>
      <c r="G46" s="229">
        <f>'Plant model'!L1254</f>
        <v>146.58147399999999</v>
      </c>
      <c r="H46" s="229">
        <f>'Plant model'!M1254</f>
        <v>293.16294799999997</v>
      </c>
      <c r="I46" s="229">
        <f>'Plant model'!N1254</f>
        <v>293.16294799999997</v>
      </c>
      <c r="J46" s="229">
        <f>'Plant model'!O1254</f>
        <v>293.16294799999997</v>
      </c>
    </row>
    <row r="47" spans="1:10" x14ac:dyDescent="0.2">
      <c r="B47" s="228" t="str">
        <f>'Plant model'!C1255</f>
        <v>Operating costs</v>
      </c>
      <c r="C47" s="228"/>
      <c r="D47" s="229">
        <f>'Plant model'!I1255</f>
        <v>0</v>
      </c>
      <c r="E47" s="229">
        <f>'Plant model'!J1255</f>
        <v>0</v>
      </c>
      <c r="F47" s="229">
        <f>'Plant model'!K1255</f>
        <v>-47.852836965524475</v>
      </c>
      <c r="G47" s="229">
        <f>'Plant model'!L1255</f>
        <v>-73.395648131607246</v>
      </c>
      <c r="H47" s="229">
        <f>'Plant model'!M1255</f>
        <v>-148.94539245333979</v>
      </c>
      <c r="I47" s="229">
        <f>'Plant model'!N1255</f>
        <v>-148.94539245333979</v>
      </c>
      <c r="J47" s="229">
        <f>'Plant model'!O1255</f>
        <v>-148.94539245333982</v>
      </c>
    </row>
    <row r="48" spans="1:10" x14ac:dyDescent="0.2">
      <c r="B48" s="228" t="str">
        <f>'Plant model'!C1256</f>
        <v>SG&amp;A</v>
      </c>
      <c r="C48" s="228"/>
      <c r="D48" s="229">
        <f>'Plant model'!I1256</f>
        <v>0</v>
      </c>
      <c r="E48" s="229">
        <f>'Plant model'!J1256</f>
        <v>0</v>
      </c>
      <c r="F48" s="229">
        <f>'Plant model'!K1256</f>
        <v>-2.2925483655322112</v>
      </c>
      <c r="G48" s="229">
        <f>'Plant model'!L1256</f>
        <v>-3.1170691567822111</v>
      </c>
      <c r="H48" s="229">
        <f>'Plant model'!M1256</f>
        <v>-6.2341383135644222</v>
      </c>
      <c r="I48" s="229">
        <f>'Plant model'!N1256</f>
        <v>-6.2341383135644222</v>
      </c>
      <c r="J48" s="229">
        <f>'Plant model'!O1256</f>
        <v>-6.2341383135644222</v>
      </c>
    </row>
    <row r="49" spans="2:10" x14ac:dyDescent="0.2">
      <c r="B49" s="230" t="str">
        <f>'Plant model'!C1257</f>
        <v>EBITDA</v>
      </c>
      <c r="C49" s="228"/>
      <c r="D49" s="231">
        <f>'Plant model'!I1257</f>
        <v>0</v>
      </c>
      <c r="E49" s="231">
        <f>'Plant model'!J1257</f>
        <v>0</v>
      </c>
      <c r="F49" s="231">
        <f>'Plant model'!K1257</f>
        <v>41.468035918943301</v>
      </c>
      <c r="G49" s="231">
        <f>'Plant model'!L1257</f>
        <v>70.068756711610533</v>
      </c>
      <c r="H49" s="231">
        <f>'Plant model'!M1257</f>
        <v>137.98341723309576</v>
      </c>
      <c r="I49" s="231">
        <f>'Plant model'!N1257</f>
        <v>137.98341723309576</v>
      </c>
      <c r="J49" s="231">
        <f>'Plant model'!O1257</f>
        <v>137.98341723309574</v>
      </c>
    </row>
    <row r="50" spans="2:10" x14ac:dyDescent="0.2">
      <c r="B50" s="228"/>
      <c r="C50" s="228"/>
      <c r="D50" s="228"/>
      <c r="E50" s="228"/>
      <c r="F50" s="228"/>
      <c r="G50" s="228"/>
      <c r="H50" s="228"/>
      <c r="I50" s="228"/>
      <c r="J50" s="228"/>
    </row>
    <row r="51" spans="2:10" x14ac:dyDescent="0.2">
      <c r="B51" s="228" t="str">
        <f>'Plant model'!C1259</f>
        <v>Depreciation</v>
      </c>
      <c r="C51" s="228"/>
      <c r="D51" s="229">
        <f>'Plant model'!I1259</f>
        <v>0</v>
      </c>
      <c r="E51" s="229">
        <f>'Plant model'!J1259</f>
        <v>0</v>
      </c>
      <c r="F51" s="229">
        <f>'Plant model'!K1259</f>
        <v>0</v>
      </c>
      <c r="G51" s="229">
        <f>'Plant model'!L1259</f>
        <v>-11.889398285369733</v>
      </c>
      <c r="H51" s="229">
        <f>'Plant model'!M1259</f>
        <v>-23.778796570739466</v>
      </c>
      <c r="I51" s="229">
        <f>'Plant model'!N1259</f>
        <v>-23.778796570739466</v>
      </c>
      <c r="J51" s="229">
        <f>'Plant model'!O1259</f>
        <v>-23.778796570739466</v>
      </c>
    </row>
    <row r="52" spans="2:10" x14ac:dyDescent="0.2">
      <c r="B52" s="228" t="str">
        <f>'Plant model'!C1260</f>
        <v>Amortization</v>
      </c>
      <c r="C52" s="228"/>
      <c r="D52" s="229">
        <f>'Plant model'!I1260</f>
        <v>-0.26250000000000001</v>
      </c>
      <c r="E52" s="229">
        <f>'Plant model'!J1260</f>
        <v>-0.17499999999999999</v>
      </c>
      <c r="F52" s="229">
        <f>'Plant model'!K1260</f>
        <v>-1.5935420649652643</v>
      </c>
      <c r="G52" s="229">
        <f>'Plant model'!L1260</f>
        <v>-0.79677103248263215</v>
      </c>
      <c r="H52" s="229">
        <f>'Plant model'!M1260</f>
        <v>-1.5935420649652643</v>
      </c>
      <c r="I52" s="229">
        <f>'Plant model'!N1260</f>
        <v>-1.5935420649652643</v>
      </c>
      <c r="J52" s="229">
        <f>'Plant model'!O1260</f>
        <v>-1.5935420649652643</v>
      </c>
    </row>
    <row r="53" spans="2:10" x14ac:dyDescent="0.2">
      <c r="B53" s="230" t="str">
        <f>'Plant model'!C1261</f>
        <v>EBIT</v>
      </c>
      <c r="C53" s="228"/>
      <c r="D53" s="231">
        <f>'Plant model'!I1261</f>
        <v>-0.26250000000000001</v>
      </c>
      <c r="E53" s="231">
        <f>'Plant model'!J1261</f>
        <v>-0.17499999999999999</v>
      </c>
      <c r="F53" s="231">
        <f>'Plant model'!K1261</f>
        <v>39.874493853978038</v>
      </c>
      <c r="G53" s="231">
        <f>'Plant model'!L1261</f>
        <v>57.382587393758165</v>
      </c>
      <c r="H53" s="231">
        <f>'Plant model'!M1261</f>
        <v>112.61107859739103</v>
      </c>
      <c r="I53" s="231">
        <f>'Plant model'!N1261</f>
        <v>112.61107859739103</v>
      </c>
      <c r="J53" s="231">
        <f>'Plant model'!O1261</f>
        <v>112.611078597391</v>
      </c>
    </row>
    <row r="54" spans="2:10" x14ac:dyDescent="0.2">
      <c r="B54" s="228"/>
      <c r="C54" s="228"/>
      <c r="D54" s="228"/>
      <c r="E54" s="228"/>
      <c r="F54" s="228"/>
      <c r="G54" s="228"/>
      <c r="H54" s="228"/>
      <c r="I54" s="228"/>
      <c r="J54" s="228"/>
    </row>
    <row r="55" spans="2:10" x14ac:dyDescent="0.2">
      <c r="B55" s="228" t="str">
        <f>'Plant model'!C1263</f>
        <v>Senior Debt Interest</v>
      </c>
      <c r="C55" s="228"/>
      <c r="D55" s="229">
        <f>'Plant model'!I1263</f>
        <v>0</v>
      </c>
      <c r="E55" s="229">
        <f>'Plant model'!J1263</f>
        <v>0</v>
      </c>
      <c r="F55" s="229">
        <f>'Plant model'!K1263</f>
        <v>0</v>
      </c>
      <c r="G55" s="229">
        <f>'Plant model'!L1263</f>
        <v>0</v>
      </c>
      <c r="H55" s="229">
        <f>'Plant model'!M1263</f>
        <v>0</v>
      </c>
      <c r="I55" s="229">
        <f>'Plant model'!N1263</f>
        <v>0</v>
      </c>
      <c r="J55" s="229">
        <f>'Plant model'!O1263</f>
        <v>0</v>
      </c>
    </row>
    <row r="56" spans="2:10" x14ac:dyDescent="0.2">
      <c r="B56" s="228" t="str">
        <f>'Plant model'!C1264</f>
        <v>Working capital interest</v>
      </c>
      <c r="C56" s="228"/>
      <c r="D56" s="229">
        <f>'Plant model'!I1264</f>
        <v>0</v>
      </c>
      <c r="E56" s="229">
        <f>'Plant model'!J1264</f>
        <v>0</v>
      </c>
      <c r="F56" s="229">
        <f>'Plant model'!K1264</f>
        <v>-0.39824532786748684</v>
      </c>
      <c r="G56" s="229">
        <f>'Plant model'!L1264</f>
        <v>-0.85338284543032894</v>
      </c>
      <c r="H56" s="229">
        <f>'Plant model'!M1264</f>
        <v>-2.8114364516465162</v>
      </c>
      <c r="I56" s="229">
        <f>'Plant model'!N1264</f>
        <v>-3.748581935528688</v>
      </c>
      <c r="J56" s="229">
        <f>'Plant model'!O1264</f>
        <v>-3.748581935528688</v>
      </c>
    </row>
    <row r="57" spans="2:10" x14ac:dyDescent="0.2">
      <c r="B57" s="228" t="str">
        <f>'Plant model'!C1265</f>
        <v>Cost overrun interest</v>
      </c>
      <c r="C57" s="228"/>
      <c r="D57" s="229">
        <f>'Plant model'!I1265</f>
        <v>0</v>
      </c>
      <c r="E57" s="229">
        <f>'Plant model'!J1265</f>
        <v>0</v>
      </c>
      <c r="F57" s="229">
        <f>'Plant model'!K1265</f>
        <v>0</v>
      </c>
      <c r="G57" s="229">
        <f>'Plant model'!L1265</f>
        <v>0</v>
      </c>
      <c r="H57" s="229">
        <f>'Plant model'!M1265</f>
        <v>0</v>
      </c>
      <c r="I57" s="229">
        <f>'Plant model'!N1265</f>
        <v>0</v>
      </c>
      <c r="J57" s="229">
        <f>'Plant model'!O1265</f>
        <v>0</v>
      </c>
    </row>
    <row r="58" spans="2:10" x14ac:dyDescent="0.2">
      <c r="B58" s="228" t="str">
        <f>'Plant model'!C1266</f>
        <v>Pre-Construction 80/20 Loan Facility interest</v>
      </c>
      <c r="C58" s="228"/>
      <c r="D58" s="229">
        <f>'Plant model'!I1266</f>
        <v>-1.0099932893521877</v>
      </c>
      <c r="E58" s="229">
        <f>'Plant model'!J1266</f>
        <v>-1.2644676976568752</v>
      </c>
      <c r="F58" s="229">
        <f>'Plant model'!K1266</f>
        <v>-1.2644676976568752</v>
      </c>
      <c r="G58" s="229">
        <f>'Plant model'!L1266</f>
        <v>-0.63223384882843758</v>
      </c>
      <c r="H58" s="229">
        <f>'Plant model'!M1266</f>
        <v>-0.10537230813807293</v>
      </c>
      <c r="I58" s="229">
        <f>'Plant model'!N1266</f>
        <v>-0.10537230813807293</v>
      </c>
      <c r="J58" s="229">
        <f>'Plant model'!O1266</f>
        <v>-0.10537230813807293</v>
      </c>
    </row>
    <row r="59" spans="2:10" x14ac:dyDescent="0.2">
      <c r="B59" s="230" t="str">
        <f>'Plant model'!C1267</f>
        <v>EBT</v>
      </c>
      <c r="C59" s="228"/>
      <c r="D59" s="231">
        <f>'Plant model'!I1267</f>
        <v>-1.2724932893521876</v>
      </c>
      <c r="E59" s="231">
        <f>'Plant model'!J1267</f>
        <v>-1.4394676976568752</v>
      </c>
      <c r="F59" s="231">
        <f>'Plant model'!K1267</f>
        <v>38.211780828453676</v>
      </c>
      <c r="G59" s="231">
        <f>'Plant model'!L1267</f>
        <v>55.896970699499398</v>
      </c>
      <c r="H59" s="231">
        <f>'Plant model'!M1267</f>
        <v>109.69426983760644</v>
      </c>
      <c r="I59" s="231">
        <f>'Plant model'!N1267</f>
        <v>108.75712435372427</v>
      </c>
      <c r="J59" s="231">
        <f>'Plant model'!O1267</f>
        <v>108.75712435372424</v>
      </c>
    </row>
    <row r="60" spans="2:10" x14ac:dyDescent="0.2">
      <c r="B60" s="228"/>
      <c r="C60" s="228"/>
      <c r="D60" s="228"/>
      <c r="E60" s="228"/>
      <c r="F60" s="228"/>
      <c r="G60" s="228"/>
      <c r="H60" s="228"/>
      <c r="I60" s="228"/>
      <c r="J60" s="228"/>
    </row>
    <row r="61" spans="2:10" x14ac:dyDescent="0.2">
      <c r="B61" s="228" t="str">
        <f>'Plant model'!C1269</f>
        <v>Accounting Taxes</v>
      </c>
      <c r="C61" s="228"/>
      <c r="D61" s="229">
        <f>'Plant model'!I1269</f>
        <v>0</v>
      </c>
      <c r="E61" s="229">
        <f>'Plant model'!J1269</f>
        <v>0</v>
      </c>
      <c r="F61" s="229">
        <f>'Plant model'!K1269</f>
        <v>-9.5968887550661393</v>
      </c>
      <c r="G61" s="229">
        <f>'Plant model'!L1269</f>
        <v>-14.038524191179274</v>
      </c>
      <c r="H61" s="229">
        <f>'Plant model'!M1269</f>
        <v>-27.549715869714859</v>
      </c>
      <c r="I61" s="229">
        <f>'Plant model'!N1269</f>
        <v>-27.31435178143785</v>
      </c>
      <c r="J61" s="229">
        <f>'Plant model'!O1269</f>
        <v>-27.314351781437843</v>
      </c>
    </row>
    <row r="62" spans="2:10" x14ac:dyDescent="0.2">
      <c r="B62" s="230" t="str">
        <f>'Plant model'!C1270</f>
        <v>Net income</v>
      </c>
      <c r="C62" s="228"/>
      <c r="D62" s="231">
        <f>'Plant model'!I1270</f>
        <v>-1.2724932893521876</v>
      </c>
      <c r="E62" s="231">
        <f>'Plant model'!J1270</f>
        <v>-1.4394676976568752</v>
      </c>
      <c r="F62" s="231">
        <f>'Plant model'!K1270</f>
        <v>28.614892073387537</v>
      </c>
      <c r="G62" s="231">
        <f>'Plant model'!L1270</f>
        <v>41.858446508320128</v>
      </c>
      <c r="H62" s="231">
        <f>'Plant model'!M1270</f>
        <v>82.144553967891582</v>
      </c>
      <c r="I62" s="231">
        <f>'Plant model'!N1270</f>
        <v>81.442772572286415</v>
      </c>
      <c r="J62" s="231">
        <f>'Plant model'!O1270</f>
        <v>81.442772572286401</v>
      </c>
    </row>
    <row r="64" spans="2:10" outlineLevel="1" x14ac:dyDescent="0.2"/>
    <row r="65" spans="2:12" outlineLevel="1" x14ac:dyDescent="0.2">
      <c r="D65" s="154">
        <f>D42</f>
        <v>2022</v>
      </c>
      <c r="E65" s="154">
        <f t="shared" ref="E65:J65" si="2">E42</f>
        <v>2023</v>
      </c>
      <c r="F65" s="154">
        <f t="shared" si="2"/>
        <v>2024</v>
      </c>
      <c r="G65" s="154">
        <f t="shared" si="2"/>
        <v>2025</v>
      </c>
      <c r="H65" s="154">
        <f t="shared" si="2"/>
        <v>2026</v>
      </c>
      <c r="I65" s="154">
        <f t="shared" si="2"/>
        <v>2027</v>
      </c>
      <c r="J65" s="154">
        <f t="shared" si="2"/>
        <v>2028</v>
      </c>
    </row>
    <row r="67" spans="2:12" x14ac:dyDescent="0.2">
      <c r="B67" s="160" t="s">
        <v>333</v>
      </c>
      <c r="C67" s="161"/>
      <c r="D67" s="161"/>
      <c r="E67" s="161"/>
      <c r="F67" s="161"/>
      <c r="G67" s="161"/>
      <c r="H67" s="161"/>
      <c r="I67" s="161"/>
      <c r="J67" s="161"/>
    </row>
    <row r="69" spans="2:12" x14ac:dyDescent="0.2">
      <c r="B69" s="230" t="str">
        <f>'Plant model'!C1295</f>
        <v>Assets</v>
      </c>
      <c r="C69" s="228"/>
      <c r="D69" s="228"/>
      <c r="E69" s="228"/>
      <c r="F69" s="228"/>
      <c r="G69" s="228"/>
      <c r="H69" s="228"/>
      <c r="I69" s="228"/>
      <c r="J69" s="228"/>
    </row>
    <row r="70" spans="2:12" x14ac:dyDescent="0.2">
      <c r="B70" s="228" t="str">
        <f>'Plant model'!C1296</f>
        <v>Cash</v>
      </c>
      <c r="C70" s="228"/>
      <c r="D70" s="229">
        <f>'Plant model'!I1296</f>
        <v>-7.1054273576010019E-15</v>
      </c>
      <c r="E70" s="229">
        <f>'Plant model'!J1296</f>
        <v>-7.1054273576010019E-15</v>
      </c>
      <c r="F70" s="229">
        <f>'Plant model'!K1296</f>
        <v>19.721646026814547</v>
      </c>
      <c r="G70" s="229">
        <f>'Plant model'!L1296</f>
        <v>71.744255918018553</v>
      </c>
      <c r="H70" s="229" t="e">
        <f ca="1">'Plant model'!M1296</f>
        <v>#NAME?</v>
      </c>
      <c r="I70" s="229" t="e">
        <f ca="1">'Plant model'!N1296</f>
        <v>#NAME?</v>
      </c>
      <c r="J70" s="229" t="e">
        <f ca="1">'Plant model'!O1296</f>
        <v>#NAME?</v>
      </c>
    </row>
    <row r="71" spans="2:12" x14ac:dyDescent="0.2">
      <c r="B71" s="228" t="str">
        <f>'Plant model'!C1297</f>
        <v>Receivables</v>
      </c>
      <c r="C71" s="228"/>
      <c r="D71" s="229">
        <f>'Plant model'!I1297</f>
        <v>0</v>
      </c>
      <c r="E71" s="229">
        <f>'Plant model'!J1297</f>
        <v>0</v>
      </c>
      <c r="F71" s="229">
        <f>'Plant model'!K1297</f>
        <v>18.071688575342467</v>
      </c>
      <c r="G71" s="229">
        <f>'Plant model'!L1297</f>
        <v>0</v>
      </c>
      <c r="H71" s="229">
        <f>'Plant model'!M1297</f>
        <v>24.095584767123285</v>
      </c>
      <c r="I71" s="229">
        <f>'Plant model'!N1297</f>
        <v>24.095584767123285</v>
      </c>
      <c r="J71" s="229">
        <f>'Plant model'!O1297</f>
        <v>24.095584767123285</v>
      </c>
    </row>
    <row r="72" spans="2:12" x14ac:dyDescent="0.2">
      <c r="B72" s="228" t="str">
        <f>'Plant model'!C1298</f>
        <v>PPE</v>
      </c>
      <c r="C72" s="228"/>
      <c r="D72" s="229">
        <f>'Plant model'!I1298</f>
        <v>56.557541166478941</v>
      </c>
      <c r="E72" s="229">
        <f>'Plant model'!J1298</f>
        <v>324.26373493623282</v>
      </c>
      <c r="F72" s="229">
        <f>'Plant model'!K1298</f>
        <v>475.57593141478935</v>
      </c>
      <c r="G72" s="229">
        <f>'Plant model'!L1298</f>
        <v>451.79713484404988</v>
      </c>
      <c r="H72" s="229">
        <f>'Plant model'!M1298</f>
        <v>428.01833827331041</v>
      </c>
      <c r="I72" s="229">
        <f>'Plant model'!N1298</f>
        <v>404.23954170257093</v>
      </c>
      <c r="J72" s="229">
        <f>'Plant model'!O1298</f>
        <v>380.46074513183146</v>
      </c>
    </row>
    <row r="73" spans="2:12" x14ac:dyDescent="0.2">
      <c r="B73" s="228" t="str">
        <f>'Plant model'!C1299</f>
        <v>Inventory</v>
      </c>
      <c r="C73" s="228"/>
      <c r="D73" s="229">
        <f>'Plant model'!I1299</f>
        <v>0</v>
      </c>
      <c r="E73" s="229">
        <f>'Plant model'!J1299</f>
        <v>0</v>
      </c>
      <c r="F73" s="229">
        <f>'Plant model'!K1299</f>
        <v>14.624869487070479</v>
      </c>
      <c r="G73" s="229">
        <f>'Plant model'!L1299</f>
        <v>0</v>
      </c>
      <c r="H73" s="229">
        <f>'Plant model'!M1299</f>
        <v>19.384685079908554</v>
      </c>
      <c r="I73" s="229">
        <f>'Plant model'!N1299</f>
        <v>19.384685079908554</v>
      </c>
      <c r="J73" s="229">
        <f>'Plant model'!O1299</f>
        <v>19.384685079908554</v>
      </c>
      <c r="L73" s="430"/>
    </row>
    <row r="74" spans="2:12" x14ac:dyDescent="0.2">
      <c r="B74" s="228" t="str">
        <f>'Plant model'!C1300</f>
        <v>Deferred tax asset</v>
      </c>
      <c r="C74" s="228"/>
      <c r="D74" s="229">
        <f>'Plant model'!I1300</f>
        <v>0</v>
      </c>
      <c r="E74" s="229">
        <f>'Plant model'!J1300</f>
        <v>0</v>
      </c>
      <c r="F74" s="229">
        <f>'Plant model'!K1300</f>
        <v>0</v>
      </c>
      <c r="G74" s="229">
        <f>'Plant model'!L1300</f>
        <v>0</v>
      </c>
      <c r="H74" s="229">
        <f>'Plant model'!M1300</f>
        <v>0</v>
      </c>
      <c r="I74" s="229">
        <f>'Plant model'!N1300</f>
        <v>0</v>
      </c>
      <c r="J74" s="229">
        <f>'Plant model'!O1300</f>
        <v>0</v>
      </c>
    </row>
    <row r="75" spans="2:12" x14ac:dyDescent="0.2">
      <c r="B75" s="228" t="str">
        <f>'Plant model'!C1301</f>
        <v>Capitalized financing costs</v>
      </c>
      <c r="C75" s="228"/>
      <c r="D75" s="229">
        <f>'Plant model'!I1301</f>
        <v>10.253520583309049</v>
      </c>
      <c r="E75" s="229">
        <f>'Plant model'!J1301</f>
        <v>12.354977062543865</v>
      </c>
      <c r="F75" s="229">
        <f>'Plant model'!K1301</f>
        <v>11.15479445475685</v>
      </c>
      <c r="G75" s="229">
        <f>'Plant model'!L1301</f>
        <v>9.5612523897915853</v>
      </c>
      <c r="H75" s="229">
        <f>'Plant model'!M1301</f>
        <v>7.9677103248263199</v>
      </c>
      <c r="I75" s="229">
        <f>'Plant model'!N1301</f>
        <v>6.3741682598610554</v>
      </c>
      <c r="J75" s="229">
        <f>'Plant model'!O1301</f>
        <v>4.7806261948957909</v>
      </c>
      <c r="L75" s="430"/>
    </row>
    <row r="76" spans="2:12" x14ac:dyDescent="0.2">
      <c r="B76" s="230" t="str">
        <f>'Plant model'!C1302</f>
        <v>Total assets</v>
      </c>
      <c r="C76" s="228"/>
      <c r="D76" s="231">
        <f>'Plant model'!I1302</f>
        <v>66.811061749787982</v>
      </c>
      <c r="E76" s="231">
        <f>'Plant model'!J1302</f>
        <v>336.61871199877669</v>
      </c>
      <c r="F76" s="231">
        <f>'Plant model'!K1302</f>
        <v>539.14892995877358</v>
      </c>
      <c r="G76" s="231">
        <f>'Plant model'!L1302</f>
        <v>533.10264315185998</v>
      </c>
      <c r="H76" s="231">
        <f ca="1">'Plant model'!M1302</f>
        <v>0</v>
      </c>
      <c r="I76" s="231" t="e">
        <f ca="1">'Plant model'!N1302</f>
        <v>#NAME?</v>
      </c>
      <c r="J76" s="231" t="e">
        <f ca="1">'Plant model'!O1302</f>
        <v>#NAME?</v>
      </c>
    </row>
    <row r="77" spans="2:12" x14ac:dyDescent="0.2">
      <c r="B77" s="228"/>
      <c r="C77" s="228"/>
      <c r="D77" s="228"/>
      <c r="E77" s="228"/>
      <c r="F77" s="228"/>
      <c r="G77" s="228"/>
      <c r="H77" s="228"/>
      <c r="I77" s="228"/>
      <c r="J77" s="228"/>
    </row>
    <row r="78" spans="2:12" x14ac:dyDescent="0.2">
      <c r="B78" s="230" t="str">
        <f>'Plant model'!C1304</f>
        <v>Liabilities</v>
      </c>
      <c r="C78" s="228"/>
      <c r="D78" s="228"/>
      <c r="E78" s="228"/>
      <c r="F78" s="228"/>
      <c r="G78" s="228"/>
      <c r="H78" s="228"/>
      <c r="I78" s="228"/>
      <c r="J78" s="228"/>
    </row>
    <row r="79" spans="2:12" x14ac:dyDescent="0.2">
      <c r="B79" s="228" t="str">
        <f>'Plant model'!C1305</f>
        <v>Payables</v>
      </c>
      <c r="C79" s="228"/>
      <c r="D79" s="229">
        <f>'Plant model'!I1305</f>
        <v>0</v>
      </c>
      <c r="E79" s="229">
        <f>'Plant model'!J1305</f>
        <v>0</v>
      </c>
      <c r="F79" s="229">
        <f>'Plant model'!K1305</f>
        <v>18.535841930717279</v>
      </c>
      <c r="G79" s="229">
        <f>'Plant model'!L1305</f>
        <v>0</v>
      </c>
      <c r="H79" s="229">
        <f>'Plant model'!M1305</f>
        <v>24.484174101918867</v>
      </c>
      <c r="I79" s="229">
        <f>'Plant model'!N1305</f>
        <v>24.484174101918867</v>
      </c>
      <c r="J79" s="229">
        <f>'Plant model'!O1305</f>
        <v>24.484174101918875</v>
      </c>
    </row>
    <row r="80" spans="2:12" x14ac:dyDescent="0.2">
      <c r="B80" s="228" t="str">
        <f>'Plant model'!C1306</f>
        <v>Senior debt</v>
      </c>
      <c r="C80" s="228"/>
      <c r="D80" s="229">
        <f>'Plant model'!I1306</f>
        <v>33</v>
      </c>
      <c r="E80" s="229">
        <f>'Plant model'!J1306</f>
        <v>222.75</v>
      </c>
      <c r="F80" s="229">
        <f>'Plant model'!K1306</f>
        <v>312.63157894736844</v>
      </c>
      <c r="G80" s="229">
        <f>'Plant model'!L1306</f>
        <v>295.26315789473688</v>
      </c>
      <c r="H80" s="229">
        <f>'Plant model'!M1306</f>
        <v>260.5263157894737</v>
      </c>
      <c r="I80" s="229">
        <f>'Plant model'!N1306</f>
        <v>225.78947368421055</v>
      </c>
      <c r="J80" s="229">
        <f>'Plant model'!O1306</f>
        <v>191.0526315789474</v>
      </c>
    </row>
    <row r="81" spans="2:10" x14ac:dyDescent="0.2">
      <c r="B81" s="228" t="str">
        <f>'Plant model'!C1307</f>
        <v>Working capital financing</v>
      </c>
      <c r="C81" s="228"/>
      <c r="D81" s="229">
        <f>'Plant model'!I1307</f>
        <v>0</v>
      </c>
      <c r="E81" s="229">
        <f>'Plant model'!J1307</f>
        <v>0</v>
      </c>
      <c r="F81" s="229">
        <f>'Plant model'!K1307</f>
        <v>17.57147782279073</v>
      </c>
      <c r="G81" s="229">
        <f>'Plant model'!L1307</f>
        <v>23.428637097054299</v>
      </c>
      <c r="H81" s="229">
        <f>'Plant model'!M1307</f>
        <v>46.857274194108598</v>
      </c>
      <c r="I81" s="229">
        <f>'Plant model'!N1307</f>
        <v>46.857274194108598</v>
      </c>
      <c r="J81" s="229">
        <f>'Plant model'!O1307</f>
        <v>46.857274194108598</v>
      </c>
    </row>
    <row r="82" spans="2:10" x14ac:dyDescent="0.2">
      <c r="B82" s="228" t="str">
        <f>'Plant model'!C1308</f>
        <v>Cost overrun debt</v>
      </c>
      <c r="C82" s="228"/>
      <c r="D82" s="229">
        <f>'Plant model'!I1308</f>
        <v>0</v>
      </c>
      <c r="E82" s="229">
        <f>'Plant model'!J1308</f>
        <v>0</v>
      </c>
      <c r="F82" s="229">
        <f>'Plant model'!K1308</f>
        <v>0</v>
      </c>
      <c r="G82" s="229">
        <f>'Plant model'!L1308</f>
        <v>0</v>
      </c>
      <c r="H82" s="229">
        <f>'Plant model'!M1308</f>
        <v>0</v>
      </c>
      <c r="I82" s="229">
        <f>'Plant model'!N1308</f>
        <v>0</v>
      </c>
      <c r="J82" s="229">
        <f>'Plant model'!O1308</f>
        <v>0</v>
      </c>
    </row>
    <row r="83" spans="2:10" x14ac:dyDescent="0.2">
      <c r="B83" s="228" t="str">
        <f>'Plant model'!C1309</f>
        <v>Pre-Construction 80/20 Loan Facility</v>
      </c>
      <c r="C83" s="228"/>
      <c r="D83" s="229">
        <f>'Plant model'!I1309</f>
        <v>9.9999422500000001</v>
      </c>
      <c r="E83" s="229">
        <f>'Plant model'!J1309</f>
        <v>9.9999422500000001</v>
      </c>
      <c r="F83" s="229">
        <f>'Plant model'!K1309</f>
        <v>9.9999422500000001</v>
      </c>
      <c r="G83" s="229">
        <f>'Plant model'!L1309</f>
        <v>9.9999422500000001</v>
      </c>
      <c r="H83" s="229">
        <f>'Plant model'!M1309</f>
        <v>9.9999422500000001</v>
      </c>
      <c r="I83" s="229">
        <f>'Plant model'!N1309</f>
        <v>9.9999422500000001</v>
      </c>
      <c r="J83" s="229">
        <f>'Plant model'!O1309</f>
        <v>9.9999422500000001</v>
      </c>
    </row>
    <row r="84" spans="2:10" x14ac:dyDescent="0.2">
      <c r="B84" s="228" t="str">
        <f>'Plant model'!C1310</f>
        <v>Deferred tax liability</v>
      </c>
      <c r="C84" s="228"/>
      <c r="D84" s="229">
        <f>'Plant model'!I1310</f>
        <v>0</v>
      </c>
      <c r="E84" s="229">
        <f>'Plant model'!J1310</f>
        <v>0</v>
      </c>
      <c r="F84" s="229">
        <f>'Plant model'!K1310</f>
        <v>9.5968887550661393</v>
      </c>
      <c r="G84" s="229">
        <f>'Plant model'!L1310</f>
        <v>23.635412946245413</v>
      </c>
      <c r="H84" s="229">
        <f>'Plant model'!M1310</f>
        <v>51.185128815960269</v>
      </c>
      <c r="I84" s="229">
        <f>'Plant model'!N1310</f>
        <v>78.499480597398119</v>
      </c>
      <c r="J84" s="229">
        <f>'Plant model'!O1310</f>
        <v>105.81383237883597</v>
      </c>
    </row>
    <row r="85" spans="2:10" x14ac:dyDescent="0.2">
      <c r="B85" s="230" t="str">
        <f>'Plant model'!C1311</f>
        <v>Total liabilities</v>
      </c>
      <c r="C85" s="228"/>
      <c r="D85" s="231">
        <f>'Plant model'!I1311</f>
        <v>42.999942250000004</v>
      </c>
      <c r="E85" s="231">
        <f>'Plant model'!J1311</f>
        <v>232.74994225</v>
      </c>
      <c r="F85" s="231">
        <f>'Plant model'!K1311</f>
        <v>368.33572970594253</v>
      </c>
      <c r="G85" s="231">
        <f>'Plant model'!L1311</f>
        <v>352.32715018803663</v>
      </c>
      <c r="H85" s="231">
        <f>'Plant model'!M1311</f>
        <v>393.05283515146141</v>
      </c>
      <c r="I85" s="231">
        <f>'Plant model'!N1311</f>
        <v>385.63034482763612</v>
      </c>
      <c r="J85" s="231">
        <f>'Plant model'!O1311</f>
        <v>378.20785450381084</v>
      </c>
    </row>
    <row r="86" spans="2:10" x14ac:dyDescent="0.2">
      <c r="B86" s="228"/>
      <c r="C86" s="228"/>
      <c r="D86" s="228"/>
      <c r="E86" s="228"/>
      <c r="F86" s="228"/>
      <c r="G86" s="228"/>
      <c r="H86" s="228"/>
      <c r="I86" s="228"/>
      <c r="J86" s="228"/>
    </row>
    <row r="87" spans="2:10" x14ac:dyDescent="0.2">
      <c r="B87" s="230" t="str">
        <f>'Plant model'!C1313</f>
        <v>Shareholder equity</v>
      </c>
      <c r="C87" s="228"/>
      <c r="D87" s="231">
        <f>'Plant model'!I1313</f>
        <v>23.72361949978799</v>
      </c>
      <c r="E87" s="231">
        <f>'Plant model'!J1313</f>
        <v>103.78126974877669</v>
      </c>
      <c r="F87" s="231">
        <f>'Plant model'!K1313</f>
        <v>170.72570025283113</v>
      </c>
      <c r="G87" s="231">
        <f>'Plant model'!L1313</f>
        <v>212.58414676115126</v>
      </c>
      <c r="H87" s="231" t="e">
        <f ca="1">'Plant model'!M1313</f>
        <v>#NAME?</v>
      </c>
      <c r="I87" s="231" t="e">
        <f ca="1">'Plant model'!N1313</f>
        <v>#NAME?</v>
      </c>
      <c r="J87" s="231" t="e">
        <f ca="1">'Plant model'!O1313</f>
        <v>#NAME?</v>
      </c>
    </row>
    <row r="89" spans="2:10" x14ac:dyDescent="0.2">
      <c r="B89" s="159" t="s">
        <v>165</v>
      </c>
      <c r="D89" s="238">
        <f>D76-D85-D87</f>
        <v>8.7499999999987921E-2</v>
      </c>
      <c r="E89" s="238">
        <f t="shared" ref="E89:J89" si="3">E76-E85-E87</f>
        <v>8.7499999999991473E-2</v>
      </c>
      <c r="F89" s="238">
        <f t="shared" si="3"/>
        <v>8.7499999999920419E-2</v>
      </c>
      <c r="G89" s="238">
        <f t="shared" si="3"/>
        <v>-31.808653797327906</v>
      </c>
      <c r="H89" s="238" t="e">
        <f t="shared" ca="1" si="3"/>
        <v>#NAME?</v>
      </c>
      <c r="I89" s="238" t="e">
        <f t="shared" ca="1" si="3"/>
        <v>#NAME?</v>
      </c>
      <c r="J89" s="238" t="e">
        <f t="shared" ca="1" si="3"/>
        <v>#NAME?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Cover Page</vt:lpstr>
      <vt:lpstr>Plant model</vt:lpstr>
      <vt:lpstr>Quarterly Plant Model</vt:lpstr>
      <vt:lpstr>CAPEX</vt:lpstr>
      <vt:lpstr>EBITDA Backtest</vt:lpstr>
      <vt:lpstr>CO2 tax</vt:lpstr>
      <vt:lpstr>Returns Summary</vt:lpstr>
      <vt:lpstr>Charts 2</vt:lpstr>
      <vt:lpstr>3 statements (USD)</vt:lpstr>
      <vt:lpstr>3 statements (CAD)</vt:lpstr>
      <vt:lpstr>Labor</vt:lpstr>
      <vt:lpstr>Comparable Companies</vt:lpstr>
      <vt:lpstr>Fe MPI correlation</vt:lpstr>
      <vt:lpstr>Sheet1</vt:lpstr>
      <vt:lpstr>CAPEX!Print_Area</vt:lpstr>
      <vt:lpstr>'Cover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kemperk</dc:creator>
  <cp:lastModifiedBy>Francis MacKenzie</cp:lastModifiedBy>
  <cp:lastPrinted>2016-07-21T18:47:18Z</cp:lastPrinted>
  <dcterms:created xsi:type="dcterms:W3CDTF">2013-06-29T20:09:51Z</dcterms:created>
  <dcterms:modified xsi:type="dcterms:W3CDTF">2022-07-25T17:50:11Z</dcterms:modified>
</cp:coreProperties>
</file>