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180gc-my.sharepoint.com/personal/michael_manocha_invcanada_ca/Documents/"/>
    </mc:Choice>
  </mc:AlternateContent>
  <xr:revisionPtr revIDLastSave="0" documentId="8_{EABF7E52-A420-4AC1-BB9E-FE1B18D785BE}" xr6:coauthVersionLast="47" xr6:coauthVersionMax="47" xr10:uidLastSave="{00000000-0000-0000-0000-000000000000}"/>
  <bookViews>
    <workbookView xWindow="-23148" yWindow="-108" windowWidth="23256" windowHeight="12576" xr2:uid="{D1130927-E5A8-4EED-B117-553FAA4FCDEC}"/>
  </bookViews>
  <sheets>
    <sheet name="Sheet1" sheetId="1" r:id="rId1"/>
    <sheet name="Asset Class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E31" i="1"/>
  <c r="E41" i="1"/>
  <c r="E43" i="1" s="1"/>
  <c r="E47" i="1" s="1"/>
  <c r="E49" i="1" s="1"/>
  <c r="E50" i="1" s="1"/>
  <c r="C2" i="1"/>
  <c r="B40" i="1"/>
  <c r="E46" i="1" s="1"/>
  <c r="N48" i="1"/>
  <c r="M48" i="1"/>
  <c r="L48" i="1"/>
  <c r="K48" i="1"/>
  <c r="J48" i="1"/>
  <c r="I48" i="1"/>
  <c r="H48" i="1"/>
  <c r="G48" i="1"/>
  <c r="F48" i="1"/>
  <c r="E48" i="1"/>
  <c r="F29" i="1"/>
  <c r="F28" i="1"/>
  <c r="E45" i="1"/>
  <c r="E6" i="1"/>
  <c r="E3" i="1"/>
  <c r="E23" i="1"/>
  <c r="F41" i="1" l="1"/>
  <c r="F43" i="1" s="1"/>
  <c r="F46" i="1"/>
  <c r="G46" i="1" s="1"/>
  <c r="H46" i="1" s="1"/>
  <c r="I46" i="1" s="1"/>
  <c r="J46" i="1" s="1"/>
  <c r="K46" i="1" s="1"/>
  <c r="L46" i="1" s="1"/>
  <c r="M46" i="1" s="1"/>
  <c r="N46" i="1" s="1"/>
  <c r="F45" i="1"/>
  <c r="G45" i="1" s="1"/>
  <c r="H45" i="1" s="1"/>
  <c r="I45" i="1" s="1"/>
  <c r="J45" i="1" s="1"/>
  <c r="K45" i="1" s="1"/>
  <c r="L45" i="1" s="1"/>
  <c r="M45" i="1" s="1"/>
  <c r="N45" i="1" s="1"/>
  <c r="E25" i="1"/>
  <c r="E28" i="1"/>
  <c r="E24" i="1"/>
  <c r="E13" i="1"/>
  <c r="E29" i="1"/>
  <c r="E15" i="1"/>
  <c r="F47" i="1" l="1"/>
  <c r="G41" i="1"/>
  <c r="H41" i="1" s="1"/>
  <c r="I41" i="1" s="1"/>
  <c r="J41" i="1" s="1"/>
  <c r="K41" i="1" s="1"/>
  <c r="L41" i="1" s="1"/>
  <c r="M41" i="1" s="1"/>
  <c r="N41" i="1" s="1"/>
  <c r="E14" i="1"/>
  <c r="E16" i="1" s="1"/>
  <c r="E17" i="1" s="1"/>
  <c r="E27" i="1"/>
  <c r="G29" i="1"/>
  <c r="E26" i="1"/>
  <c r="F15" i="1"/>
  <c r="G15" i="1" s="1"/>
  <c r="H15" i="1" s="1"/>
  <c r="I15" i="1" s="1"/>
  <c r="J15" i="1" s="1"/>
  <c r="K15" i="1" s="1"/>
  <c r="L15" i="1" s="1"/>
  <c r="M15" i="1" s="1"/>
  <c r="N15" i="1" s="1"/>
  <c r="G28" i="1"/>
  <c r="H43" i="1" l="1"/>
  <c r="H47" i="1" s="1"/>
  <c r="I43" i="1"/>
  <c r="I47" i="1" s="1"/>
  <c r="G43" i="1"/>
  <c r="G47" i="1" s="1"/>
  <c r="H29" i="1"/>
  <c r="H28" i="1"/>
  <c r="I28" i="1" s="1"/>
  <c r="J28" i="1" s="1"/>
  <c r="K28" i="1" s="1"/>
  <c r="L28" i="1" s="1"/>
  <c r="M28" i="1" s="1"/>
  <c r="N28" i="1" s="1"/>
  <c r="J43" i="1"/>
  <c r="J47" i="1" s="1"/>
  <c r="F12" i="1"/>
  <c r="I29" i="1" l="1"/>
  <c r="K43" i="1"/>
  <c r="K47" i="1" s="1"/>
  <c r="F14" i="1"/>
  <c r="F16" i="1" s="1"/>
  <c r="F17" i="1" s="1"/>
  <c r="G12" i="1" s="1"/>
  <c r="J29" i="1" l="1"/>
  <c r="L43" i="1"/>
  <c r="L47" i="1" s="1"/>
  <c r="G14" i="1"/>
  <c r="G16" i="1" s="1"/>
  <c r="G17" i="1" s="1"/>
  <c r="H12" i="1" s="1"/>
  <c r="H14" i="1" s="1"/>
  <c r="H16" i="1" s="1"/>
  <c r="H17" i="1" s="1"/>
  <c r="I12" i="1" s="1"/>
  <c r="K29" i="1" l="1"/>
  <c r="M43" i="1"/>
  <c r="M47" i="1" s="1"/>
  <c r="I14" i="1"/>
  <c r="I16" i="1" s="1"/>
  <c r="I17" i="1" s="1"/>
  <c r="J12" i="1" s="1"/>
  <c r="J14" i="1" s="1"/>
  <c r="J16" i="1" s="1"/>
  <c r="J17" i="1" s="1"/>
  <c r="K12" i="1" s="1"/>
  <c r="K14" i="1" s="1"/>
  <c r="K16" i="1" s="1"/>
  <c r="K17" i="1" s="1"/>
  <c r="L12" i="1" s="1"/>
  <c r="L14" i="1" s="1"/>
  <c r="L29" i="1" l="1"/>
  <c r="N43" i="1"/>
  <c r="N47" i="1" s="1"/>
  <c r="L16" i="1"/>
  <c r="L17" i="1" s="1"/>
  <c r="M12" i="1" s="1"/>
  <c r="M14" i="1" s="1"/>
  <c r="M29" i="1" l="1"/>
  <c r="M16" i="1"/>
  <c r="M17" i="1" s="1"/>
  <c r="N12" i="1" s="1"/>
  <c r="E32" i="1" l="1"/>
  <c r="F22" i="1" s="1"/>
  <c r="N29" i="1"/>
  <c r="N14" i="1"/>
  <c r="N16" i="1" s="1"/>
  <c r="N17" i="1" s="1"/>
  <c r="F26" i="1" l="1"/>
  <c r="E51" i="1"/>
  <c r="E53" i="1" s="1"/>
  <c r="E54" i="1" s="1"/>
  <c r="E33" i="1"/>
  <c r="F23" i="1" l="1"/>
  <c r="F27" i="1" s="1"/>
  <c r="F31" i="1" s="1"/>
  <c r="F30" i="1"/>
  <c r="F49" i="1" l="1"/>
  <c r="F50" i="1" s="1"/>
  <c r="F51" i="1" s="1"/>
  <c r="F32" i="1" l="1"/>
  <c r="G22" i="1" s="1"/>
  <c r="G26" i="1" s="1"/>
  <c r="G30" i="1" s="1"/>
  <c r="G49" i="1" s="1"/>
  <c r="F33" i="1"/>
  <c r="G32" i="1"/>
  <c r="H22" i="1" s="1"/>
  <c r="G23" i="1" l="1"/>
  <c r="G27" i="1" s="1"/>
  <c r="G31" i="1" s="1"/>
  <c r="G50" i="1" s="1"/>
  <c r="G51" i="1" s="1"/>
  <c r="F53" i="1"/>
  <c r="F54" i="1" s="1"/>
  <c r="H26" i="1"/>
  <c r="H30" i="1" s="1"/>
  <c r="H49" i="1" s="1"/>
  <c r="G33" i="1" l="1"/>
  <c r="H23" i="1" s="1"/>
  <c r="H27" i="1" s="1"/>
  <c r="H31" i="1" s="1"/>
  <c r="H50" i="1" s="1"/>
  <c r="H51" i="1" s="1"/>
  <c r="G53" i="1"/>
  <c r="G54" i="1" s="1"/>
  <c r="H32" i="1"/>
  <c r="I22" i="1" s="1"/>
  <c r="H53" i="1" l="1"/>
  <c r="H54" i="1" s="1"/>
  <c r="H33" i="1"/>
  <c r="I23" i="1" s="1"/>
  <c r="I26" i="1"/>
  <c r="I30" i="1" s="1"/>
  <c r="I49" i="1" s="1"/>
  <c r="I27" i="1" l="1"/>
  <c r="I31" i="1" s="1"/>
  <c r="I50" i="1" s="1"/>
  <c r="I51" i="1" s="1"/>
  <c r="I32" i="1" l="1"/>
  <c r="J22" i="1" s="1"/>
  <c r="I33" i="1"/>
  <c r="J23" i="1" s="1"/>
  <c r="J27" i="1" l="1"/>
  <c r="J31" i="1" s="1"/>
  <c r="J26" i="1"/>
  <c r="J30" i="1" s="1"/>
  <c r="J49" i="1" l="1"/>
  <c r="I53" i="1"/>
  <c r="I54" i="1" s="1"/>
  <c r="J50" i="1" l="1"/>
  <c r="J51" i="1" s="1"/>
  <c r="J32" i="1"/>
  <c r="K22" i="1" s="1"/>
  <c r="K26" i="1" s="1"/>
  <c r="K30" i="1" s="1"/>
  <c r="K49" i="1" s="1"/>
  <c r="K32" i="1" s="1"/>
  <c r="L22" i="1" s="1"/>
  <c r="J33" i="1"/>
  <c r="J53" i="1"/>
  <c r="J54" i="1" l="1"/>
  <c r="K23" i="1"/>
  <c r="K27" i="1" s="1"/>
  <c r="L26" i="1"/>
  <c r="L30" i="1" s="1"/>
  <c r="L49" i="1" l="1"/>
  <c r="K31" i="1"/>
  <c r="K50" i="1" l="1"/>
  <c r="K51" i="1" s="1"/>
  <c r="L32" i="1"/>
  <c r="M22" i="1" s="1"/>
  <c r="M26" i="1" s="1"/>
  <c r="M30" i="1" s="1"/>
  <c r="M49" i="1" s="1"/>
  <c r="K53" i="1"/>
  <c r="K54" i="1" s="1"/>
  <c r="K33" i="1" l="1"/>
  <c r="L23" i="1" s="1"/>
  <c r="L27" i="1" s="1"/>
  <c r="M32" i="1"/>
  <c r="N22" i="1" s="1"/>
  <c r="N26" i="1" s="1"/>
  <c r="N30" i="1" s="1"/>
  <c r="N49" i="1" s="1"/>
  <c r="L31" i="1" l="1"/>
  <c r="L50" i="1" s="1"/>
  <c r="L33" i="1" s="1"/>
  <c r="M23" i="1" s="1"/>
  <c r="M27" i="1" s="1"/>
  <c r="M31" i="1" s="1"/>
  <c r="M50" i="1" s="1"/>
  <c r="M51" i="1" s="1"/>
  <c r="N32" i="1"/>
  <c r="M53" i="1" l="1"/>
  <c r="M54" i="1" s="1"/>
  <c r="L51" i="1"/>
  <c r="L53" i="1" s="1"/>
  <c r="L54" i="1" s="1"/>
  <c r="M33" i="1"/>
  <c r="N23" i="1" s="1"/>
  <c r="N27" i="1" s="1"/>
  <c r="N31" i="1" s="1"/>
  <c r="N50" i="1" s="1"/>
  <c r="N51" i="1" s="1"/>
  <c r="N53" i="1" l="1"/>
  <c r="N54" i="1" s="1"/>
  <c r="N33" i="1"/>
</calcChain>
</file>

<file path=xl/sharedStrings.xml><?xml version="1.0" encoding="utf-8"?>
<sst xmlns="http://schemas.openxmlformats.org/spreadsheetml/2006/main" count="136" uniqueCount="87">
  <si>
    <t>INPUTS</t>
  </si>
  <si>
    <t>Capital Cost</t>
  </si>
  <si>
    <t>Asset Class</t>
  </si>
  <si>
    <t>See Tab "Asset Classes" for descriptions</t>
  </si>
  <si>
    <t>Scenario 1 - Single Asset Class</t>
  </si>
  <si>
    <t>Year 1</t>
  </si>
  <si>
    <t>Year 2</t>
  </si>
  <si>
    <t>Year 3</t>
  </si>
  <si>
    <t>Year 4</t>
  </si>
  <si>
    <t>Year 5</t>
  </si>
  <si>
    <t>Year 6</t>
  </si>
  <si>
    <t>Year 7</t>
  </si>
  <si>
    <t>Year 8</t>
  </si>
  <si>
    <t>Year 9</t>
  </si>
  <si>
    <t>Year 10</t>
  </si>
  <si>
    <t>UCC at the beginning of year (Beginning UCC)</t>
  </si>
  <si>
    <t>Addition of eligible property</t>
  </si>
  <si>
    <t>Adjusted UCC for CCA calculation</t>
  </si>
  <si>
    <t>CCA rate</t>
  </si>
  <si>
    <t>CCA for Year</t>
  </si>
  <si>
    <t>UCC at the end of year</t>
  </si>
  <si>
    <t>Example 2 - 2 Asset Classes</t>
  </si>
  <si>
    <t>UCC at the beginning of year (Beginning UCC) - Asset 1</t>
  </si>
  <si>
    <t>Addition of eligible property - Asset 1</t>
  </si>
  <si>
    <t>Addition of eligible property - Asset 2</t>
  </si>
  <si>
    <t>Adjusted UCC for CCA calculation - Asset 1</t>
  </si>
  <si>
    <t>Adjusted UCC for CCA calculation - Asset 2</t>
  </si>
  <si>
    <t>CCA rate - Asset 1</t>
  </si>
  <si>
    <t>CCA rate - Asset 2</t>
  </si>
  <si>
    <t>UCC at the end of year - Asset 1</t>
  </si>
  <si>
    <t xml:space="preserve">UCC at the end of the year - Asset 2 </t>
  </si>
  <si>
    <t>***** Please note, this document is for illustration purposes only and should not be relied upon for tax purposes</t>
  </si>
  <si>
    <t>Rate</t>
  </si>
  <si>
    <t>Eligibility for 100% expense</t>
  </si>
  <si>
    <t>Description of Asset Class</t>
  </si>
  <si>
    <t>no</t>
  </si>
  <si>
    <t xml:space="preserve">Most buildings purchased after 1987 and the cost of certain additions or alterations made after 1987. The rate for eligible non-residential buildings acquired after March 18, 2007, and used in Canada to manufacture and process goods for sale or lease includes an additional allowance of 6% (total 10%). For all other eligible non-residential buildings in this class, the rate includes an additional allowance of 2% (total 6%). </t>
  </si>
  <si>
    <t xml:space="preserve">Most buildings acquired before 1988. Also include the cost of additions or alterations made after 1987. </t>
  </si>
  <si>
    <t>Frame, log, stucco on frame, galvanized iron, or corrugated metal buildings that meet certain conditions. Class 6 also includes certain fences and greenhouses</t>
  </si>
  <si>
    <t>Property that you use in your business and that is not included in another class. Also included is data network infrastructure equipment and systems software for that equipment acquired before March 23, 2004.</t>
  </si>
  <si>
    <t>General-purpose electronic data-processing equipment (commonly called computer hardware) and systems software for that equipment acquired before March 23, 2004, or after March 22, 2004, and before 2005 if you made an election. Motor vehicles and some passenger vehicles.</t>
  </si>
  <si>
    <t> A passenger vehicle not included in Class 10</t>
  </si>
  <si>
    <t>yes</t>
  </si>
  <si>
    <t>The cost limit for access to Class 12 (100 %) treatment is $500 for tools acquired on or after May 2, 2006, and medical and dental instruments and kitchen utensils acquired on or after May 2, 2006.</t>
  </si>
  <si>
    <t>varies</t>
  </si>
  <si>
    <t>Leasehold interest – You can claim CCA on a leasehold interest, but the maximum rate depends on the type of leasehold interest and the terms of the lease.</t>
  </si>
  <si>
    <t>Patents, franchises, concessions, or licences for a limited period. Your CCA is the lesser of the total of the capital cost of each property spread out over the life of the property, or the undepreciated capital cost to the taxpayer as of the end of the tax year of property of that class.</t>
  </si>
  <si>
    <t xml:space="preserve">Property that is goodwill, was eligible capital property immediately before Jan 1 2017, is aquired after 2016 (other than tangible property, property not aquired for the purpose of gaining or producing income from business, property in respect of which any amount is deductible in computing the income from the business, an interest in a trust or a partnership, a share, bond, mortagge, hypothecary claim, note, bill, amd property that is an interest in civil law.  </t>
  </si>
  <si>
    <t>Taxis, vehicles you use in a daily car-rental business, coin-operated video games or pinball machines acquired after February 15, 1984, and freight trucks acquired after December 6, 1991, that are rated higher than 11,788 kilograms.</t>
  </si>
  <si>
    <t>Roads, parking lots, sidewalks, airplane runways, storage areas, or similar surface construction.</t>
  </si>
  <si>
    <t>Eligible machinery and equipment used in Canada to manufacture and process goods for sale or lease, acquired after March 18, 2007, and before 2016, that would otherwise be included in Class 43.</t>
  </si>
  <si>
    <t>Most power-operated, movable equipment you bought after 1987 that was use for excavating, moving, placing, or compacting earth, rock, concrete, or asphalt</t>
  </si>
  <si>
    <t>Eligible machinery and equipment, used in Canada to manufacture and process goods for sale or lease that are not included in Class 29. </t>
  </si>
  <si>
    <t>Electrical vehicle charging stations (EVCSs) set up to supply more than 10 kilowatts but less than 90 kilowatts of continuous power. For property acquired for use after March 21, 2016, that has not been used or acquired for use before March 22, 2016.</t>
  </si>
  <si>
    <t>Electrical vehicle charging stations (EVCSs) set up to supply 90 kilowatts and more of continuous power. For property acquired for use after March 21, 2016, that has not been used or acquired for use before March 22, 2016.</t>
  </si>
  <si>
    <t>Data network infrastructure equipment and systems software for that equipment acquired after March 22, 2004, (if acquired before March 23, 2004, include them in Class 8 (20%)).</t>
  </si>
  <si>
    <t>General-purpose electronic data-processing equipment (commonly called computer hardware) and systems software for that equipment, including ancillary data-processing equipment, acquired after March 18, 2007, and not included in Class 29. </t>
  </si>
  <si>
    <t>Machinery and equipment acquired after 2015 and before 2026 that is used in Canada mainly to manufacture and process goods for sale or lease.</t>
  </si>
  <si>
    <t>Zero-emission vehicles acquired after March 18, 2019, that would otherwise be included in Class 10 or 10.1. These vehicles may be eligible for the first-year enhanced CCA deduction with a phase-out period. There is a limit of $55,000 for 2019 on the capital cost for each zero-emission passenger vehicle.</t>
  </si>
  <si>
    <t>Zero-emission vehicles acquired after March 18, 2019, that would otherwise be included in Class 16. These vehicles may be eligible for the first-year enhanced CCA deduction with a phase-out period.</t>
  </si>
  <si>
    <t>Income Statement</t>
  </si>
  <si>
    <t>Net Sales</t>
  </si>
  <si>
    <t>Cost of Goods Sold</t>
  </si>
  <si>
    <t>SG&amp;A</t>
  </si>
  <si>
    <t>Interest</t>
  </si>
  <si>
    <t>Net Income</t>
  </si>
  <si>
    <t>Income Tax Expense</t>
  </si>
  <si>
    <t>Income Before Tax</t>
  </si>
  <si>
    <t>Sales Growth</t>
  </si>
  <si>
    <t>Operating Expenses - from model</t>
  </si>
  <si>
    <t>EBITDA</t>
  </si>
  <si>
    <t>UCC at the beginning of year (Beginning UCC) - Asset 2</t>
  </si>
  <si>
    <t>Operating Expense Growth Rate</t>
  </si>
  <si>
    <t>SG&amp;A Growth Rate</t>
  </si>
  <si>
    <t>Rate after yr 1</t>
  </si>
  <si>
    <t>Operating Expense Base year - From Model</t>
  </si>
  <si>
    <t>Capital Cost Allowance Deduction - Asset 1</t>
  </si>
  <si>
    <t>Capital Cost Allowance Deduction - Asset 2</t>
  </si>
  <si>
    <t>SG&amp;A Base year - from model</t>
  </si>
  <si>
    <t>Eligible CCA for Year - Asset 1</t>
  </si>
  <si>
    <t>Eligible CCA for Year - Asset 2</t>
  </si>
  <si>
    <t>Income Tax Rate</t>
  </si>
  <si>
    <t>Acquisiton Cost of Asset - Building</t>
  </si>
  <si>
    <t>Acquisiton Cost of Asset - Machinery</t>
  </si>
  <si>
    <t>Machinery must be made available for use before 2023 - Phase out for years 2024 - 2-27</t>
  </si>
  <si>
    <t>Asset</t>
  </si>
  <si>
    <t>COGS - Industry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</si>
</sst>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_-* #,##0_-;\-* #,##0_-;_-* &quot;-&quot;??_-;_-@_-"/>
    <numFmt numFmtId="169" formatCode="0.0%"/>
  </numFmts>
  <fonts count="9" x14ac:knownFonts="1">
    <font>
      <sz val="11"/>
      <color theme="1"/>
      <name val="Calibri"/>
      <family val="2"/>
      <scheme val="minor"/>
    </font>
    <font>
      <sz val="8"/>
      <name val="Calibri"/>
      <family val="2"/>
      <scheme val="minor"/>
    </font>
    <font>
      <sz val="11"/>
      <color rgb="FF333333"/>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b/>
      <sz val="14"/>
      <color rgb="FFFF000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0" fillId="2" borderId="1" xfId="0" applyFill="1" applyBorder="1"/>
    <xf numFmtId="0" fontId="0" fillId="0" borderId="0" xfId="0" applyFont="1"/>
    <xf numFmtId="0" fontId="0" fillId="0" borderId="0" xfId="0" applyFont="1" applyFill="1" applyAlignment="1">
      <alignment wrapText="1"/>
    </xf>
    <xf numFmtId="0" fontId="0" fillId="0" borderId="0" xfId="0" applyFont="1" applyAlignment="1">
      <alignment wrapText="1"/>
    </xf>
    <xf numFmtId="0" fontId="2" fillId="0" borderId="0" xfId="0" applyFont="1" applyAlignment="1">
      <alignment wrapText="1"/>
    </xf>
    <xf numFmtId="9" fontId="0" fillId="0" borderId="0" xfId="2" applyFont="1"/>
    <xf numFmtId="164" fontId="0" fillId="2" borderId="1" xfId="1" applyNumberFormat="1" applyFont="1" applyFill="1" applyBorder="1"/>
    <xf numFmtId="0" fontId="4" fillId="0" borderId="0" xfId="0" applyFont="1"/>
    <xf numFmtId="0" fontId="4" fillId="0" borderId="0" xfId="0" applyFont="1" applyAlignment="1">
      <alignment horizontal="center"/>
    </xf>
    <xf numFmtId="0" fontId="5" fillId="0" borderId="0" xfId="0" applyFont="1"/>
    <xf numFmtId="0" fontId="6" fillId="0" borderId="0" xfId="0" applyFont="1"/>
    <xf numFmtId="0" fontId="0" fillId="0" borderId="0" xfId="0" applyAlignment="1">
      <alignment horizontal="center" vertical="center"/>
    </xf>
    <xf numFmtId="0" fontId="0" fillId="0" borderId="0" xfId="0" applyAlignment="1">
      <alignment horizontal="center" vertical="center"/>
    </xf>
    <xf numFmtId="9" fontId="0" fillId="2" borderId="1" xfId="0" applyNumberFormat="1" applyFill="1" applyBorder="1"/>
    <xf numFmtId="9" fontId="0" fillId="2" borderId="1" xfId="0" applyNumberFormat="1" applyFill="1" applyBorder="1" applyAlignment="1">
      <alignment horizontal="right"/>
    </xf>
    <xf numFmtId="164" fontId="0" fillId="0" borderId="0" xfId="1" applyNumberFormat="1" applyFont="1"/>
    <xf numFmtId="169" fontId="0" fillId="2" borderId="1" xfId="0" applyNumberFormat="1" applyFill="1" applyBorder="1"/>
    <xf numFmtId="0" fontId="0" fillId="0" borderId="0" xfId="0" applyFont="1" applyFill="1"/>
    <xf numFmtId="0" fontId="7" fillId="0" borderId="0" xfId="0" applyFont="1" applyFill="1" applyAlignment="1">
      <alignment horizontal="center" vertical="top" wrapText="1"/>
    </xf>
    <xf numFmtId="0" fontId="7" fillId="0" borderId="0" xfId="0" applyFont="1" applyFill="1" applyAlignment="1">
      <alignment vertical="top" wrapText="1"/>
    </xf>
    <xf numFmtId="6" fontId="8" fillId="0" borderId="0" xfId="0" applyNumberFormat="1" applyFont="1" applyFill="1" applyAlignment="1">
      <alignment horizontal="center" vertical="top" wrapText="1"/>
    </xf>
    <xf numFmtId="0" fontId="8" fillId="0" borderId="0" xfId="0" applyFont="1" applyFill="1" applyAlignment="1">
      <alignment vertical="top" wrapText="1"/>
    </xf>
    <xf numFmtId="9" fontId="8" fillId="0" borderId="0" xfId="0" applyNumberFormat="1" applyFont="1" applyFill="1" applyAlignment="1">
      <alignment horizontal="center" vertical="top" wrapText="1"/>
    </xf>
    <xf numFmtId="164" fontId="7" fillId="0" borderId="0" xfId="1" applyNumberFormat="1" applyFont="1" applyFill="1" applyAlignment="1">
      <alignment horizontal="center" vertical="top" wrapText="1"/>
    </xf>
    <xf numFmtId="164" fontId="8" fillId="0" borderId="0" xfId="1" applyNumberFormat="1" applyFont="1" applyFill="1" applyAlignment="1">
      <alignment horizontal="center" vertical="top" wrapText="1"/>
    </xf>
    <xf numFmtId="164" fontId="8" fillId="2" borderId="0" xfId="1" applyNumberFormat="1" applyFont="1" applyFill="1" applyAlignment="1">
      <alignment horizontal="center" vertical="top" wrapText="1"/>
    </xf>
    <xf numFmtId="9" fontId="8" fillId="0" borderId="0" xfId="2" applyFont="1" applyFill="1" applyAlignment="1">
      <alignment horizontal="center" vertical="top" wrapText="1"/>
    </xf>
    <xf numFmtId="164" fontId="0" fillId="0" borderId="2" xfId="0" applyNumberFormat="1" applyFont="1" applyBorder="1"/>
    <xf numFmtId="164" fontId="0" fillId="0" borderId="3" xfId="1" applyNumberFormat="1" applyFont="1" applyBorder="1"/>
    <xf numFmtId="164" fontId="0" fillId="0" borderId="2" xfId="1"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1740-E323-4921-92A4-5B7A4717CCC2}">
  <dimension ref="A1:O55"/>
  <sheetViews>
    <sheetView tabSelected="1" topLeftCell="C1" workbookViewId="0">
      <selection activeCell="F25" sqref="F25"/>
    </sheetView>
  </sheetViews>
  <sheetFormatPr defaultRowHeight="14.25" x14ac:dyDescent="0.45"/>
  <cols>
    <col min="1" max="1" width="35.06640625" bestFit="1" customWidth="1"/>
    <col min="2" max="2" width="14.9296875" customWidth="1"/>
    <col min="3" max="3" width="13.3984375" bestFit="1" customWidth="1"/>
    <col min="4" max="4" width="59.3984375" style="2" bestFit="1" customWidth="1"/>
    <col min="5" max="14" width="16.9296875" style="2" customWidth="1"/>
    <col min="15" max="15" width="9.06640625" style="2"/>
  </cols>
  <sheetData>
    <row r="1" spans="1:14" x14ac:dyDescent="0.45">
      <c r="A1" s="9" t="s">
        <v>85</v>
      </c>
      <c r="C1" s="9" t="s">
        <v>0</v>
      </c>
    </row>
    <row r="2" spans="1:14" x14ac:dyDescent="0.45">
      <c r="A2" s="13">
        <v>1</v>
      </c>
      <c r="B2" t="s">
        <v>1</v>
      </c>
      <c r="C2" s="7">
        <f>661089017-C5</f>
        <v>260379817</v>
      </c>
      <c r="D2" s="2" t="s">
        <v>82</v>
      </c>
    </row>
    <row r="3" spans="1:14" x14ac:dyDescent="0.45">
      <c r="A3" s="13"/>
      <c r="B3" t="s">
        <v>2</v>
      </c>
      <c r="C3" s="1">
        <v>1</v>
      </c>
      <c r="D3" s="2" t="s">
        <v>3</v>
      </c>
      <c r="E3" s="10" t="str">
        <f>IF(C3=1,"Please Check notes for Class 1 as rates differ","")</f>
        <v>Please Check notes for Class 1 as rates differ</v>
      </c>
    </row>
    <row r="4" spans="1:14" x14ac:dyDescent="0.45">
      <c r="A4" s="12"/>
      <c r="B4" t="s">
        <v>74</v>
      </c>
      <c r="C4" s="15">
        <v>0.1</v>
      </c>
      <c r="E4" s="10"/>
    </row>
    <row r="5" spans="1:14" x14ac:dyDescent="0.45">
      <c r="A5" s="13">
        <v>2</v>
      </c>
      <c r="B5" t="s">
        <v>1</v>
      </c>
      <c r="C5" s="7">
        <v>400709200</v>
      </c>
      <c r="D5" s="2" t="s">
        <v>83</v>
      </c>
      <c r="E5" s="10" t="s">
        <v>84</v>
      </c>
    </row>
    <row r="6" spans="1:14" x14ac:dyDescent="0.45">
      <c r="A6" s="13"/>
      <c r="B6" t="s">
        <v>2</v>
      </c>
      <c r="C6" s="1">
        <v>53</v>
      </c>
      <c r="D6" s="2" t="s">
        <v>3</v>
      </c>
      <c r="E6" s="10" t="str">
        <f>IF(C6=1,"Please Check notes for Class 1 as rates differ","")</f>
        <v/>
      </c>
    </row>
    <row r="7" spans="1:14" x14ac:dyDescent="0.45">
      <c r="B7" t="s">
        <v>74</v>
      </c>
      <c r="C7" s="15">
        <v>0.5</v>
      </c>
    </row>
    <row r="9" spans="1:14" hidden="1" x14ac:dyDescent="0.45">
      <c r="D9" s="8" t="s">
        <v>4</v>
      </c>
    </row>
    <row r="10" spans="1:14" hidden="1" x14ac:dyDescent="0.45">
      <c r="D10" s="19"/>
      <c r="E10" s="19" t="s">
        <v>5</v>
      </c>
      <c r="F10" s="19" t="s">
        <v>6</v>
      </c>
      <c r="G10" s="19" t="s">
        <v>7</v>
      </c>
      <c r="H10" s="19" t="s">
        <v>8</v>
      </c>
      <c r="I10" s="19" t="s">
        <v>9</v>
      </c>
      <c r="J10" s="19" t="s">
        <v>10</v>
      </c>
      <c r="K10" s="19" t="s">
        <v>11</v>
      </c>
      <c r="L10" s="19" t="s">
        <v>12</v>
      </c>
      <c r="M10" s="19" t="s">
        <v>13</v>
      </c>
      <c r="N10" s="19" t="s">
        <v>14</v>
      </c>
    </row>
    <row r="11" spans="1:14" hidden="1" x14ac:dyDescent="0.45">
      <c r="D11" s="20"/>
      <c r="E11" s="20"/>
      <c r="F11" s="20"/>
      <c r="G11" s="20"/>
      <c r="H11" s="20"/>
      <c r="I11" s="20"/>
      <c r="J11" s="20"/>
      <c r="K11" s="20"/>
      <c r="L11" s="20"/>
      <c r="M11" s="20"/>
      <c r="N11" s="20"/>
    </row>
    <row r="12" spans="1:14" hidden="1" x14ac:dyDescent="0.45">
      <c r="D12" s="20" t="s">
        <v>15</v>
      </c>
      <c r="E12" s="21">
        <v>0</v>
      </c>
      <c r="F12" s="21">
        <f t="shared" ref="F12:L12" si="0">E17</f>
        <v>221322844.44999999</v>
      </c>
      <c r="G12" s="21">
        <f t="shared" si="0"/>
        <v>199190560.005</v>
      </c>
      <c r="H12" s="21">
        <f t="shared" si="0"/>
        <v>179271504.0045</v>
      </c>
      <c r="I12" s="21">
        <f t="shared" si="0"/>
        <v>161344353.60405001</v>
      </c>
      <c r="J12" s="21">
        <f t="shared" si="0"/>
        <v>145209918.24364501</v>
      </c>
      <c r="K12" s="21">
        <f t="shared" si="0"/>
        <v>130688926.41928051</v>
      </c>
      <c r="L12" s="21">
        <f t="shared" si="0"/>
        <v>117620033.77735247</v>
      </c>
      <c r="M12" s="21">
        <f t="shared" ref="M12" si="1">L17</f>
        <v>105858030.39961722</v>
      </c>
      <c r="N12" s="21">
        <f t="shared" ref="N12" si="2">M17</f>
        <v>95272228.259655505</v>
      </c>
    </row>
    <row r="13" spans="1:14" hidden="1" x14ac:dyDescent="0.45">
      <c r="D13" s="22" t="s">
        <v>16</v>
      </c>
      <c r="E13" s="21">
        <f>C2</f>
        <v>260379817</v>
      </c>
      <c r="F13" s="21">
        <v>0</v>
      </c>
      <c r="G13" s="21">
        <v>0</v>
      </c>
      <c r="H13" s="21">
        <v>0</v>
      </c>
      <c r="I13" s="21">
        <v>0</v>
      </c>
      <c r="J13" s="21">
        <v>0</v>
      </c>
      <c r="K13" s="21">
        <v>0</v>
      </c>
      <c r="L13" s="21">
        <v>0</v>
      </c>
      <c r="M13" s="21">
        <v>1</v>
      </c>
      <c r="N13" s="21">
        <v>2</v>
      </c>
    </row>
    <row r="14" spans="1:14" hidden="1" x14ac:dyDescent="0.45">
      <c r="D14" s="22" t="s">
        <v>17</v>
      </c>
      <c r="E14" s="21">
        <f>IF(E15=1,E13,E13*1.5)</f>
        <v>390569725.5</v>
      </c>
      <c r="F14" s="21">
        <f>F12+F13</f>
        <v>221322844.44999999</v>
      </c>
      <c r="G14" s="21">
        <f t="shared" ref="G14:N14" si="3">G12+G13</f>
        <v>199190560.005</v>
      </c>
      <c r="H14" s="21">
        <f t="shared" si="3"/>
        <v>179271504.0045</v>
      </c>
      <c r="I14" s="21">
        <f t="shared" si="3"/>
        <v>161344353.60405001</v>
      </c>
      <c r="J14" s="21">
        <f t="shared" si="3"/>
        <v>145209918.24364501</v>
      </c>
      <c r="K14" s="21">
        <f t="shared" si="3"/>
        <v>130688926.41928051</v>
      </c>
      <c r="L14" s="21">
        <f t="shared" si="3"/>
        <v>117620033.77735247</v>
      </c>
      <c r="M14" s="21">
        <f t="shared" si="3"/>
        <v>105858031.39961722</v>
      </c>
      <c r="N14" s="21">
        <f t="shared" si="3"/>
        <v>95272230.259655505</v>
      </c>
    </row>
    <row r="15" spans="1:14" hidden="1" x14ac:dyDescent="0.45">
      <c r="D15" s="22" t="s">
        <v>18</v>
      </c>
      <c r="E15" s="23">
        <f>VLOOKUP($C$3,'Asset Classes'!$B$4:$C$25,2)</f>
        <v>0.1</v>
      </c>
      <c r="F15" s="23">
        <f>IF(E15=1,0,E15)</f>
        <v>0.1</v>
      </c>
      <c r="G15" s="23">
        <f>F15</f>
        <v>0.1</v>
      </c>
      <c r="H15" s="23">
        <f t="shared" ref="H15:L15" si="4">G15</f>
        <v>0.1</v>
      </c>
      <c r="I15" s="23">
        <f t="shared" si="4"/>
        <v>0.1</v>
      </c>
      <c r="J15" s="23">
        <f t="shared" si="4"/>
        <v>0.1</v>
      </c>
      <c r="K15" s="23">
        <f t="shared" si="4"/>
        <v>0.1</v>
      </c>
      <c r="L15" s="23">
        <f t="shared" si="4"/>
        <v>0.1</v>
      </c>
      <c r="M15" s="23">
        <f t="shared" ref="M15:N15" si="5">L15</f>
        <v>0.1</v>
      </c>
      <c r="N15" s="23">
        <f t="shared" si="5"/>
        <v>0.1</v>
      </c>
    </row>
    <row r="16" spans="1:14" hidden="1" x14ac:dyDescent="0.45">
      <c r="D16" s="22" t="s">
        <v>19</v>
      </c>
      <c r="E16" s="21">
        <f t="shared" ref="E16:L16" si="6">E15*E14</f>
        <v>39056972.550000004</v>
      </c>
      <c r="F16" s="21">
        <f t="shared" si="6"/>
        <v>22132284.445</v>
      </c>
      <c r="G16" s="21">
        <f t="shared" si="6"/>
        <v>19919056.000500001</v>
      </c>
      <c r="H16" s="21">
        <f t="shared" si="6"/>
        <v>17927150.400450002</v>
      </c>
      <c r="I16" s="21">
        <f t="shared" si="6"/>
        <v>16134435.360405002</v>
      </c>
      <c r="J16" s="21">
        <f t="shared" si="6"/>
        <v>14520991.824364502</v>
      </c>
      <c r="K16" s="21">
        <f t="shared" si="6"/>
        <v>13068892.641928053</v>
      </c>
      <c r="L16" s="21">
        <f t="shared" si="6"/>
        <v>11762003.377735248</v>
      </c>
      <c r="M16" s="21">
        <f t="shared" ref="M16:N16" si="7">M15*M14</f>
        <v>10585803.139961723</v>
      </c>
      <c r="N16" s="21">
        <f t="shared" si="7"/>
        <v>9527223.0259655509</v>
      </c>
    </row>
    <row r="17" spans="4:14" hidden="1" x14ac:dyDescent="0.45">
      <c r="D17" s="20" t="s">
        <v>20</v>
      </c>
      <c r="E17" s="21">
        <f>E13-E16</f>
        <v>221322844.44999999</v>
      </c>
      <c r="F17" s="21">
        <f t="shared" ref="F17:L17" si="8">F14-F16</f>
        <v>199190560.005</v>
      </c>
      <c r="G17" s="21">
        <f t="shared" si="8"/>
        <v>179271504.0045</v>
      </c>
      <c r="H17" s="21">
        <f t="shared" si="8"/>
        <v>161344353.60405001</v>
      </c>
      <c r="I17" s="21">
        <f t="shared" si="8"/>
        <v>145209918.24364501</v>
      </c>
      <c r="J17" s="21">
        <f t="shared" si="8"/>
        <v>130688926.41928051</v>
      </c>
      <c r="K17" s="21">
        <f t="shared" si="8"/>
        <v>117620033.77735247</v>
      </c>
      <c r="L17" s="21">
        <f t="shared" si="8"/>
        <v>105858030.39961722</v>
      </c>
      <c r="M17" s="21">
        <f t="shared" ref="M17:N17" si="9">M14-M16</f>
        <v>95272228.259655505</v>
      </c>
      <c r="N17" s="21">
        <f t="shared" si="9"/>
        <v>85745007.233689949</v>
      </c>
    </row>
    <row r="18" spans="4:14" x14ac:dyDescent="0.45">
      <c r="D18" s="18"/>
      <c r="E18" s="21"/>
    </row>
    <row r="19" spans="4:14" x14ac:dyDescent="0.45">
      <c r="D19" s="20"/>
      <c r="E19" s="21"/>
    </row>
    <row r="20" spans="4:14" x14ac:dyDescent="0.45">
      <c r="D20" s="8" t="s">
        <v>21</v>
      </c>
      <c r="E20" s="19" t="s">
        <v>5</v>
      </c>
      <c r="F20" s="19" t="s">
        <v>6</v>
      </c>
      <c r="G20" s="19" t="s">
        <v>7</v>
      </c>
      <c r="H20" s="19" t="s">
        <v>8</v>
      </c>
      <c r="I20" s="19" t="s">
        <v>9</v>
      </c>
      <c r="J20" s="19" t="s">
        <v>10</v>
      </c>
      <c r="K20" s="19" t="s">
        <v>11</v>
      </c>
      <c r="L20" s="19" t="s">
        <v>12</v>
      </c>
      <c r="M20" s="19" t="s">
        <v>13</v>
      </c>
      <c r="N20" s="19" t="s">
        <v>14</v>
      </c>
    </row>
    <row r="22" spans="4:14" x14ac:dyDescent="0.45">
      <c r="D22" s="20" t="s">
        <v>22</v>
      </c>
      <c r="E22" s="24">
        <v>0</v>
      </c>
      <c r="F22" s="24">
        <f>E32</f>
        <v>221322844.44999999</v>
      </c>
      <c r="G22" s="24">
        <f t="shared" ref="G22:N22" si="10">F32</f>
        <v>199190560.005</v>
      </c>
      <c r="H22" s="24">
        <f t="shared" si="10"/>
        <v>179271504.0045</v>
      </c>
      <c r="I22" s="24">
        <f t="shared" si="10"/>
        <v>161344353.60405001</v>
      </c>
      <c r="J22" s="24">
        <f t="shared" si="10"/>
        <v>145209918.24364501</v>
      </c>
      <c r="K22" s="24">
        <f t="shared" si="10"/>
        <v>130688926.41928051</v>
      </c>
      <c r="L22" s="24">
        <f t="shared" si="10"/>
        <v>117620033.77735247</v>
      </c>
      <c r="M22" s="24">
        <f t="shared" si="10"/>
        <v>105858030.39961722</v>
      </c>
      <c r="N22" s="24">
        <f t="shared" si="10"/>
        <v>95272227.359655499</v>
      </c>
    </row>
    <row r="23" spans="4:14" x14ac:dyDescent="0.45">
      <c r="D23" s="20" t="s">
        <v>71</v>
      </c>
      <c r="E23" s="24">
        <f>0</f>
        <v>0</v>
      </c>
      <c r="F23" s="24">
        <f>E33</f>
        <v>386066172.55000001</v>
      </c>
      <c r="G23" s="24">
        <f t="shared" ref="G23:N23" si="11">F33</f>
        <v>341587456.995</v>
      </c>
      <c r="H23" s="24">
        <f t="shared" si="11"/>
        <v>281047182.99549997</v>
      </c>
      <c r="I23" s="24">
        <f t="shared" si="11"/>
        <v>203673723.49594998</v>
      </c>
      <c r="J23" s="24">
        <f t="shared" si="11"/>
        <v>108614655.65935498</v>
      </c>
      <c r="K23" s="24">
        <f t="shared" si="11"/>
        <v>54307327.829677492</v>
      </c>
      <c r="L23" s="24">
        <f t="shared" si="11"/>
        <v>27153663.914838746</v>
      </c>
      <c r="M23" s="24">
        <f t="shared" si="11"/>
        <v>13576831.957419373</v>
      </c>
      <c r="N23" s="24">
        <f t="shared" si="11"/>
        <v>6788415.9787096865</v>
      </c>
    </row>
    <row r="24" spans="4:14" x14ac:dyDescent="0.45">
      <c r="D24" s="22" t="s">
        <v>23</v>
      </c>
      <c r="E24" s="25">
        <f>C2</f>
        <v>260379817</v>
      </c>
      <c r="F24" s="26">
        <v>0</v>
      </c>
      <c r="G24" s="26">
        <v>0</v>
      </c>
      <c r="H24" s="26">
        <v>0</v>
      </c>
      <c r="I24" s="26">
        <v>0</v>
      </c>
      <c r="J24" s="26">
        <v>0</v>
      </c>
      <c r="K24" s="26">
        <v>0</v>
      </c>
      <c r="L24" s="26">
        <v>0</v>
      </c>
      <c r="M24" s="26">
        <v>0</v>
      </c>
      <c r="N24" s="26">
        <v>0</v>
      </c>
    </row>
    <row r="25" spans="4:14" x14ac:dyDescent="0.45">
      <c r="D25" s="22" t="s">
        <v>24</v>
      </c>
      <c r="E25" s="25">
        <f>C5</f>
        <v>400709200</v>
      </c>
      <c r="F25" s="26">
        <v>0</v>
      </c>
      <c r="G25" s="26">
        <v>0</v>
      </c>
      <c r="H25" s="26">
        <v>0</v>
      </c>
      <c r="I25" s="26">
        <v>0</v>
      </c>
      <c r="J25" s="26">
        <v>0</v>
      </c>
      <c r="K25" s="26">
        <v>0</v>
      </c>
      <c r="L25" s="26">
        <v>0</v>
      </c>
      <c r="M25" s="26">
        <v>0</v>
      </c>
      <c r="N25" s="26">
        <v>0</v>
      </c>
    </row>
    <row r="26" spans="4:14" x14ac:dyDescent="0.45">
      <c r="D26" s="22" t="s">
        <v>25</v>
      </c>
      <c r="E26" s="25">
        <f>IF(E28=1,E24,E24*1.5)</f>
        <v>390569725.5</v>
      </c>
      <c r="F26" s="25">
        <f>F24+F22</f>
        <v>221322844.44999999</v>
      </c>
      <c r="G26" s="25">
        <f t="shared" ref="G26:N26" si="12">G24+G22</f>
        <v>199190560.005</v>
      </c>
      <c r="H26" s="25">
        <f t="shared" si="12"/>
        <v>179271504.0045</v>
      </c>
      <c r="I26" s="25">
        <f t="shared" si="12"/>
        <v>161344353.60405001</v>
      </c>
      <c r="J26" s="25">
        <f t="shared" si="12"/>
        <v>145209918.24364501</v>
      </c>
      <c r="K26" s="25">
        <f t="shared" si="12"/>
        <v>130688926.41928051</v>
      </c>
      <c r="L26" s="25">
        <f t="shared" si="12"/>
        <v>117620033.77735247</v>
      </c>
      <c r="M26" s="25">
        <f t="shared" si="12"/>
        <v>105858030.39961722</v>
      </c>
      <c r="N26" s="25">
        <f t="shared" si="12"/>
        <v>95272227.359655499</v>
      </c>
    </row>
    <row r="27" spans="4:14" x14ac:dyDescent="0.45">
      <c r="D27" s="22" t="s">
        <v>26</v>
      </c>
      <c r="E27" s="25">
        <f>IF(E29=1,E25,E25*1.5)</f>
        <v>400709200</v>
      </c>
      <c r="F27" s="25">
        <f>F23+F25</f>
        <v>386066172.55000001</v>
      </c>
      <c r="G27" s="25">
        <f t="shared" ref="G27:N27" si="13">G23+G25</f>
        <v>341587456.995</v>
      </c>
      <c r="H27" s="25">
        <f t="shared" si="13"/>
        <v>281047182.99549997</v>
      </c>
      <c r="I27" s="25">
        <f t="shared" si="13"/>
        <v>203673723.49594998</v>
      </c>
      <c r="J27" s="25">
        <f t="shared" si="13"/>
        <v>108614655.65935498</v>
      </c>
      <c r="K27" s="25">
        <f t="shared" si="13"/>
        <v>54307327.829677492</v>
      </c>
      <c r="L27" s="25">
        <f t="shared" si="13"/>
        <v>27153663.914838746</v>
      </c>
      <c r="M27" s="25">
        <f t="shared" si="13"/>
        <v>13576831.957419373</v>
      </c>
      <c r="N27" s="25">
        <f t="shared" si="13"/>
        <v>6788415.9787096865</v>
      </c>
    </row>
    <row r="28" spans="4:14" x14ac:dyDescent="0.45">
      <c r="D28" s="22" t="s">
        <v>27</v>
      </c>
      <c r="E28" s="27">
        <f>VLOOKUP($C$3,'Asset Classes'!$B$4:$C$25,2)</f>
        <v>0.1</v>
      </c>
      <c r="F28" s="27">
        <f>C4</f>
        <v>0.1</v>
      </c>
      <c r="G28" s="27">
        <f t="shared" ref="G28:L28" si="14">F28</f>
        <v>0.1</v>
      </c>
      <c r="H28" s="27">
        <f t="shared" si="14"/>
        <v>0.1</v>
      </c>
      <c r="I28" s="27">
        <f t="shared" si="14"/>
        <v>0.1</v>
      </c>
      <c r="J28" s="27">
        <f t="shared" si="14"/>
        <v>0.1</v>
      </c>
      <c r="K28" s="27">
        <f t="shared" si="14"/>
        <v>0.1</v>
      </c>
      <c r="L28" s="27">
        <f t="shared" si="14"/>
        <v>0.1</v>
      </c>
      <c r="M28" s="27">
        <f t="shared" ref="M28:N28" si="15">L28</f>
        <v>0.1</v>
      </c>
      <c r="N28" s="27">
        <f t="shared" si="15"/>
        <v>0.1</v>
      </c>
    </row>
    <row r="29" spans="4:14" x14ac:dyDescent="0.45">
      <c r="D29" s="22" t="s">
        <v>28</v>
      </c>
      <c r="E29" s="27">
        <f>VLOOKUP($C$6,'Asset Classes'!$B$4:$C$25,2)</f>
        <v>1</v>
      </c>
      <c r="F29" s="27">
        <f>C7</f>
        <v>0.5</v>
      </c>
      <c r="G29" s="27">
        <f>F29</f>
        <v>0.5</v>
      </c>
      <c r="H29" s="27">
        <f t="shared" ref="H29:L29" si="16">G29</f>
        <v>0.5</v>
      </c>
      <c r="I29" s="27">
        <f t="shared" si="16"/>
        <v>0.5</v>
      </c>
      <c r="J29" s="27">
        <f t="shared" si="16"/>
        <v>0.5</v>
      </c>
      <c r="K29" s="27">
        <f t="shared" si="16"/>
        <v>0.5</v>
      </c>
      <c r="L29" s="27">
        <f t="shared" si="16"/>
        <v>0.5</v>
      </c>
      <c r="M29" s="27">
        <f t="shared" ref="M29:N29" si="17">L29</f>
        <v>0.5</v>
      </c>
      <c r="N29" s="27">
        <f t="shared" si="17"/>
        <v>0.5</v>
      </c>
    </row>
    <row r="30" spans="4:14" x14ac:dyDescent="0.45">
      <c r="D30" s="22" t="s">
        <v>79</v>
      </c>
      <c r="E30" s="25">
        <f>(E28*E26)</f>
        <v>39056972.550000004</v>
      </c>
      <c r="F30" s="25">
        <f t="shared" ref="F30" si="18">(F28*F26)</f>
        <v>22132284.445</v>
      </c>
      <c r="G30" s="25">
        <f t="shared" ref="G30:N30" si="19">(G28*G26)</f>
        <v>19919056.000500001</v>
      </c>
      <c r="H30" s="25">
        <f t="shared" si="19"/>
        <v>17927150.400450002</v>
      </c>
      <c r="I30" s="25">
        <f t="shared" si="19"/>
        <v>16134435.360405002</v>
      </c>
      <c r="J30" s="25">
        <f t="shared" si="19"/>
        <v>14520991.824364502</v>
      </c>
      <c r="K30" s="25">
        <f t="shared" si="19"/>
        <v>13068892.641928053</v>
      </c>
      <c r="L30" s="25">
        <f t="shared" si="19"/>
        <v>11762003.377735248</v>
      </c>
      <c r="M30" s="25">
        <f t="shared" si="19"/>
        <v>10585803.039961724</v>
      </c>
      <c r="N30" s="25">
        <f t="shared" si="19"/>
        <v>9527222.7359655499</v>
      </c>
    </row>
    <row r="31" spans="4:14" x14ac:dyDescent="0.45">
      <c r="D31" s="22" t="s">
        <v>80</v>
      </c>
      <c r="E31" s="25">
        <f>(E29*E25)</f>
        <v>400709200</v>
      </c>
      <c r="F31" s="25">
        <f>(F29*F27)</f>
        <v>193033086.27500001</v>
      </c>
      <c r="G31" s="25">
        <f t="shared" ref="G31:N31" si="20">(G29*G27)</f>
        <v>170793728.4975</v>
      </c>
      <c r="H31" s="25">
        <f t="shared" si="20"/>
        <v>140523591.49774998</v>
      </c>
      <c r="I31" s="25">
        <f t="shared" si="20"/>
        <v>101836861.74797499</v>
      </c>
      <c r="J31" s="25">
        <f t="shared" si="20"/>
        <v>54307327.829677492</v>
      </c>
      <c r="K31" s="25">
        <f t="shared" si="20"/>
        <v>27153663.914838746</v>
      </c>
      <c r="L31" s="25">
        <f t="shared" si="20"/>
        <v>13576831.957419373</v>
      </c>
      <c r="M31" s="25">
        <f t="shared" si="20"/>
        <v>6788415.9787096865</v>
      </c>
      <c r="N31" s="25">
        <f t="shared" si="20"/>
        <v>3394207.9893548433</v>
      </c>
    </row>
    <row r="32" spans="4:14" x14ac:dyDescent="0.45">
      <c r="D32" s="20" t="s">
        <v>29</v>
      </c>
      <c r="E32" s="24">
        <f>E24-E49</f>
        <v>221322844.44999999</v>
      </c>
      <c r="F32" s="24">
        <f>F26-F49</f>
        <v>199190560.005</v>
      </c>
      <c r="G32" s="24">
        <f t="shared" ref="G32:N32" si="21">G26-G49</f>
        <v>179271504.0045</v>
      </c>
      <c r="H32" s="24">
        <f t="shared" si="21"/>
        <v>161344353.60405001</v>
      </c>
      <c r="I32" s="24">
        <f t="shared" si="21"/>
        <v>145209918.24364501</v>
      </c>
      <c r="J32" s="24">
        <f t="shared" si="21"/>
        <v>130688926.41928051</v>
      </c>
      <c r="K32" s="24">
        <f t="shared" si="21"/>
        <v>117620033.77735247</v>
      </c>
      <c r="L32" s="24">
        <f t="shared" si="21"/>
        <v>105858030.39961722</v>
      </c>
      <c r="M32" s="24">
        <f t="shared" si="21"/>
        <v>95272227.359655499</v>
      </c>
      <c r="N32" s="24">
        <f t="shared" si="21"/>
        <v>85745004.62368995</v>
      </c>
    </row>
    <row r="33" spans="1:14" x14ac:dyDescent="0.45">
      <c r="D33" s="20" t="s">
        <v>30</v>
      </c>
      <c r="E33" s="24">
        <f>E27-E50</f>
        <v>386066172.55000001</v>
      </c>
      <c r="F33" s="24">
        <f>F27-F50</f>
        <v>341587456.995</v>
      </c>
      <c r="G33" s="24">
        <f t="shared" ref="G33:N33" si="22">G27-G50</f>
        <v>281047182.99549997</v>
      </c>
      <c r="H33" s="24">
        <f t="shared" si="22"/>
        <v>203673723.49594998</v>
      </c>
      <c r="I33" s="24">
        <f t="shared" si="22"/>
        <v>108614655.65935498</v>
      </c>
      <c r="J33" s="24">
        <f t="shared" si="22"/>
        <v>54307327.829677492</v>
      </c>
      <c r="K33" s="24">
        <f t="shared" si="22"/>
        <v>27153663.914838746</v>
      </c>
      <c r="L33" s="24">
        <f t="shared" si="22"/>
        <v>13576831.957419373</v>
      </c>
      <c r="M33" s="24">
        <f t="shared" si="22"/>
        <v>6788415.9787096865</v>
      </c>
      <c r="N33" s="24">
        <f t="shared" si="22"/>
        <v>3394207.9893548433</v>
      </c>
    </row>
    <row r="35" spans="1:14" ht="18" x14ac:dyDescent="0.55000000000000004">
      <c r="B35" s="11" t="s">
        <v>31</v>
      </c>
    </row>
    <row r="37" spans="1:14" x14ac:dyDescent="0.45">
      <c r="A37" t="s">
        <v>61</v>
      </c>
      <c r="B37" s="7">
        <v>2200000000</v>
      </c>
      <c r="D37" s="8" t="s">
        <v>60</v>
      </c>
    </row>
    <row r="38" spans="1:14" x14ac:dyDescent="0.45">
      <c r="A38" t="s">
        <v>68</v>
      </c>
      <c r="B38" s="14">
        <v>0.05</v>
      </c>
    </row>
    <row r="39" spans="1:14" x14ac:dyDescent="0.45">
      <c r="A39" t="s">
        <v>75</v>
      </c>
      <c r="B39" s="7">
        <v>467900000</v>
      </c>
    </row>
    <row r="40" spans="1:14" x14ac:dyDescent="0.45">
      <c r="A40" t="s">
        <v>78</v>
      </c>
      <c r="B40" s="7">
        <f>486300000-B39</f>
        <v>18400000</v>
      </c>
      <c r="E40" s="19" t="s">
        <v>5</v>
      </c>
      <c r="F40" s="19" t="s">
        <v>6</v>
      </c>
      <c r="G40" s="19" t="s">
        <v>7</v>
      </c>
      <c r="H40" s="19" t="s">
        <v>8</v>
      </c>
      <c r="I40" s="19" t="s">
        <v>9</v>
      </c>
      <c r="J40" s="19" t="s">
        <v>10</v>
      </c>
      <c r="K40" s="19" t="s">
        <v>11</v>
      </c>
      <c r="L40" s="19" t="s">
        <v>12</v>
      </c>
      <c r="M40" s="19" t="s">
        <v>13</v>
      </c>
      <c r="N40" s="19" t="s">
        <v>14</v>
      </c>
    </row>
    <row r="41" spans="1:14" x14ac:dyDescent="0.45">
      <c r="A41" t="s">
        <v>86</v>
      </c>
      <c r="B41" s="14">
        <v>0.75</v>
      </c>
      <c r="D41" s="16" t="s">
        <v>61</v>
      </c>
      <c r="E41" s="16">
        <f>B37</f>
        <v>2200000000</v>
      </c>
      <c r="F41" s="16">
        <f>E41*(1+$B$38)</f>
        <v>2310000000</v>
      </c>
      <c r="G41" s="16">
        <f t="shared" ref="G41:N41" si="23">F41*(1+$B$38)</f>
        <v>2425500000</v>
      </c>
      <c r="H41" s="16">
        <f t="shared" si="23"/>
        <v>2546775000</v>
      </c>
      <c r="I41" s="16">
        <f t="shared" si="23"/>
        <v>2674113750</v>
      </c>
      <c r="J41" s="16">
        <f t="shared" si="23"/>
        <v>2807819437.5</v>
      </c>
      <c r="K41" s="16">
        <f t="shared" si="23"/>
        <v>2948210409.375</v>
      </c>
      <c r="L41" s="16">
        <f t="shared" si="23"/>
        <v>3095620929.84375</v>
      </c>
      <c r="M41" s="16">
        <f t="shared" si="23"/>
        <v>3250401976.3359375</v>
      </c>
      <c r="N41" s="16">
        <f t="shared" si="23"/>
        <v>3412922075.1527348</v>
      </c>
    </row>
    <row r="42" spans="1:14" x14ac:dyDescent="0.45">
      <c r="A42" t="s">
        <v>72</v>
      </c>
      <c r="B42" s="14">
        <v>0.03</v>
      </c>
      <c r="D42" s="16"/>
      <c r="E42" s="16"/>
      <c r="F42" s="16"/>
      <c r="G42" s="16"/>
      <c r="H42" s="16"/>
      <c r="I42" s="16"/>
      <c r="J42" s="16"/>
      <c r="K42" s="16"/>
      <c r="L42" s="16"/>
      <c r="M42" s="16"/>
      <c r="N42" s="16"/>
    </row>
    <row r="43" spans="1:14" x14ac:dyDescent="0.45">
      <c r="A43" t="s">
        <v>73</v>
      </c>
      <c r="B43" s="14">
        <v>0.03</v>
      </c>
      <c r="D43" s="16" t="s">
        <v>62</v>
      </c>
      <c r="E43" s="16">
        <f>E41*$B$41</f>
        <v>1650000000</v>
      </c>
      <c r="F43" s="16">
        <f>F41*$B$41</f>
        <v>1732500000</v>
      </c>
      <c r="G43" s="16">
        <f t="shared" ref="G43:N43" si="24">G41*$B$41</f>
        <v>1819125000</v>
      </c>
      <c r="H43" s="16">
        <f t="shared" si="24"/>
        <v>1910081250</v>
      </c>
      <c r="I43" s="16">
        <f t="shared" si="24"/>
        <v>2005585312.5</v>
      </c>
      <c r="J43" s="16">
        <f t="shared" si="24"/>
        <v>2105864578.125</v>
      </c>
      <c r="K43" s="16">
        <f t="shared" si="24"/>
        <v>2211157807.03125</v>
      </c>
      <c r="L43" s="16">
        <f t="shared" si="24"/>
        <v>2321715697.3828125</v>
      </c>
      <c r="M43" s="16">
        <f t="shared" si="24"/>
        <v>2437801482.2519531</v>
      </c>
      <c r="N43" s="16">
        <f t="shared" si="24"/>
        <v>2559691556.3645511</v>
      </c>
    </row>
    <row r="44" spans="1:14" x14ac:dyDescent="0.45">
      <c r="A44" t="s">
        <v>64</v>
      </c>
      <c r="B44" s="7">
        <v>10000000</v>
      </c>
      <c r="D44" s="16"/>
      <c r="E44" s="16"/>
      <c r="F44" s="16"/>
      <c r="G44" s="16"/>
      <c r="H44" s="16"/>
      <c r="I44" s="16"/>
      <c r="J44" s="16"/>
      <c r="K44" s="16"/>
      <c r="L44" s="16"/>
      <c r="M44" s="16"/>
      <c r="N44" s="16"/>
    </row>
    <row r="45" spans="1:14" x14ac:dyDescent="0.45">
      <c r="A45" t="s">
        <v>81</v>
      </c>
      <c r="B45" s="17">
        <v>0.26500000000000001</v>
      </c>
      <c r="D45" s="16" t="s">
        <v>69</v>
      </c>
      <c r="E45" s="16">
        <f>B39</f>
        <v>467900000</v>
      </c>
      <c r="F45" s="16">
        <f>E45*(1+$B$42)</f>
        <v>481937000</v>
      </c>
      <c r="G45" s="16">
        <f t="shared" ref="G45:N45" si="25">F45*(1+$B$42)</f>
        <v>496395110</v>
      </c>
      <c r="H45" s="16">
        <f t="shared" si="25"/>
        <v>511286963.30000001</v>
      </c>
      <c r="I45" s="16">
        <f t="shared" si="25"/>
        <v>526625572.199</v>
      </c>
      <c r="J45" s="16">
        <f t="shared" si="25"/>
        <v>542424339.36496997</v>
      </c>
      <c r="K45" s="16">
        <f t="shared" si="25"/>
        <v>558697069.54591906</v>
      </c>
      <c r="L45" s="16">
        <f t="shared" si="25"/>
        <v>575457981.63229668</v>
      </c>
      <c r="M45" s="16">
        <f t="shared" si="25"/>
        <v>592721721.08126557</v>
      </c>
      <c r="N45" s="16">
        <f t="shared" si="25"/>
        <v>610503372.71370351</v>
      </c>
    </row>
    <row r="46" spans="1:14" x14ac:dyDescent="0.45">
      <c r="D46" s="16" t="s">
        <v>63</v>
      </c>
      <c r="E46" s="16">
        <f>$B$40</f>
        <v>18400000</v>
      </c>
      <c r="F46" s="16">
        <f>E46*(1+$B$42)</f>
        <v>18952000</v>
      </c>
      <c r="G46" s="16">
        <f t="shared" ref="G46:N46" si="26">F46*(1+$B$42)</f>
        <v>19520560</v>
      </c>
      <c r="H46" s="16">
        <f t="shared" si="26"/>
        <v>20106176.800000001</v>
      </c>
      <c r="I46" s="16">
        <f t="shared" si="26"/>
        <v>20709362.104000002</v>
      </c>
      <c r="J46" s="16">
        <f t="shared" si="26"/>
        <v>21330642.967120003</v>
      </c>
      <c r="K46" s="16">
        <f t="shared" si="26"/>
        <v>21970562.256133605</v>
      </c>
      <c r="L46" s="16">
        <f t="shared" si="26"/>
        <v>22629679.123817615</v>
      </c>
      <c r="M46" s="16">
        <f t="shared" si="26"/>
        <v>23308569.497532144</v>
      </c>
      <c r="N46" s="16">
        <f t="shared" si="26"/>
        <v>24007826.582458109</v>
      </c>
    </row>
    <row r="47" spans="1:14" ht="14.65" thickBot="1" x14ac:dyDescent="0.5">
      <c r="D47" s="16" t="s">
        <v>70</v>
      </c>
      <c r="E47" s="29">
        <f>B37-E43-E45-E46</f>
        <v>63700000</v>
      </c>
      <c r="F47" s="29">
        <f>F41-F43-F45-F46</f>
        <v>76611000</v>
      </c>
      <c r="G47" s="29">
        <f t="shared" ref="G47:N47" si="27">G41-G43-G45-G46</f>
        <v>90459330</v>
      </c>
      <c r="H47" s="29">
        <f t="shared" si="27"/>
        <v>105300609.89999999</v>
      </c>
      <c r="I47" s="29">
        <f t="shared" si="27"/>
        <v>121193503.197</v>
      </c>
      <c r="J47" s="29">
        <f t="shared" si="27"/>
        <v>138199877.04291004</v>
      </c>
      <c r="K47" s="29">
        <f t="shared" si="27"/>
        <v>156384970.54169732</v>
      </c>
      <c r="L47" s="29">
        <f t="shared" si="27"/>
        <v>175817571.7048232</v>
      </c>
      <c r="M47" s="29">
        <f t="shared" si="27"/>
        <v>196570203.50518668</v>
      </c>
      <c r="N47" s="29">
        <f t="shared" si="27"/>
        <v>218719319.49202207</v>
      </c>
    </row>
    <row r="48" spans="1:14" x14ac:dyDescent="0.45">
      <c r="D48" s="16" t="s">
        <v>64</v>
      </c>
      <c r="E48" s="16">
        <f>$B$44</f>
        <v>10000000</v>
      </c>
      <c r="F48" s="16">
        <f t="shared" ref="F48:N48" si="28">$B$44</f>
        <v>10000000</v>
      </c>
      <c r="G48" s="16">
        <f t="shared" si="28"/>
        <v>10000000</v>
      </c>
      <c r="H48" s="16">
        <f t="shared" si="28"/>
        <v>10000000</v>
      </c>
      <c r="I48" s="16">
        <f t="shared" si="28"/>
        <v>10000000</v>
      </c>
      <c r="J48" s="16">
        <f t="shared" si="28"/>
        <v>10000000</v>
      </c>
      <c r="K48" s="16">
        <f t="shared" si="28"/>
        <v>10000000</v>
      </c>
      <c r="L48" s="16">
        <f t="shared" si="28"/>
        <v>10000000</v>
      </c>
      <c r="M48" s="16">
        <f t="shared" si="28"/>
        <v>10000000</v>
      </c>
      <c r="N48" s="16">
        <f t="shared" si="28"/>
        <v>10000000</v>
      </c>
    </row>
    <row r="49" spans="4:14" x14ac:dyDescent="0.45">
      <c r="D49" s="16" t="s">
        <v>76</v>
      </c>
      <c r="E49" s="16">
        <f>IF((E47-E48)&gt;0,MIN(E47-E48,E30),0)</f>
        <v>39056972.550000004</v>
      </c>
      <c r="F49" s="16">
        <f t="shared" ref="F49:N49" si="29">IF((F47-F48)&gt;0,MIN(F47-F48,F30),0)</f>
        <v>22132284.445</v>
      </c>
      <c r="G49" s="16">
        <f t="shared" si="29"/>
        <v>19919056.000500001</v>
      </c>
      <c r="H49" s="16">
        <f t="shared" si="29"/>
        <v>17927150.400450002</v>
      </c>
      <c r="I49" s="16">
        <f t="shared" si="29"/>
        <v>16134435.360405002</v>
      </c>
      <c r="J49" s="16">
        <f t="shared" si="29"/>
        <v>14520991.824364502</v>
      </c>
      <c r="K49" s="16">
        <f t="shared" si="29"/>
        <v>13068892.641928053</v>
      </c>
      <c r="L49" s="16">
        <f t="shared" si="29"/>
        <v>11762003.377735248</v>
      </c>
      <c r="M49" s="16">
        <f t="shared" si="29"/>
        <v>10585803.039961724</v>
      </c>
      <c r="N49" s="16">
        <f t="shared" si="29"/>
        <v>9527222.7359655499</v>
      </c>
    </row>
    <row r="50" spans="4:14" x14ac:dyDescent="0.45">
      <c r="D50" s="16" t="s">
        <v>77</v>
      </c>
      <c r="E50" s="16">
        <f>IF((E47-E48-E49)&gt;0,MIN(E47-E49-E48,E31),0)</f>
        <v>14643027.449999996</v>
      </c>
      <c r="F50" s="16">
        <f t="shared" ref="F50:N50" si="30">IF((F47-F48-F49)&gt;0,MIN(F47-F49-F48,F31),0)</f>
        <v>44478715.555</v>
      </c>
      <c r="G50" s="16">
        <f t="shared" si="30"/>
        <v>60540273.999500006</v>
      </c>
      <c r="H50" s="16">
        <f t="shared" si="30"/>
        <v>77373459.499549985</v>
      </c>
      <c r="I50" s="16">
        <f t="shared" si="30"/>
        <v>95059067.836594999</v>
      </c>
      <c r="J50" s="16">
        <f t="shared" si="30"/>
        <v>54307327.829677492</v>
      </c>
      <c r="K50" s="16">
        <f t="shared" si="30"/>
        <v>27153663.914838746</v>
      </c>
      <c r="L50" s="16">
        <f t="shared" si="30"/>
        <v>13576831.957419373</v>
      </c>
      <c r="M50" s="16">
        <f t="shared" si="30"/>
        <v>6788415.9787096865</v>
      </c>
      <c r="N50" s="16">
        <f t="shared" si="30"/>
        <v>3394207.9893548433</v>
      </c>
    </row>
    <row r="51" spans="4:14" ht="14.65" thickBot="1" x14ac:dyDescent="0.5">
      <c r="D51" s="16" t="s">
        <v>67</v>
      </c>
      <c r="E51" s="30">
        <f>E47-E48-E49-E50</f>
        <v>0</v>
      </c>
      <c r="F51" s="30">
        <f t="shared" ref="F51:N51" si="31">F47-F48-F49-F50</f>
        <v>0</v>
      </c>
      <c r="G51" s="30">
        <f t="shared" si="31"/>
        <v>0</v>
      </c>
      <c r="H51" s="30">
        <f t="shared" si="31"/>
        <v>0</v>
      </c>
      <c r="I51" s="30">
        <f t="shared" si="31"/>
        <v>0</v>
      </c>
      <c r="J51" s="30">
        <f t="shared" si="31"/>
        <v>59371557.388868049</v>
      </c>
      <c r="K51" s="30">
        <f t="shared" si="31"/>
        <v>106162413.98493053</v>
      </c>
      <c r="L51" s="30">
        <f t="shared" si="31"/>
        <v>140478736.36966857</v>
      </c>
      <c r="M51" s="30">
        <f t="shared" si="31"/>
        <v>169195984.48651525</v>
      </c>
      <c r="N51" s="30">
        <f t="shared" si="31"/>
        <v>195797888.76670167</v>
      </c>
    </row>
    <row r="52" spans="4:14" ht="14.65" thickTop="1" x14ac:dyDescent="0.45">
      <c r="D52" s="16"/>
      <c r="E52" s="16"/>
      <c r="F52" s="16"/>
      <c r="G52" s="16"/>
      <c r="H52" s="16"/>
      <c r="I52" s="16"/>
      <c r="J52" s="16"/>
      <c r="K52" s="16"/>
      <c r="L52" s="16"/>
      <c r="M52" s="16"/>
      <c r="N52" s="16"/>
    </row>
    <row r="53" spans="4:14" x14ac:dyDescent="0.45">
      <c r="D53" s="16" t="s">
        <v>66</v>
      </c>
      <c r="E53" s="16">
        <f>IF(E47-E48-E49-E50&lt;0,0,E51*$B$45)</f>
        <v>0</v>
      </c>
      <c r="F53" s="16">
        <f t="shared" ref="F53:N53" si="32">IF(F47-F48-F49-F50=0,0,F51*$B$45)</f>
        <v>0</v>
      </c>
      <c r="G53" s="16">
        <f t="shared" si="32"/>
        <v>0</v>
      </c>
      <c r="H53" s="16">
        <f t="shared" si="32"/>
        <v>0</v>
      </c>
      <c r="I53" s="16">
        <f t="shared" si="32"/>
        <v>0</v>
      </c>
      <c r="J53" s="16">
        <f t="shared" si="32"/>
        <v>15733462.708050033</v>
      </c>
      <c r="K53" s="16">
        <f t="shared" si="32"/>
        <v>28133039.70600659</v>
      </c>
      <c r="L53" s="16">
        <f t="shared" si="32"/>
        <v>37226865.137962177</v>
      </c>
      <c r="M53" s="16">
        <f t="shared" si="32"/>
        <v>44836935.888926543</v>
      </c>
      <c r="N53" s="16">
        <f t="shared" si="32"/>
        <v>51886440.523175947</v>
      </c>
    </row>
    <row r="54" spans="4:14" ht="14.65" thickBot="1" x14ac:dyDescent="0.5">
      <c r="D54" s="16" t="s">
        <v>65</v>
      </c>
      <c r="E54" s="28">
        <f>IF(E51-E53&gt;0,E51-E53,E51)</f>
        <v>0</v>
      </c>
      <c r="F54" s="28">
        <f t="shared" ref="F54:N54" si="33">IF(F51-F53&gt;0,F51-F53,F51)</f>
        <v>0</v>
      </c>
      <c r="G54" s="28">
        <f t="shared" si="33"/>
        <v>0</v>
      </c>
      <c r="H54" s="28">
        <f t="shared" si="33"/>
        <v>0</v>
      </c>
      <c r="I54" s="28">
        <f t="shared" si="33"/>
        <v>0</v>
      </c>
      <c r="J54" s="28">
        <f t="shared" si="33"/>
        <v>43638094.680818014</v>
      </c>
      <c r="K54" s="28">
        <f t="shared" si="33"/>
        <v>78029374.278923944</v>
      </c>
      <c r="L54" s="28">
        <f t="shared" si="33"/>
        <v>103251871.2317064</v>
      </c>
      <c r="M54" s="28">
        <f t="shared" si="33"/>
        <v>124359048.59758872</v>
      </c>
      <c r="N54" s="28">
        <f t="shared" si="33"/>
        <v>143911448.24352571</v>
      </c>
    </row>
    <row r="55" spans="4:14" ht="14.65" thickTop="1" x14ac:dyDescent="0.45"/>
  </sheetData>
  <mergeCells count="2">
    <mergeCell ref="A2:A3"/>
    <mergeCell ref="A5:A6"/>
  </mergeCells>
  <phoneticPr fontId="1"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D6B4D02A-F992-4BE0-9086-0F8E857644BF}">
          <x14:formula1>
            <xm:f>'Asset Classes'!$B$4:$B$25</xm:f>
          </x14:formula1>
          <xm:sqref>C6 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2918-E79E-452D-907D-6B82A341B094}">
  <dimension ref="B3:E25"/>
  <sheetViews>
    <sheetView workbookViewId="0">
      <selection activeCell="E4" sqref="E4"/>
    </sheetView>
  </sheetViews>
  <sheetFormatPr defaultRowHeight="14.25" x14ac:dyDescent="0.45"/>
  <cols>
    <col min="2" max="2" width="10.59765625" customWidth="1"/>
    <col min="4" max="4" width="22.59765625" bestFit="1" customWidth="1"/>
    <col min="5" max="5" width="99.73046875" customWidth="1"/>
  </cols>
  <sheetData>
    <row r="3" spans="2:5" x14ac:dyDescent="0.45">
      <c r="B3" s="2" t="s">
        <v>2</v>
      </c>
      <c r="C3" s="2" t="s">
        <v>32</v>
      </c>
      <c r="D3" s="2" t="s">
        <v>33</v>
      </c>
      <c r="E3" s="2" t="s">
        <v>34</v>
      </c>
    </row>
    <row r="4" spans="2:5" ht="57" x14ac:dyDescent="0.45">
      <c r="B4" s="2">
        <v>1</v>
      </c>
      <c r="C4" s="6">
        <v>0.1</v>
      </c>
      <c r="D4" s="2" t="s">
        <v>35</v>
      </c>
      <c r="E4" s="3" t="s">
        <v>36</v>
      </c>
    </row>
    <row r="5" spans="2:5" x14ac:dyDescent="0.45">
      <c r="B5" s="2">
        <v>3</v>
      </c>
      <c r="C5" s="6">
        <v>0.05</v>
      </c>
      <c r="D5" s="2" t="s">
        <v>35</v>
      </c>
      <c r="E5" s="4" t="s">
        <v>37</v>
      </c>
    </row>
    <row r="6" spans="2:5" ht="28.5" x14ac:dyDescent="0.45">
      <c r="B6" s="2">
        <v>6</v>
      </c>
      <c r="C6" s="6">
        <v>0.1</v>
      </c>
      <c r="D6" s="2" t="s">
        <v>35</v>
      </c>
      <c r="E6" s="5" t="s">
        <v>38</v>
      </c>
    </row>
    <row r="7" spans="2:5" ht="28.5" x14ac:dyDescent="0.45">
      <c r="B7" s="2">
        <v>8</v>
      </c>
      <c r="C7" s="6">
        <v>0.2</v>
      </c>
      <c r="D7" s="2" t="s">
        <v>35</v>
      </c>
      <c r="E7" s="5" t="s">
        <v>39</v>
      </c>
    </row>
    <row r="8" spans="2:5" ht="42.75" x14ac:dyDescent="0.45">
      <c r="B8" s="2">
        <v>10</v>
      </c>
      <c r="C8" s="6">
        <v>0.3</v>
      </c>
      <c r="D8" s="2" t="s">
        <v>35</v>
      </c>
      <c r="E8" s="5" t="s">
        <v>40</v>
      </c>
    </row>
    <row r="9" spans="2:5" x14ac:dyDescent="0.45">
      <c r="B9" s="2">
        <v>10.1</v>
      </c>
      <c r="C9" s="6">
        <v>0.3</v>
      </c>
      <c r="D9" s="2" t="s">
        <v>35</v>
      </c>
      <c r="E9" s="5" t="s">
        <v>41</v>
      </c>
    </row>
    <row r="10" spans="2:5" ht="28.5" x14ac:dyDescent="0.45">
      <c r="B10" s="2">
        <v>12</v>
      </c>
      <c r="C10" s="6">
        <v>1</v>
      </c>
      <c r="D10" s="2" t="s">
        <v>42</v>
      </c>
      <c r="E10" s="5" t="s">
        <v>43</v>
      </c>
    </row>
    <row r="11" spans="2:5" ht="28.5" x14ac:dyDescent="0.45">
      <c r="B11" s="2">
        <v>13</v>
      </c>
      <c r="C11" s="6" t="s">
        <v>44</v>
      </c>
      <c r="D11" s="2" t="s">
        <v>35</v>
      </c>
      <c r="E11" s="5" t="s">
        <v>45</v>
      </c>
    </row>
    <row r="12" spans="2:5" ht="42.75" x14ac:dyDescent="0.45">
      <c r="B12" s="2">
        <v>14</v>
      </c>
      <c r="C12" s="6" t="s">
        <v>44</v>
      </c>
      <c r="D12" s="2" t="s">
        <v>35</v>
      </c>
      <c r="E12" s="5" t="s">
        <v>46</v>
      </c>
    </row>
    <row r="13" spans="2:5" ht="57" x14ac:dyDescent="0.45">
      <c r="B13" s="2">
        <v>14.1</v>
      </c>
      <c r="C13" s="6">
        <v>0.05</v>
      </c>
      <c r="D13" s="2" t="s">
        <v>42</v>
      </c>
      <c r="E13" s="5" t="s">
        <v>47</v>
      </c>
    </row>
    <row r="14" spans="2:5" ht="28.5" x14ac:dyDescent="0.45">
      <c r="B14" s="2">
        <v>16</v>
      </c>
      <c r="C14" s="6">
        <v>0.4</v>
      </c>
      <c r="D14" s="2" t="s">
        <v>35</v>
      </c>
      <c r="E14" s="5" t="s">
        <v>48</v>
      </c>
    </row>
    <row r="15" spans="2:5" x14ac:dyDescent="0.45">
      <c r="B15" s="2">
        <v>17</v>
      </c>
      <c r="C15" s="6">
        <v>0.08</v>
      </c>
      <c r="D15" s="2" t="s">
        <v>35</v>
      </c>
      <c r="E15" s="5" t="s">
        <v>49</v>
      </c>
    </row>
    <row r="16" spans="2:5" ht="28.5" x14ac:dyDescent="0.45">
      <c r="B16" s="2">
        <v>29</v>
      </c>
      <c r="C16" s="6" t="s">
        <v>44</v>
      </c>
      <c r="D16" s="2" t="s">
        <v>35</v>
      </c>
      <c r="E16" s="5" t="s">
        <v>50</v>
      </c>
    </row>
    <row r="17" spans="2:5" ht="28.5" x14ac:dyDescent="0.45">
      <c r="B17" s="2">
        <v>38</v>
      </c>
      <c r="C17" s="6">
        <v>0.3</v>
      </c>
      <c r="D17" s="2" t="s">
        <v>35</v>
      </c>
      <c r="E17" s="5" t="s">
        <v>51</v>
      </c>
    </row>
    <row r="18" spans="2:5" ht="28.5" x14ac:dyDescent="0.45">
      <c r="B18" s="2">
        <v>43</v>
      </c>
      <c r="C18" s="6">
        <v>0.3</v>
      </c>
      <c r="D18" s="2" t="s">
        <v>35</v>
      </c>
      <c r="E18" s="5" t="s">
        <v>52</v>
      </c>
    </row>
    <row r="19" spans="2:5" ht="42.75" x14ac:dyDescent="0.45">
      <c r="B19" s="2">
        <v>43.1</v>
      </c>
      <c r="C19" s="6">
        <v>1</v>
      </c>
      <c r="D19" s="2" t="s">
        <v>42</v>
      </c>
      <c r="E19" s="5" t="s">
        <v>53</v>
      </c>
    </row>
    <row r="20" spans="2:5" ht="28.5" x14ac:dyDescent="0.45">
      <c r="B20" s="2">
        <v>43.2</v>
      </c>
      <c r="C20" s="6">
        <v>1</v>
      </c>
      <c r="D20" s="2" t="s">
        <v>42</v>
      </c>
      <c r="E20" s="5" t="s">
        <v>54</v>
      </c>
    </row>
    <row r="21" spans="2:5" ht="28.5" x14ac:dyDescent="0.45">
      <c r="B21" s="2">
        <v>46</v>
      </c>
      <c r="C21" s="6">
        <v>0.3</v>
      </c>
      <c r="D21" s="2" t="s">
        <v>35</v>
      </c>
      <c r="E21" s="3" t="s">
        <v>55</v>
      </c>
    </row>
    <row r="22" spans="2:5" ht="42.75" x14ac:dyDescent="0.45">
      <c r="B22" s="2">
        <v>50</v>
      </c>
      <c r="C22" s="6">
        <v>0.55000000000000004</v>
      </c>
      <c r="D22" s="2" t="s">
        <v>35</v>
      </c>
      <c r="E22" s="5" t="s">
        <v>56</v>
      </c>
    </row>
    <row r="23" spans="2:5" ht="28.5" x14ac:dyDescent="0.45">
      <c r="B23" s="2">
        <v>53</v>
      </c>
      <c r="C23" s="6">
        <v>1</v>
      </c>
      <c r="D23" s="2" t="s">
        <v>42</v>
      </c>
      <c r="E23" s="5" t="s">
        <v>57</v>
      </c>
    </row>
    <row r="24" spans="2:5" ht="42.75" x14ac:dyDescent="0.45">
      <c r="B24" s="2">
        <v>54</v>
      </c>
      <c r="C24" s="6">
        <v>0.3</v>
      </c>
      <c r="D24" s="2" t="s">
        <v>35</v>
      </c>
      <c r="E24" s="5" t="s">
        <v>58</v>
      </c>
    </row>
    <row r="25" spans="2:5" ht="28.5" x14ac:dyDescent="0.45">
      <c r="B25" s="2">
        <v>55</v>
      </c>
      <c r="C25" s="6">
        <v>0.4</v>
      </c>
      <c r="D25" s="2" t="s">
        <v>35</v>
      </c>
      <c r="E25" s="5" t="s">
        <v>59</v>
      </c>
    </row>
  </sheetData>
  <dataValidations count="1">
    <dataValidation type="list" allowBlank="1" showInputMessage="1" showErrorMessage="1" sqref="C4" xr:uid="{8F1784E8-2508-487C-965C-2C84315D5B0B}">
      <formula1>".04,.1,.06"</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05d077a-986a-4259-8300-eaa491a6b3c7">
      <UserInfo>
        <DisplayName>Emily Kneteman</DisplayName>
        <AccountId>511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2F3D87724DE24E86F2252B6F53F3A9" ma:contentTypeVersion="6" ma:contentTypeDescription="Create a new document." ma:contentTypeScope="" ma:versionID="a8a4fad581dbb83794bf2d17e760b0c8">
  <xsd:schema xmlns:xsd="http://www.w3.org/2001/XMLSchema" xmlns:xs="http://www.w3.org/2001/XMLSchema" xmlns:p="http://schemas.microsoft.com/office/2006/metadata/properties" xmlns:ns2="937f3230-14b2-4abe-a402-7dd2909c9a60" xmlns:ns3="905d077a-986a-4259-8300-eaa491a6b3c7" targetNamespace="http://schemas.microsoft.com/office/2006/metadata/properties" ma:root="true" ma:fieldsID="b930004a886a8c6345b12af1b2df68e7" ns2:_="" ns3:_="">
    <xsd:import namespace="937f3230-14b2-4abe-a402-7dd2909c9a60"/>
    <xsd:import namespace="905d077a-986a-4259-8300-eaa491a6b3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f3230-14b2-4abe-a402-7dd2909c9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5d077a-986a-4259-8300-eaa491a6b3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BFBA9C-8B59-4F30-AB94-015BBEEB7040}">
  <ds:schemaRefs>
    <ds:schemaRef ds:uri="http://schemas.microsoft.com/office/2006/documentManagement/types"/>
    <ds:schemaRef ds:uri="http://purl.org/dc/terms/"/>
    <ds:schemaRef ds:uri="905d077a-986a-4259-8300-eaa491a6b3c7"/>
    <ds:schemaRef ds:uri="http://purl.org/dc/dcmitype/"/>
    <ds:schemaRef ds:uri="http://schemas.microsoft.com/office/infopath/2007/PartnerControls"/>
    <ds:schemaRef ds:uri="http://purl.org/dc/elements/1.1/"/>
    <ds:schemaRef ds:uri="http://www.w3.org/XML/1998/namespace"/>
    <ds:schemaRef ds:uri="http://schemas.openxmlformats.org/package/2006/metadata/core-properties"/>
    <ds:schemaRef ds:uri="937f3230-14b2-4abe-a402-7dd2909c9a60"/>
    <ds:schemaRef ds:uri="http://schemas.microsoft.com/office/2006/metadata/properties"/>
  </ds:schemaRefs>
</ds:datastoreItem>
</file>

<file path=customXml/itemProps2.xml><?xml version="1.0" encoding="utf-8"?>
<ds:datastoreItem xmlns:ds="http://schemas.openxmlformats.org/officeDocument/2006/customXml" ds:itemID="{C68A6A42-FFE4-409F-83EE-C1CAD5CFD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f3230-14b2-4abe-a402-7dd2909c9a60"/>
    <ds:schemaRef ds:uri="905d077a-986a-4259-8300-eaa491a6b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907F9C-B4EC-4914-BCAD-593D44053B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Asset Classes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Manocha</dc:creator>
  <cp:keywords/>
  <dc:description/>
  <cp:lastModifiedBy>Michael Manocha</cp:lastModifiedBy>
  <cp:revision/>
  <dcterms:created xsi:type="dcterms:W3CDTF">2020-11-06T18:12:55Z</dcterms:created>
  <dcterms:modified xsi:type="dcterms:W3CDTF">2021-11-19T18:37:26Z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0x010100AD2F3D87724DE24E86F2252B6F53F3A9</vt:lpwstr>
  </property>
</Properties>
</file>